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21F4AD3-5465-45BF-9EB2-4DAEB6FE7FDD}" xr6:coauthVersionLast="45" xr6:coauthVersionMax="45" xr10:uidLastSave="{00000000-0000-0000-0000-000000000000}"/>
  <bookViews>
    <workbookView xWindow="-120" yWindow="-120" windowWidth="29040" windowHeight="15840" tabRatio="858" firstSheet="14"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SEFA 20" sheetId="186" r:id="rId28"/>
    <sheet name=" SEFA" sheetId="179" r:id="rId29"/>
    <sheet name="SEFA NOTES" sheetId="173" r:id="rId30"/>
    <sheet name="SF&amp;QC Sec-1" sheetId="174" r:id="rId31"/>
    <sheet name="SF&amp;QC Sec-2" sheetId="175" r:id="rId32"/>
    <sheet name="SF&amp;QC Sec-3" sheetId="176" r:id="rId33"/>
    <sheet name="SSPAF" sheetId="177" r:id="rId34"/>
    <sheet name="CAP 2020-001" sheetId="185" r:id="rId35"/>
    <sheet name="CAP 2020-002" sheetId="187" r:id="rId36"/>
  </sheets>
  <definedNames>
    <definedName name="_xlnm._FilterDatabase" localSheetId="23" hidden="1">'AFR20'!$A$1:$F$7884</definedName>
    <definedName name="goof" localSheetId="27">#REF!</definedName>
    <definedName name="goof">#REF!</definedName>
    <definedName name="oops" localSheetId="27">#REF!</definedName>
    <definedName name="oops">#REF!</definedName>
    <definedName name="pass">#REF!</definedName>
    <definedName name="pass1">#REF!</definedName>
    <definedName name="pass2">#REF!</definedName>
    <definedName name="pass3">#REF!</definedName>
    <definedName name="pass4">#REF!</definedName>
    <definedName name="_xlnm.Print_Area" localSheetId="28">' SEFA'!$B$1:$M$46</definedName>
    <definedName name="_xlnm.Print_Area" localSheetId="27">'SEFA 20'!$A$2:$S$137</definedName>
    <definedName name="_xlnm.Print_Area" localSheetId="29">'SEFA NOTES'!$A$1:$F$58</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Print_Area_MI" localSheetId="27">'SEFA 20'!$B$20:$T$115</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 20'!$A:$B,'SEFA 20'!$1:$14</definedName>
    <definedName name="_xlnm.Print_Titles" localSheetId="16">'Shared Outsourced Services 31'!$5:$5</definedName>
    <definedName name="_xlnm.Print_Titles" localSheetId="25">'Single Audit Checklist'!$1:$4</definedName>
    <definedName name="SCHADDRS" localSheetId="28">#REF!</definedName>
    <definedName name="SCHADDRS" localSheetId="34">#REF!</definedName>
    <definedName name="SCHADDRS" localSheetId="35">#REF!</definedName>
    <definedName name="SCHADDRS" localSheetId="14">#REF!</definedName>
    <definedName name="SCHADDRS" localSheetId="21">#REF!</definedName>
    <definedName name="SCHADDRS" localSheetId="4">#REF!</definedName>
    <definedName name="SCHADDRS" localSheetId="27">#REF!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34">#REF!</definedName>
    <definedName name="SCHCTY" localSheetId="35">#REF!</definedName>
    <definedName name="SCHCTY" localSheetId="14">#REF!</definedName>
    <definedName name="SCHCTY" localSheetId="21">#REF!</definedName>
    <definedName name="SCHCTY" localSheetId="4">#REF!</definedName>
    <definedName name="SCHCTY" localSheetId="27">#REF!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34">#REF!</definedName>
    <definedName name="SCHNMBR" localSheetId="35">#REF!</definedName>
    <definedName name="SCHNMBR" localSheetId="14">#REF!</definedName>
    <definedName name="SCHNMBR" localSheetId="21">#REF!</definedName>
    <definedName name="SCHNMBR" localSheetId="4">#REF!</definedName>
    <definedName name="SCHNMBR" localSheetId="27">#REF!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34">#REF!</definedName>
    <definedName name="SCHNME" localSheetId="35">#REF!</definedName>
    <definedName name="SCHNME" localSheetId="14">#REF!</definedName>
    <definedName name="SCHNME" localSheetId="21">#REF!</definedName>
    <definedName name="SCHNME" localSheetId="4">#REF!</definedName>
    <definedName name="SCHNME" localSheetId="27">#REF!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34">#REF!</definedName>
    <definedName name="SUPT" localSheetId="35">#REF!</definedName>
    <definedName name="SUPT" localSheetId="14">#REF!</definedName>
    <definedName name="SUPT" localSheetId="21">#REF!</definedName>
    <definedName name="SUPT" localSheetId="4">#REF!</definedName>
    <definedName name="SUPT" localSheetId="27">#REF!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2" i="185" l="1"/>
  <c r="B12" i="187" l="1"/>
  <c r="B5" i="187"/>
  <c r="G40" i="174"/>
  <c r="G39" i="174"/>
  <c r="J8" i="12" l="1"/>
  <c r="G83" i="186" l="1"/>
  <c r="Q83" i="186"/>
  <c r="M83" i="186"/>
  <c r="K83" i="186"/>
  <c r="I83" i="186"/>
  <c r="Q69" i="186"/>
  <c r="M69" i="186"/>
  <c r="K69" i="186"/>
  <c r="I69" i="186"/>
  <c r="G69" i="186"/>
  <c r="J34" i="8" l="1"/>
  <c r="J35" i="8"/>
  <c r="J32" i="8"/>
  <c r="J31" i="8"/>
  <c r="Q122" i="186" l="1"/>
  <c r="M122" i="186"/>
  <c r="K122" i="186"/>
  <c r="I122" i="186"/>
  <c r="G122" i="186"/>
  <c r="Q76" i="186"/>
  <c r="Q67" i="186"/>
  <c r="Q42" i="186"/>
  <c r="Q57" i="186"/>
  <c r="Q28" i="186"/>
  <c r="Q36" i="186"/>
  <c r="Q32" i="186"/>
  <c r="M76" i="186" l="1"/>
  <c r="K76" i="186"/>
  <c r="I76" i="186"/>
  <c r="G76" i="186"/>
  <c r="O50" i="186"/>
  <c r="M50" i="186"/>
  <c r="K50" i="186"/>
  <c r="I50" i="186"/>
  <c r="G50" i="186"/>
  <c r="M42" i="186"/>
  <c r="K42" i="186"/>
  <c r="I42" i="186"/>
  <c r="G42" i="186"/>
  <c r="O36" i="186"/>
  <c r="M36" i="186"/>
  <c r="K36" i="186"/>
  <c r="I36" i="186"/>
  <c r="G36" i="186"/>
  <c r="O32" i="186"/>
  <c r="M32" i="186"/>
  <c r="K32" i="186"/>
  <c r="G32" i="186"/>
  <c r="I32" i="186"/>
  <c r="O126" i="186" l="1"/>
  <c r="O117" i="186"/>
  <c r="M117" i="186"/>
  <c r="K117" i="186"/>
  <c r="I117" i="186"/>
  <c r="G117" i="186"/>
  <c r="Q114" i="186"/>
  <c r="Q113" i="186"/>
  <c r="O106" i="186"/>
  <c r="M106" i="186"/>
  <c r="K106" i="186"/>
  <c r="I106" i="186"/>
  <c r="G106" i="186"/>
  <c r="Q105" i="186"/>
  <c r="Q103" i="186"/>
  <c r="Q102" i="186"/>
  <c r="O96" i="186"/>
  <c r="M96" i="186"/>
  <c r="K96" i="186"/>
  <c r="I96" i="186"/>
  <c r="G96" i="186"/>
  <c r="Q95" i="186"/>
  <c r="Q96" i="186" s="1"/>
  <c r="O91" i="186"/>
  <c r="M91" i="186"/>
  <c r="K91" i="186"/>
  <c r="I91" i="186"/>
  <c r="G91" i="186"/>
  <c r="Q90" i="186"/>
  <c r="Q89" i="186"/>
  <c r="Q81" i="186"/>
  <c r="Q80" i="186"/>
  <c r="Q78" i="186"/>
  <c r="Q75" i="186"/>
  <c r="Q74" i="186"/>
  <c r="Q72" i="186"/>
  <c r="Q71" i="186"/>
  <c r="O67" i="186"/>
  <c r="M67" i="186"/>
  <c r="K67" i="186"/>
  <c r="I67" i="186"/>
  <c r="G67" i="186"/>
  <c r="Q66" i="186"/>
  <c r="Q65" i="186"/>
  <c r="Q63" i="186"/>
  <c r="Q62" i="186"/>
  <c r="Q60" i="186"/>
  <c r="Q59" i="186"/>
  <c r="O57" i="186"/>
  <c r="M57" i="186"/>
  <c r="K57" i="186"/>
  <c r="I57" i="186"/>
  <c r="G57" i="186"/>
  <c r="Q56" i="186"/>
  <c r="Q55" i="186"/>
  <c r="Q53" i="186"/>
  <c r="Q52" i="186"/>
  <c r="Q49" i="186"/>
  <c r="Q48" i="186"/>
  <c r="Q40" i="186"/>
  <c r="Q39" i="186"/>
  <c r="Q37" i="186"/>
  <c r="Q35" i="186"/>
  <c r="Q34" i="186"/>
  <c r="Q31" i="186"/>
  <c r="Q30" i="186"/>
  <c r="O28" i="186"/>
  <c r="O42" i="186" s="1"/>
  <c r="M28" i="186"/>
  <c r="K28" i="186"/>
  <c r="I28" i="186"/>
  <c r="G28" i="186"/>
  <c r="Q27" i="186"/>
  <c r="Q26" i="186"/>
  <c r="Q24" i="186"/>
  <c r="Q23" i="186"/>
  <c r="Q21" i="186"/>
  <c r="Q20" i="186"/>
  <c r="M13" i="186"/>
  <c r="K13" i="186"/>
  <c r="M12" i="186"/>
  <c r="Q106" i="186" l="1"/>
  <c r="I108" i="186"/>
  <c r="I119" i="186" s="1"/>
  <c r="K108" i="186"/>
  <c r="K119" i="186" s="1"/>
  <c r="Q117" i="186"/>
  <c r="M108" i="186"/>
  <c r="M119" i="186" s="1"/>
  <c r="G108" i="186"/>
  <c r="G119" i="186" s="1"/>
  <c r="Q91" i="186"/>
  <c r="Q124" i="186" s="1"/>
  <c r="G124" i="186"/>
  <c r="G126" i="186" s="1"/>
  <c r="I124" i="186"/>
  <c r="O108" i="186"/>
  <c r="K124" i="186"/>
  <c r="K126" i="186" s="1"/>
  <c r="I126" i="186"/>
  <c r="M124" i="186"/>
  <c r="M126" i="186" s="1"/>
  <c r="D45" i="174" s="1"/>
  <c r="Q108" i="186"/>
  <c r="O119" i="186"/>
  <c r="B5" i="185"/>
  <c r="Q126" i="186" l="1"/>
  <c r="Q119" i="186"/>
  <c r="Q127" i="18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4"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F26" i="183" s="1"/>
  <c r="E25" i="183"/>
  <c r="F25" i="183" s="1"/>
  <c r="E24" i="183"/>
  <c r="E23" i="183"/>
  <c r="F23" i="183" s="1"/>
  <c r="E22" i="183"/>
  <c r="F22" i="183" s="1"/>
  <c r="E21" i="183"/>
  <c r="F21" i="183" s="1"/>
  <c r="E20" i="183"/>
  <c r="E19" i="183"/>
  <c r="F19" i="183" s="1"/>
  <c r="E18" i="183"/>
  <c r="F18" i="183" s="1"/>
  <c r="E17" i="183"/>
  <c r="F17" i="183" s="1"/>
  <c r="B7883" i="106" l="1"/>
  <c r="D7883" i="106"/>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12" i="12"/>
  <c r="K23" i="12"/>
  <c r="B7800" i="106" s="1"/>
  <c r="J12" i="12"/>
  <c r="B7718" i="106" s="1"/>
  <c r="D7718" i="106" s="1"/>
  <c r="J21" i="12"/>
  <c r="J23" i="12" s="1"/>
  <c r="B7729" i="106"/>
  <c r="D7729" i="106" s="1"/>
  <c r="B7734" i="106"/>
  <c r="B7726" i="106"/>
  <c r="D7726" i="106" s="1"/>
  <c r="B30" i="36"/>
  <c r="B33" i="36" s="1"/>
  <c r="B43" i="36" s="1"/>
  <c r="B56" i="36" s="1"/>
  <c r="B66" i="36" s="1"/>
  <c r="B70" i="36" s="1"/>
  <c r="B74" i="3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54" i="106"/>
  <c r="D6354" i="106" s="1"/>
  <c r="B6372" i="106"/>
  <c r="D6372" i="106" s="1"/>
  <c r="B6377" i="106"/>
  <c r="D637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D6841" i="106"/>
  <c r="D6842" i="106"/>
  <c r="D6843" i="106"/>
  <c r="D6941" i="106"/>
  <c r="D7056" i="106"/>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F116" i="34"/>
  <c r="B7850" i="106" s="1"/>
  <c r="D7850" i="106" s="1"/>
  <c r="C117" i="34"/>
  <c r="D117" i="34"/>
  <c r="F117" i="34"/>
  <c r="B7851" i="106" s="1"/>
  <c r="D7851" i="106" s="1"/>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B2026" i="106" s="1"/>
  <c r="D2026" i="106" s="1"/>
  <c r="C16" i="11"/>
  <c r="B2013" i="106" s="1"/>
  <c r="D2013" i="106" s="1"/>
  <c r="C49" i="8"/>
  <c r="B7817" i="106" s="1"/>
  <c r="D7817" i="106" s="1"/>
  <c r="I175" i="5"/>
  <c r="B4373" i="106" s="1"/>
  <c r="D4373" i="106" s="1"/>
  <c r="J252" i="5"/>
  <c r="J266" i="5" s="1"/>
  <c r="B7041" i="106" s="1"/>
  <c r="D7041" i="106" s="1"/>
  <c r="K252" i="5"/>
  <c r="D7" i="118"/>
  <c r="D8" i="118"/>
  <c r="D9" i="118"/>
  <c r="H28" i="118"/>
  <c r="D22" i="37"/>
  <c r="L22" i="37"/>
  <c r="D24" i="37"/>
  <c r="B4270" i="106" s="1"/>
  <c r="D4270" i="106" s="1"/>
  <c r="H33" i="118" l="1"/>
  <c r="J22" i="37"/>
  <c r="F19" i="7"/>
  <c r="B1807" i="106" s="1"/>
  <c r="D1807" i="106" s="1"/>
  <c r="L13" i="11"/>
  <c r="B2060" i="106" s="1"/>
  <c r="D2060" i="106" s="1"/>
  <c r="L5" i="11"/>
  <c r="B2056" i="106" s="1"/>
  <c r="D2056" i="106" s="1"/>
  <c r="D11" i="37"/>
  <c r="H29" i="118"/>
  <c r="K28" i="118" s="1"/>
  <c r="O27" i="118" s="1"/>
  <c r="O29" i="118" s="1"/>
  <c r="N22" i="3"/>
  <c r="B283" i="106" s="1"/>
  <c r="D283" i="106" s="1"/>
  <c r="B7727" i="106"/>
  <c r="D7727" i="106" s="1"/>
  <c r="D31" i="36"/>
  <c r="L15" i="11"/>
  <c r="B3459" i="106" s="1"/>
  <c r="D3459" i="106" s="1"/>
  <c r="I24" i="12"/>
  <c r="F21" i="8"/>
  <c r="K24" i="12"/>
  <c r="I267" i="5"/>
  <c r="I7" i="4" s="1"/>
  <c r="B4444" i="106" s="1"/>
  <c r="D4444" i="106" s="1"/>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I49" i="8"/>
  <c r="B1977" i="106"/>
  <c r="D1977" i="106" s="1"/>
  <c r="H24" i="12"/>
  <c r="B1867" i="106"/>
  <c r="D1867" i="106" s="1"/>
  <c r="F15" i="8"/>
  <c r="L12" i="11"/>
  <c r="B2059" i="106" s="1"/>
  <c r="D2059" i="106" s="1"/>
  <c r="L8" i="11"/>
  <c r="B2057" i="106" s="1"/>
  <c r="D2057" i="106" s="1"/>
  <c r="G24" i="12"/>
  <c r="J24" i="12"/>
  <c r="B7730" i="106"/>
  <c r="D7730" i="106" s="1"/>
  <c r="L16" i="11" l="1"/>
  <c r="B2061" i="106" s="1"/>
  <c r="D2061" i="106" s="1"/>
  <c r="B4435" i="106"/>
  <c r="D4435" i="106" s="1"/>
  <c r="I26" i="12"/>
  <c r="B7741" i="106" s="1"/>
  <c r="D7741" i="106" s="1"/>
  <c r="B1996" i="106"/>
  <c r="D1996" i="106" s="1"/>
  <c r="B7733" i="106"/>
  <c r="D7733" i="106" s="1"/>
  <c r="K26" i="12"/>
  <c r="B7743" i="106" s="1"/>
  <c r="D7743" i="106" s="1"/>
  <c r="B1879" i="106"/>
  <c r="D1879" i="106" s="1"/>
  <c r="H22" i="37"/>
  <c r="B7760" i="106"/>
  <c r="D7760" i="106" s="1"/>
  <c r="D24" i="36"/>
  <c r="B2917" i="106"/>
  <c r="D2917" i="106" s="1"/>
  <c r="D53"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F24" i="37" l="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7809" i="106" l="1"/>
  <c r="D7809" i="106" s="1"/>
  <c r="B7813" i="106"/>
  <c r="D7813" i="106" s="1"/>
  <c r="B7810" i="106"/>
  <c r="D7810" i="106" s="1"/>
  <c r="B7814" i="106"/>
  <c r="D7814" i="106" s="1"/>
  <c r="B7811" i="106"/>
  <c r="D7811" i="106" s="1"/>
  <c r="B7815" i="106"/>
  <c r="D7815" i="106" s="1"/>
  <c r="F167" i="34" l="1"/>
  <c r="B7812" i="106"/>
  <c r="D7812" i="106" s="1"/>
  <c r="F168" i="34"/>
  <c r="B7816" i="106"/>
  <c r="D7816" i="106" s="1"/>
  <c r="L334" i="29" l="1"/>
  <c r="B7775" i="106"/>
  <c r="D7775" i="106" s="1"/>
  <c r="K133" i="29"/>
  <c r="B7774" i="106"/>
  <c r="D7774" i="106" s="1"/>
  <c r="B7779" i="106"/>
  <c r="D7779" i="106" s="1"/>
  <c r="K158" i="29"/>
  <c r="B7780" i="106" s="1"/>
  <c r="D7780" i="106" s="1"/>
  <c r="B7781" i="106"/>
  <c r="D7781" i="106" s="1"/>
  <c r="K159" i="29"/>
  <c r="B7782" i="106" s="1"/>
  <c r="D7782" i="106" s="1"/>
  <c r="K282" i="29"/>
  <c r="B7783" i="106"/>
  <c r="D7783" i="106" s="1"/>
  <c r="B7785" i="106"/>
  <c r="D7785" i="106" s="1"/>
  <c r="K332" i="29"/>
  <c r="H334" i="29"/>
  <c r="B7789" i="106" s="1"/>
  <c r="D7789" i="106" s="1"/>
  <c r="B7787" i="106"/>
  <c r="D7787" i="106" s="1"/>
  <c r="K333" i="29"/>
  <c r="B7788" i="106" s="1"/>
  <c r="D7788" i="106" s="1"/>
  <c r="B7793" i="106"/>
  <c r="D7793" i="106" s="1"/>
  <c r="K355" i="29"/>
  <c r="B7794" i="106" s="1"/>
  <c r="D7794" i="106" s="1"/>
  <c r="K354" i="29"/>
  <c r="B7791" i="106"/>
  <c r="D7791" i="106" s="1"/>
  <c r="B7776" i="106" l="1"/>
  <c r="D7776" i="106" s="1"/>
  <c r="B7784" i="106"/>
  <c r="D7784" i="106" s="1"/>
  <c r="B7786" i="106"/>
  <c r="D7786" i="106" s="1"/>
  <c r="K334" i="29"/>
  <c r="B7792" i="106"/>
  <c r="D7792" i="106" s="1"/>
  <c r="F74" i="34" l="1"/>
  <c r="J15" i="4"/>
  <c r="B7796" i="106" s="1"/>
  <c r="D7796" i="106" s="1"/>
  <c r="B7790" i="106"/>
  <c r="D7790" i="106" s="1"/>
  <c r="B177" i="106" l="1"/>
  <c r="D177"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818" i="106"/>
  <c r="D5818" i="106" s="1"/>
  <c r="B5459" i="106"/>
  <c r="D5459" i="106" s="1"/>
  <c r="B5275" i="106"/>
  <c r="D5275" i="106" s="1"/>
  <c r="B5695" i="106"/>
  <c r="D5695" i="106" s="1"/>
  <c r="B5462" i="106"/>
  <c r="D5462" i="106" s="1"/>
  <c r="B5278" i="106"/>
  <c r="D5278" i="106" s="1"/>
  <c r="B5696" i="106"/>
  <c r="D5696" i="106" s="1"/>
  <c r="B5463" i="106"/>
  <c r="D5463" i="106" s="1"/>
  <c r="B5279" i="106"/>
  <c r="D5279" i="106" s="1"/>
  <c r="B5697" i="106"/>
  <c r="D5697" i="106" s="1"/>
  <c r="B5464" i="106"/>
  <c r="D5464" i="106" s="1"/>
  <c r="B4342" i="106"/>
  <c r="D4342" i="106" s="1"/>
  <c r="B4341" i="106"/>
  <c r="D4341" i="106" s="1"/>
  <c r="B4340" i="106"/>
  <c r="D4340"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0" i="106"/>
  <c r="D6300" i="106" s="1"/>
  <c r="B6303" i="106"/>
  <c r="D6303" i="106" s="1"/>
  <c r="B6304" i="106"/>
  <c r="D6304" i="106" s="1"/>
  <c r="B6305" i="106"/>
  <c r="D6305" i="106" s="1"/>
  <c r="B6355" i="106"/>
  <c r="D6355" i="106" s="1"/>
  <c r="B7807" i="106"/>
  <c r="D7807"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5362" i="106"/>
  <c r="D5362" i="106" s="1"/>
  <c r="B7802" i="106"/>
  <c r="D780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1" i="106"/>
  <c r="D5511" i="106" s="1"/>
  <c r="B5515" i="106"/>
  <c r="D5515" i="106" s="1"/>
  <c r="B5516" i="106"/>
  <c r="D5516" i="106" s="1"/>
  <c r="B5517" i="106"/>
  <c r="D5517" i="106" s="1"/>
  <c r="B5529" i="106"/>
  <c r="D5529" i="106" s="1"/>
  <c r="B7803" i="106"/>
  <c r="D7803"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9" i="106"/>
  <c r="D5559" i="106" s="1"/>
  <c r="B5560" i="106"/>
  <c r="D5560" i="106" s="1"/>
  <c r="B5561" i="106"/>
  <c r="D5561" i="106" s="1"/>
  <c r="B5590" i="106"/>
  <c r="D5590" i="106" s="1"/>
  <c r="B5591" i="106"/>
  <c r="D5591" i="106" s="1"/>
  <c r="B5594" i="106"/>
  <c r="D5594" i="106" s="1"/>
  <c r="B7804" i="106"/>
  <c r="D7804" i="106" s="1"/>
  <c r="B4885" i="106"/>
  <c r="D4885" i="106" s="1"/>
  <c r="B5601" i="106"/>
  <c r="D5601" i="106" s="1"/>
  <c r="B5602" i="106"/>
  <c r="D5602" i="106" s="1"/>
  <c r="B5604" i="106"/>
  <c r="D5604" i="106" s="1"/>
  <c r="B5606" i="106"/>
  <c r="D5606" i="106" s="1"/>
  <c r="B5609" i="106"/>
  <c r="D5609" i="106" s="1"/>
  <c r="B4311" i="106"/>
  <c r="D4311" i="106" s="1"/>
  <c r="B5617" i="106"/>
  <c r="D5617" i="106" s="1"/>
  <c r="B4316" i="106"/>
  <c r="D4316" i="106" s="1"/>
  <c r="B5619" i="106"/>
  <c r="D5619" i="106" s="1"/>
  <c r="B5625" i="106"/>
  <c r="D5625" i="106" s="1"/>
  <c r="B5627" i="106"/>
  <c r="D5627" i="106" s="1"/>
  <c r="B4918" i="106"/>
  <c r="D4918" i="106" s="1"/>
  <c r="B6391" i="106"/>
  <c r="D6391" i="106" s="1"/>
  <c r="B4322" i="106"/>
  <c r="D4322" i="106" s="1"/>
  <c r="B4946" i="106"/>
  <c r="D4946" i="106" s="1"/>
  <c r="B4808" i="106"/>
  <c r="D4808" i="106" s="1"/>
  <c r="B4377" i="106"/>
  <c r="D4377" i="106" s="1"/>
  <c r="B4381" i="106"/>
  <c r="D4381" i="106" s="1"/>
  <c r="B4393" i="106"/>
  <c r="D4393" i="106" s="1"/>
  <c r="B5665" i="106"/>
  <c r="D5665"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54" i="106"/>
  <c r="D1354" i="106" s="1"/>
  <c r="B1366" i="106"/>
  <c r="D1366" i="106" s="1"/>
  <c r="B7059" i="106"/>
  <c r="D7059" i="106" s="1"/>
  <c r="B7060" i="106"/>
  <c r="D7060"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7" i="106"/>
  <c r="D5727" i="106" s="1"/>
  <c r="B5728" i="106"/>
  <c r="D5728" i="106" s="1"/>
  <c r="B5729" i="106"/>
  <c r="D5729" i="106" s="1"/>
  <c r="B5740" i="106"/>
  <c r="D5740" i="106" s="1"/>
  <c r="B5743" i="106"/>
  <c r="D5743" i="106" s="1"/>
  <c r="B7805" i="106"/>
  <c r="D7805" i="106" s="1"/>
  <c r="B4886" i="106"/>
  <c r="D4886"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8" i="106"/>
  <c r="D5798" i="106" s="1"/>
  <c r="B4335" i="106"/>
  <c r="D4335"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6001" i="106"/>
  <c r="D6001" i="106" s="1"/>
  <c r="B7808" i="106"/>
  <c r="D7808"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63" i="106"/>
  <c r="D5063"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6309" i="106"/>
  <c r="D6309" i="106" s="1"/>
  <c r="B5081" i="106"/>
  <c r="D5081" i="106" s="1"/>
  <c r="B5082" i="106"/>
  <c r="D5082" i="106" s="1"/>
  <c r="B5083" i="106"/>
  <c r="D5083" i="106" s="1"/>
  <c r="B6310" i="106"/>
  <c r="D6310" i="106" s="1"/>
  <c r="B5084" i="106"/>
  <c r="D5084" i="106" s="1"/>
  <c r="B5085" i="106"/>
  <c r="D5085"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4321" i="106"/>
  <c r="D4321" i="106" s="1"/>
  <c r="B5231" i="106"/>
  <c r="D5231" i="106" s="1"/>
  <c r="B4805" i="106"/>
  <c r="D4805" i="106" s="1"/>
  <c r="B4391" i="106"/>
  <c r="D4391" i="106" s="1"/>
  <c r="B5248" i="106"/>
  <c r="D5248"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17" i="106"/>
  <c r="D6817"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4" i="106"/>
  <c r="D7254" i="106" s="1"/>
  <c r="B7255" i="106"/>
  <c r="D7255" i="106" s="1"/>
  <c r="B7256" i="106"/>
  <c r="D7256"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3377" i="106"/>
  <c r="D3377" i="106" s="1"/>
  <c r="B6874" i="106"/>
  <c r="D6874"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7" i="106"/>
  <c r="D6937" i="106" s="1"/>
  <c r="B6938" i="106"/>
  <c r="D6938" i="106" s="1"/>
  <c r="B6939" i="106"/>
  <c r="D6939"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975" i="106"/>
  <c r="D975"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5" i="106"/>
  <c r="D5875" i="106" s="1"/>
  <c r="B5876" i="106"/>
  <c r="D5876" i="106" s="1"/>
  <c r="B5877" i="106"/>
  <c r="D5877" i="106" s="1"/>
  <c r="B7884" i="106"/>
  <c r="D7884" i="106" s="1"/>
  <c r="B7806" i="106"/>
  <c r="D7806" i="106" s="1"/>
  <c r="B7885" i="106"/>
  <c r="D7885"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6" i="106"/>
  <c r="D6176" i="106" s="1"/>
  <c r="B6177" i="106"/>
  <c r="D6177" i="106" s="1"/>
  <c r="B6170" i="106"/>
  <c r="D6170" i="106" s="1"/>
  <c r="B6161" i="106"/>
  <c r="D6161" i="106" s="1"/>
  <c r="B86" i="106"/>
  <c r="D86" i="106" s="1"/>
  <c r="B173" i="106"/>
  <c r="D173" i="106" s="1"/>
  <c r="B6094" i="106"/>
  <c r="D6094" i="106" s="1"/>
  <c r="B6137" i="106"/>
  <c r="D6137" i="106" s="1"/>
  <c r="B6146" i="106"/>
  <c r="D6146" i="106" s="1"/>
  <c r="B6155" i="106"/>
  <c r="D6155" i="106" s="1"/>
  <c r="B6164" i="106"/>
  <c r="D6164" i="106" s="1"/>
  <c r="B6173" i="106"/>
  <c r="D6173" i="106" s="1"/>
  <c r="B184" i="106"/>
  <c r="D184" i="106" s="1"/>
  <c r="B185" i="106"/>
  <c r="D185"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53" i="106"/>
  <c r="D153" i="106" s="1"/>
  <c r="B6218" i="106"/>
  <c r="D6218" i="106" s="1"/>
  <c r="B3550" i="106"/>
  <c r="D3550" i="106" s="1"/>
  <c r="B2885" i="106"/>
  <c r="D2885" i="106" s="1"/>
  <c r="B105" i="106"/>
  <c r="D105" i="106" s="1"/>
  <c r="B199" i="106"/>
  <c r="D199" i="106" s="1"/>
  <c r="L362" i="29" l="1"/>
  <c r="L365" i="29" s="1"/>
  <c r="L285" i="29"/>
  <c r="L270" i="29"/>
  <c r="B6884" i="106"/>
  <c r="D6884" i="106" s="1"/>
  <c r="K24" i="29"/>
  <c r="D34" i="36"/>
  <c r="B3411" i="106"/>
  <c r="D3411" i="106" s="1"/>
  <c r="K108" i="29"/>
  <c r="B2796" i="106" s="1"/>
  <c r="D2796" i="106" s="1"/>
  <c r="B2792" i="106"/>
  <c r="D2792" i="106" s="1"/>
  <c r="K94" i="29"/>
  <c r="B6999" i="106" s="1"/>
  <c r="D6999" i="106" s="1"/>
  <c r="B6998" i="106"/>
  <c r="D6998" i="106" s="1"/>
  <c r="B2953" i="106"/>
  <c r="D2953" i="106" s="1"/>
  <c r="K82" i="29"/>
  <c r="B2977" i="106" s="1"/>
  <c r="D2977" i="106" s="1"/>
  <c r="K73" i="29"/>
  <c r="B1142" i="106" s="1"/>
  <c r="D1142" i="106" s="1"/>
  <c r="B754" i="106"/>
  <c r="D754" i="106" s="1"/>
  <c r="B748" i="106"/>
  <c r="D748" i="106" s="1"/>
  <c r="K69" i="29"/>
  <c r="B1136" i="106" s="1"/>
  <c r="D1136" i="106" s="1"/>
  <c r="B978" i="106"/>
  <c r="D978" i="106" s="1"/>
  <c r="B743" i="106"/>
  <c r="D743" i="106" s="1"/>
  <c r="B973" i="106"/>
  <c r="D973" i="106" s="1"/>
  <c r="B740" i="106"/>
  <c r="D740" i="106" s="1"/>
  <c r="B970" i="106"/>
  <c r="D970" i="106" s="1"/>
  <c r="B736" i="106"/>
  <c r="D736" i="106" s="1"/>
  <c r="B6936" i="106"/>
  <c r="D6936" i="106" s="1"/>
  <c r="B2718" i="106"/>
  <c r="D2718" i="106" s="1"/>
  <c r="K51" i="29"/>
  <c r="B964" i="106"/>
  <c r="D964" i="106" s="1"/>
  <c r="K46" i="29"/>
  <c r="B1118" i="106" s="1"/>
  <c r="D1118" i="106" s="1"/>
  <c r="B730" i="106"/>
  <c r="D730" i="106" s="1"/>
  <c r="G47" i="29"/>
  <c r="B963" i="106" s="1"/>
  <c r="D963" i="106" s="1"/>
  <c r="B960" i="106"/>
  <c r="D960" i="106" s="1"/>
  <c r="B726" i="106"/>
  <c r="D726" i="106" s="1"/>
  <c r="B723" i="106"/>
  <c r="D723" i="106" s="1"/>
  <c r="K38" i="29"/>
  <c r="B1111" i="106" s="1"/>
  <c r="D1111" i="106" s="1"/>
  <c r="B953" i="106"/>
  <c r="D953" i="106" s="1"/>
  <c r="G42" i="29"/>
  <c r="B6886" i="106"/>
  <c r="D6886" i="106" s="1"/>
  <c r="K25" i="29"/>
  <c r="B3367" i="106"/>
  <c r="D3367" i="106" s="1"/>
  <c r="K19" i="29"/>
  <c r="B3381" i="106" s="1"/>
  <c r="D3381" i="106" s="1"/>
  <c r="B6031" i="106"/>
  <c r="D6031" i="106" s="1"/>
  <c r="B5080" i="106"/>
  <c r="D5080" i="106" s="1"/>
  <c r="B5107" i="106"/>
  <c r="D5107" i="106" s="1"/>
  <c r="F99" i="34"/>
  <c r="L92" i="29"/>
  <c r="B1049" i="106"/>
  <c r="D1049" i="106" s="1"/>
  <c r="K106" i="29"/>
  <c r="B1147" i="106" s="1"/>
  <c r="D1147" i="106" s="1"/>
  <c r="B6993" i="106"/>
  <c r="D6993" i="106" s="1"/>
  <c r="K91" i="29"/>
  <c r="B6994" i="106" s="1"/>
  <c r="D6994" i="106" s="1"/>
  <c r="B2952" i="106"/>
  <c r="D2952" i="106" s="1"/>
  <c r="K81" i="29"/>
  <c r="B2976" i="106" s="1"/>
  <c r="D2976" i="106" s="1"/>
  <c r="B862" i="106"/>
  <c r="D862" i="106" s="1"/>
  <c r="E72" i="29"/>
  <c r="B869" i="106" s="1"/>
  <c r="D869" i="106" s="1"/>
  <c r="B854" i="106"/>
  <c r="D854" i="106" s="1"/>
  <c r="E65" i="29"/>
  <c r="B861" i="106" s="1"/>
  <c r="D861" i="106" s="1"/>
  <c r="I57" i="29"/>
  <c r="B6948" i="106" s="1"/>
  <c r="D6948" i="106" s="1"/>
  <c r="B6944" i="106"/>
  <c r="D6944" i="106" s="1"/>
  <c r="E53" i="29"/>
  <c r="B850" i="106" s="1"/>
  <c r="D850" i="106" s="1"/>
  <c r="B848" i="106"/>
  <c r="D848" i="106" s="1"/>
  <c r="B844" i="106"/>
  <c r="D844" i="106" s="1"/>
  <c r="E47" i="29"/>
  <c r="B847" i="106" s="1"/>
  <c r="D847" i="106" s="1"/>
  <c r="B837" i="106"/>
  <c r="D837" i="106" s="1"/>
  <c r="E42" i="29"/>
  <c r="K23" i="29"/>
  <c r="B6882" i="106"/>
  <c r="D6882" i="106" s="1"/>
  <c r="J33" i="29"/>
  <c r="B6845" i="106"/>
  <c r="D6845" i="106" s="1"/>
  <c r="B912" i="106"/>
  <c r="D912" i="106" s="1"/>
  <c r="F65" i="29"/>
  <c r="B919" i="106" s="1"/>
  <c r="D919" i="106" s="1"/>
  <c r="K13" i="29"/>
  <c r="B1105" i="106" s="1"/>
  <c r="D1105" i="106" s="1"/>
  <c r="B717" i="106"/>
  <c r="D717" i="106" s="1"/>
  <c r="B3055" i="106"/>
  <c r="D3055" i="106" s="1"/>
  <c r="K10" i="29"/>
  <c r="B3062" i="106" s="1"/>
  <c r="D3062" i="106" s="1"/>
  <c r="K7" i="29"/>
  <c r="B6727" i="106"/>
  <c r="D6727" i="106" s="1"/>
  <c r="B1048" i="106"/>
  <c r="D1048" i="106" s="1"/>
  <c r="H110" i="29"/>
  <c r="K105" i="29"/>
  <c r="B6991" i="106"/>
  <c r="D6991" i="106" s="1"/>
  <c r="K90" i="29"/>
  <c r="B6992" i="106" s="1"/>
  <c r="D6992" i="106" s="1"/>
  <c r="D72" i="29"/>
  <c r="B811" i="106" s="1"/>
  <c r="D811" i="106" s="1"/>
  <c r="B804" i="106"/>
  <c r="D804" i="106" s="1"/>
  <c r="D65" i="29"/>
  <c r="B803" i="106" s="1"/>
  <c r="D803" i="106" s="1"/>
  <c r="B796" i="106"/>
  <c r="D796" i="106" s="1"/>
  <c r="B1025" i="106"/>
  <c r="D1025" i="106" s="1"/>
  <c r="H57" i="29"/>
  <c r="B1027" i="106" s="1"/>
  <c r="D1027" i="106" s="1"/>
  <c r="B786" i="106"/>
  <c r="D786" i="106" s="1"/>
  <c r="D47" i="29"/>
  <c r="B789" i="106" s="1"/>
  <c r="D789" i="106" s="1"/>
  <c r="B779" i="106"/>
  <c r="D779" i="106" s="1"/>
  <c r="B6880" i="106"/>
  <c r="D6880" i="106" s="1"/>
  <c r="K22" i="29"/>
  <c r="B6859" i="106"/>
  <c r="D6859" i="106" s="1"/>
  <c r="B6851" i="106"/>
  <c r="D6851" i="106" s="1"/>
  <c r="B6844" i="106"/>
  <c r="D6844" i="106" s="1"/>
  <c r="B5088" i="106"/>
  <c r="D5088" i="106" s="1"/>
  <c r="B5067" i="106"/>
  <c r="D5067" i="106" s="1"/>
  <c r="C18" i="5"/>
  <c r="B5071" i="106" s="1"/>
  <c r="D5071" i="106" s="1"/>
  <c r="B5026" i="106"/>
  <c r="D5026" i="106" s="1"/>
  <c r="B6989" i="106"/>
  <c r="D6989" i="106" s="1"/>
  <c r="K89" i="29"/>
  <c r="B6990" i="106" s="1"/>
  <c r="D6990" i="106" s="1"/>
  <c r="B2951" i="106"/>
  <c r="D2951" i="106" s="1"/>
  <c r="K80" i="29"/>
  <c r="B2975" i="106" s="1"/>
  <c r="D2975" i="106" s="1"/>
  <c r="B756" i="106"/>
  <c r="D756" i="106" s="1"/>
  <c r="K75" i="29"/>
  <c r="B983" i="106"/>
  <c r="D983" i="106" s="1"/>
  <c r="B749" i="106"/>
  <c r="D749" i="106" s="1"/>
  <c r="K70" i="29"/>
  <c r="B1137" i="106" s="1"/>
  <c r="D1137" i="106" s="1"/>
  <c r="C72" i="29"/>
  <c r="B753" i="106" s="1"/>
  <c r="D753" i="106" s="1"/>
  <c r="B746" i="106"/>
  <c r="D746" i="106" s="1"/>
  <c r="B741" i="106"/>
  <c r="D741" i="106" s="1"/>
  <c r="B738" i="106"/>
  <c r="D738" i="106" s="1"/>
  <c r="C65" i="29"/>
  <c r="B745" i="106" s="1"/>
  <c r="D745" i="106" s="1"/>
  <c r="B967" i="106"/>
  <c r="D967" i="106" s="1"/>
  <c r="G57" i="29"/>
  <c r="B969" i="106" s="1"/>
  <c r="D969" i="106" s="1"/>
  <c r="B6932" i="106"/>
  <c r="D6932" i="106" s="1"/>
  <c r="B732" i="106"/>
  <c r="D732" i="106" s="1"/>
  <c r="C53" i="29"/>
  <c r="B734" i="106" s="1"/>
  <c r="D734" i="106" s="1"/>
  <c r="K44" i="29"/>
  <c r="B728" i="106"/>
  <c r="D728" i="106" s="1"/>
  <c r="C47" i="29"/>
  <c r="B731" i="106" s="1"/>
  <c r="D731" i="106" s="1"/>
  <c r="B724" i="106"/>
  <c r="D724" i="106" s="1"/>
  <c r="K39" i="29"/>
  <c r="B1112" i="106" s="1"/>
  <c r="D1112" i="106" s="1"/>
  <c r="C42" i="29"/>
  <c r="K36" i="29"/>
  <c r="B721" i="106"/>
  <c r="D721" i="106" s="1"/>
  <c r="B6878" i="106"/>
  <c r="D6878" i="106" s="1"/>
  <c r="K21" i="29"/>
  <c r="B995" i="106"/>
  <c r="D995" i="106" s="1"/>
  <c r="H33" i="29"/>
  <c r="B5163" i="106"/>
  <c r="D5163" i="106" s="1"/>
  <c r="K101" i="29"/>
  <c r="B7015" i="106" s="1"/>
  <c r="D7015" i="106" s="1"/>
  <c r="B2947" i="106"/>
  <c r="D2947" i="106" s="1"/>
  <c r="B6987" i="106"/>
  <c r="D6987" i="106" s="1"/>
  <c r="K88" i="29"/>
  <c r="B6988" i="106" s="1"/>
  <c r="D6988" i="106" s="1"/>
  <c r="F57" i="29"/>
  <c r="B911" i="106" s="1"/>
  <c r="D911" i="106" s="1"/>
  <c r="B909" i="106"/>
  <c r="D909" i="106" s="1"/>
  <c r="B6900" i="106"/>
  <c r="D6900" i="106" s="1"/>
  <c r="K32" i="29"/>
  <c r="B6876" i="106"/>
  <c r="D6876" i="106" s="1"/>
  <c r="K20" i="29"/>
  <c r="K17" i="29"/>
  <c r="B6871" i="106" s="1"/>
  <c r="D6871" i="106" s="1"/>
  <c r="B7263" i="106"/>
  <c r="D7263" i="106" s="1"/>
  <c r="K14" i="29"/>
  <c r="B1106" i="106" s="1"/>
  <c r="D1106" i="106" s="1"/>
  <c r="B718" i="106"/>
  <c r="D718" i="106" s="1"/>
  <c r="B7257" i="106"/>
  <c r="D7257" i="106" s="1"/>
  <c r="K11" i="29"/>
  <c r="B3366" i="106"/>
  <c r="D3366" i="106" s="1"/>
  <c r="K8" i="29"/>
  <c r="B3380" i="106" s="1"/>
  <c r="D3380" i="106" s="1"/>
  <c r="B5086" i="106"/>
  <c r="D5086" i="106" s="1"/>
  <c r="F72" i="29"/>
  <c r="B927" i="106" s="1"/>
  <c r="D927" i="106" s="1"/>
  <c r="B920" i="106"/>
  <c r="D920" i="106" s="1"/>
  <c r="B6945" i="106"/>
  <c r="D6945" i="106" s="1"/>
  <c r="J57" i="29"/>
  <c r="B6949" i="106" s="1"/>
  <c r="D6949" i="106" s="1"/>
  <c r="F42" i="29"/>
  <c r="B895" i="106"/>
  <c r="D895" i="106" s="1"/>
  <c r="B6985" i="106"/>
  <c r="D6985" i="106" s="1"/>
  <c r="K87" i="29"/>
  <c r="B6986" i="106" s="1"/>
  <c r="D6986" i="106" s="1"/>
  <c r="B2950" i="106"/>
  <c r="D2950" i="106" s="1"/>
  <c r="K79" i="29"/>
  <c r="B2974" i="106" s="1"/>
  <c r="D2974" i="106" s="1"/>
  <c r="B851" i="106"/>
  <c r="D851" i="106" s="1"/>
  <c r="E57" i="29"/>
  <c r="B853" i="106" s="1"/>
  <c r="D853" i="106" s="1"/>
  <c r="B6898" i="106"/>
  <c r="D6898" i="106" s="1"/>
  <c r="K31" i="29"/>
  <c r="B879" i="106"/>
  <c r="D879" i="106" s="1"/>
  <c r="F33" i="29"/>
  <c r="B5065" i="106"/>
  <c r="D5065" i="106" s="1"/>
  <c r="B902" i="106"/>
  <c r="D902" i="106" s="1"/>
  <c r="F47" i="29"/>
  <c r="B905" i="106" s="1"/>
  <c r="D905" i="106" s="1"/>
  <c r="L110" i="29"/>
  <c r="L112" i="29" s="1"/>
  <c r="L100" i="29"/>
  <c r="K99" i="29"/>
  <c r="B7010" i="106" s="1"/>
  <c r="D7010" i="106" s="1"/>
  <c r="E100" i="29"/>
  <c r="B7011" i="106" s="1"/>
  <c r="D7011" i="106" s="1"/>
  <c r="B7008" i="106"/>
  <c r="D7008" i="106" s="1"/>
  <c r="B6983" i="106"/>
  <c r="D6983" i="106" s="1"/>
  <c r="K86" i="29"/>
  <c r="B6984" i="106" s="1"/>
  <c r="D6984" i="106" s="1"/>
  <c r="B2955" i="106"/>
  <c r="D2955" i="106" s="1"/>
  <c r="H84" i="29"/>
  <c r="B1033" i="106"/>
  <c r="D1033" i="106" s="1"/>
  <c r="B1030" i="106"/>
  <c r="D1030" i="106" s="1"/>
  <c r="B793" i="106"/>
  <c r="D793" i="106" s="1"/>
  <c r="B6896" i="106"/>
  <c r="D6896" i="106" s="1"/>
  <c r="K30" i="29"/>
  <c r="B6867" i="106"/>
  <c r="D6867" i="106" s="1"/>
  <c r="B7253" i="106"/>
  <c r="D7253" i="106" s="1"/>
  <c r="B821" i="106"/>
  <c r="D821" i="106" s="1"/>
  <c r="K107" i="29"/>
  <c r="B2795" i="106" s="1"/>
  <c r="D2795" i="106" s="1"/>
  <c r="B2791" i="106"/>
  <c r="D2791" i="106" s="1"/>
  <c r="B7748" i="106"/>
  <c r="D7748" i="106" s="1"/>
  <c r="K98" i="29"/>
  <c r="B7007" i="106" s="1"/>
  <c r="D7007" i="106" s="1"/>
  <c r="B7006" i="106"/>
  <c r="D7006" i="106" s="1"/>
  <c r="H92" i="29"/>
  <c r="B6981" i="106"/>
  <c r="D6981" i="106" s="1"/>
  <c r="K85" i="29"/>
  <c r="B6982" i="106" s="1"/>
  <c r="D6982" i="106" s="1"/>
  <c r="E84" i="29"/>
  <c r="K78" i="29"/>
  <c r="B2949" i="106"/>
  <c r="D2949" i="106" s="1"/>
  <c r="B751" i="106"/>
  <c r="D751" i="106" s="1"/>
  <c r="B747" i="106"/>
  <c r="D747" i="106" s="1"/>
  <c r="K68" i="29"/>
  <c r="B1135" i="106" s="1"/>
  <c r="D1135" i="106" s="1"/>
  <c r="B742" i="106"/>
  <c r="D742" i="106" s="1"/>
  <c r="K63" i="29"/>
  <c r="B1130" i="106" s="1"/>
  <c r="D1130" i="106" s="1"/>
  <c r="B739" i="106"/>
  <c r="D739" i="106" s="1"/>
  <c r="K60" i="29"/>
  <c r="B1127" i="106" s="1"/>
  <c r="D1127" i="106" s="1"/>
  <c r="C57" i="29"/>
  <c r="B737" i="106" s="1"/>
  <c r="D737" i="106" s="1"/>
  <c r="K55" i="29"/>
  <c r="B735" i="106"/>
  <c r="D735" i="106" s="1"/>
  <c r="K50" i="29"/>
  <c r="B733" i="106"/>
  <c r="D733" i="106" s="1"/>
  <c r="K45" i="29"/>
  <c r="B1117" i="106" s="1"/>
  <c r="D1117" i="106" s="1"/>
  <c r="B729" i="106"/>
  <c r="D729" i="106" s="1"/>
  <c r="K40" i="29"/>
  <c r="B1113" i="106" s="1"/>
  <c r="D1113" i="106" s="1"/>
  <c r="B725" i="106"/>
  <c r="D725" i="106" s="1"/>
  <c r="B722" i="106"/>
  <c r="D722" i="106" s="1"/>
  <c r="K37" i="29"/>
  <c r="B1110" i="106" s="1"/>
  <c r="D1110" i="106" s="1"/>
  <c r="K29" i="29"/>
  <c r="B6894" i="106"/>
  <c r="D6894" i="106" s="1"/>
  <c r="B763" i="106"/>
  <c r="D763" i="106" s="1"/>
  <c r="D33" i="29"/>
  <c r="F159" i="34"/>
  <c r="B7761" i="106"/>
  <c r="D7761" i="106" s="1"/>
  <c r="B906" i="106"/>
  <c r="D906" i="106" s="1"/>
  <c r="F53" i="29"/>
  <c r="B908" i="106" s="1"/>
  <c r="D908" i="106" s="1"/>
  <c r="B706" i="106"/>
  <c r="D706" i="106" s="1"/>
  <c r="B6125" i="106"/>
  <c r="D6125" i="106" s="1"/>
  <c r="C34" i="3"/>
  <c r="K97" i="29"/>
  <c r="B7005" i="106" s="1"/>
  <c r="D7005" i="106" s="1"/>
  <c r="B7004" i="106"/>
  <c r="D7004" i="106" s="1"/>
  <c r="J72" i="29"/>
  <c r="B6974" i="106" s="1"/>
  <c r="D6974" i="106" s="1"/>
  <c r="B6964" i="106"/>
  <c r="D6964" i="106" s="1"/>
  <c r="J65" i="29"/>
  <c r="B6962" i="106" s="1"/>
  <c r="D6962" i="106" s="1"/>
  <c r="B6951" i="106"/>
  <c r="D6951" i="106" s="1"/>
  <c r="B6927" i="106"/>
  <c r="D6927" i="106" s="1"/>
  <c r="J53" i="29"/>
  <c r="B6943" i="106" s="1"/>
  <c r="D6943" i="106" s="1"/>
  <c r="B6919" i="106"/>
  <c r="D6919" i="106" s="1"/>
  <c r="J47" i="29"/>
  <c r="B6925" i="106" s="1"/>
  <c r="D6925" i="106" s="1"/>
  <c r="B6905" i="106"/>
  <c r="D6905" i="106" s="1"/>
  <c r="J42" i="29"/>
  <c r="K28" i="29"/>
  <c r="B6892" i="106"/>
  <c r="D6892" i="106" s="1"/>
  <c r="K18" i="29"/>
  <c r="B1100" i="106" s="1"/>
  <c r="D1100" i="106" s="1"/>
  <c r="B712" i="106"/>
  <c r="D712" i="106" s="1"/>
  <c r="K15" i="29"/>
  <c r="B719" i="106"/>
  <c r="D719" i="106" s="1"/>
  <c r="B716" i="106"/>
  <c r="D716" i="106" s="1"/>
  <c r="B7251" i="106"/>
  <c r="D7251" i="106" s="1"/>
  <c r="B705" i="106"/>
  <c r="D705" i="106" s="1"/>
  <c r="C33" i="29"/>
  <c r="B6825" i="106"/>
  <c r="D6825" i="106" s="1"/>
  <c r="B5064" i="106"/>
  <c r="D5064" i="106" s="1"/>
  <c r="B17" i="7"/>
  <c r="B6996" i="106"/>
  <c r="D6996" i="106" s="1"/>
  <c r="H100" i="29"/>
  <c r="B7012" i="106" s="1"/>
  <c r="D7012" i="106" s="1"/>
  <c r="K93" i="29"/>
  <c r="B5022" i="106"/>
  <c r="D5022" i="106" s="1"/>
  <c r="C76" i="4"/>
  <c r="B3231" i="106" s="1"/>
  <c r="D3231" i="106" s="1"/>
  <c r="B7016" i="106"/>
  <c r="D7016" i="106" s="1"/>
  <c r="K111" i="29"/>
  <c r="B7017" i="106" s="1"/>
  <c r="D7017" i="106" s="1"/>
  <c r="K96" i="29"/>
  <c r="B7003" i="106" s="1"/>
  <c r="D7003" i="106" s="1"/>
  <c r="B7002" i="106"/>
  <c r="D7002" i="106" s="1"/>
  <c r="B2954" i="106"/>
  <c r="D2954" i="106" s="1"/>
  <c r="K83" i="29"/>
  <c r="B2978" i="106" s="1"/>
  <c r="D2978" i="106" s="1"/>
  <c r="I72" i="29"/>
  <c r="B6973" i="106" s="1"/>
  <c r="D6973" i="106" s="1"/>
  <c r="B6963" i="106"/>
  <c r="D6963" i="106" s="1"/>
  <c r="I65" i="29"/>
  <c r="B6961" i="106" s="1"/>
  <c r="D6961" i="106" s="1"/>
  <c r="B6950" i="106"/>
  <c r="D6950" i="106" s="1"/>
  <c r="B6926" i="106"/>
  <c r="D6926" i="106" s="1"/>
  <c r="I53" i="29"/>
  <c r="B6942" i="106" s="1"/>
  <c r="D6942" i="106" s="1"/>
  <c r="I47" i="29"/>
  <c r="B6924" i="106" s="1"/>
  <c r="D6924" i="106" s="1"/>
  <c r="B6918" i="106"/>
  <c r="D6918" i="106" s="1"/>
  <c r="B6904" i="106"/>
  <c r="D6904" i="106" s="1"/>
  <c r="I42" i="29"/>
  <c r="B6890" i="106"/>
  <c r="D6890" i="106" s="1"/>
  <c r="K27" i="29"/>
  <c r="C18" i="4"/>
  <c r="B4131" i="106" s="1"/>
  <c r="D4131" i="106" s="1"/>
  <c r="B4113" i="106"/>
  <c r="D4113" i="106" s="1"/>
  <c r="D78" i="36"/>
  <c r="F100" i="34"/>
  <c r="B5110" i="106"/>
  <c r="D5110" i="106" s="1"/>
  <c r="B5118" i="106"/>
  <c r="D5118" i="106" s="1"/>
  <c r="F105" i="34"/>
  <c r="K109" i="29"/>
  <c r="B1149" i="106" s="1"/>
  <c r="D1149" i="106" s="1"/>
  <c r="B1051" i="106"/>
  <c r="D1051" i="106" s="1"/>
  <c r="K95" i="29"/>
  <c r="B7001" i="106" s="1"/>
  <c r="D7001" i="106" s="1"/>
  <c r="B7000" i="106"/>
  <c r="D7000" i="106" s="1"/>
  <c r="B1031" i="106"/>
  <c r="D1031" i="106" s="1"/>
  <c r="K59" i="29"/>
  <c r="B794" i="106"/>
  <c r="D794" i="106" s="1"/>
  <c r="B1022" i="106"/>
  <c r="D1022" i="106" s="1"/>
  <c r="H53" i="29"/>
  <c r="B1024" i="106" s="1"/>
  <c r="D1024" i="106" s="1"/>
  <c r="B1018" i="106"/>
  <c r="D1018" i="106" s="1"/>
  <c r="H47" i="29"/>
  <c r="B1021" i="106" s="1"/>
  <c r="D1021" i="106" s="1"/>
  <c r="B784" i="106"/>
  <c r="D784" i="106" s="1"/>
  <c r="H42" i="29"/>
  <c r="B1011" i="106"/>
  <c r="D1011" i="106" s="1"/>
  <c r="B6888" i="106"/>
  <c r="D6888" i="106" s="1"/>
  <c r="K26" i="29"/>
  <c r="B5072" i="106"/>
  <c r="D5072" i="106" s="1"/>
  <c r="F160" i="34"/>
  <c r="B7867" i="106" s="1"/>
  <c r="D7867" i="106" s="1"/>
  <c r="D76" i="4"/>
  <c r="B3237" i="106" s="1"/>
  <c r="D3237" i="106" s="1"/>
  <c r="B5023" i="106"/>
  <c r="D5023" i="106" s="1"/>
  <c r="D44" i="4"/>
  <c r="B7749" i="106"/>
  <c r="D7749" i="106" s="1"/>
  <c r="B2979" i="106"/>
  <c r="D2979" i="106" s="1"/>
  <c r="H137" i="29"/>
  <c r="B1243" i="106"/>
  <c r="D1243" i="106" s="1"/>
  <c r="F127" i="29"/>
  <c r="B1247" i="106" s="1"/>
  <c r="D1247" i="106" s="1"/>
  <c r="F33" i="34"/>
  <c r="B5494" i="106"/>
  <c r="D5494" i="106" s="1"/>
  <c r="D114" i="5"/>
  <c r="B5357" i="106"/>
  <c r="D5357" i="106" s="1"/>
  <c r="B4199" i="106"/>
  <c r="D4199" i="106" s="1"/>
  <c r="K134" i="29"/>
  <c r="E137" i="29"/>
  <c r="L137" i="29"/>
  <c r="L139" i="29" s="1"/>
  <c r="E39" i="4"/>
  <c r="B6287" i="106" s="1"/>
  <c r="D6287" i="106" s="1"/>
  <c r="B6247" i="106"/>
  <c r="D6247" i="106" s="1"/>
  <c r="B1270" i="106"/>
  <c r="D1270" i="106" s="1"/>
  <c r="K146" i="29"/>
  <c r="B1285" i="106" s="1"/>
  <c r="D1285" i="106" s="1"/>
  <c r="B1227" i="106"/>
  <c r="D1227" i="106" s="1"/>
  <c r="D127" i="29"/>
  <c r="B1231" i="106" s="1"/>
  <c r="D1231" i="106" s="1"/>
  <c r="B5333" i="106"/>
  <c r="D5333" i="106" s="1"/>
  <c r="B2808" i="106"/>
  <c r="D2808" i="106" s="1"/>
  <c r="K145" i="29"/>
  <c r="B2811" i="106" s="1"/>
  <c r="D2811" i="106" s="1"/>
  <c r="B3482" i="106"/>
  <c r="D3482" i="106" s="1"/>
  <c r="K125" i="29"/>
  <c r="B3488" i="106" s="1"/>
  <c r="D3488" i="106" s="1"/>
  <c r="C127" i="29"/>
  <c r="B1223" i="106" s="1"/>
  <c r="D1223" i="106" s="1"/>
  <c r="B1219" i="106"/>
  <c r="D1219" i="106" s="1"/>
  <c r="D141" i="5"/>
  <c r="B5383" i="106" s="1"/>
  <c r="D5383" i="106" s="1"/>
  <c r="B5370" i="106"/>
  <c r="D5370" i="106" s="1"/>
  <c r="B2807" i="106"/>
  <c r="D2807" i="106" s="1"/>
  <c r="K144" i="29"/>
  <c r="B2810" i="106" s="1"/>
  <c r="D2810" i="106" s="1"/>
  <c r="B7023" i="106"/>
  <c r="D7023" i="106" s="1"/>
  <c r="D181" i="5"/>
  <c r="B5425" i="106" s="1"/>
  <c r="D5425" i="106" s="1"/>
  <c r="B5424" i="106"/>
  <c r="D5424" i="106" s="1"/>
  <c r="D155" i="5"/>
  <c r="B5394" i="106" s="1"/>
  <c r="D5394" i="106" s="1"/>
  <c r="B5391" i="106"/>
  <c r="D5391" i="106" s="1"/>
  <c r="L149" i="29"/>
  <c r="L147" i="29"/>
  <c r="B1269" i="106"/>
  <c r="D1269" i="106" s="1"/>
  <c r="K143" i="29"/>
  <c r="B1284" i="106" s="1"/>
  <c r="D1284" i="106" s="1"/>
  <c r="B1224" i="106"/>
  <c r="D1224" i="106" s="1"/>
  <c r="K128" i="29"/>
  <c r="B1280" i="106" s="1"/>
  <c r="D1280" i="106" s="1"/>
  <c r="B7022" i="106"/>
  <c r="D7022" i="106" s="1"/>
  <c r="D209" i="5"/>
  <c r="B4412" i="106" s="1"/>
  <c r="D4412" i="106" s="1"/>
  <c r="B5440" i="106"/>
  <c r="D5440" i="106" s="1"/>
  <c r="B5368" i="106"/>
  <c r="D5368" i="106" s="1"/>
  <c r="D132" i="5"/>
  <c r="B5343" i="106"/>
  <c r="D5343" i="106" s="1"/>
  <c r="D82" i="5"/>
  <c r="B5332" i="106"/>
  <c r="D5332" i="106" s="1"/>
  <c r="K148" i="29"/>
  <c r="B7050" i="106" s="1"/>
  <c r="D7050" i="106" s="1"/>
  <c r="B7049" i="106"/>
  <c r="D7049" i="106" s="1"/>
  <c r="B6251" i="106"/>
  <c r="D6251" i="106" s="1"/>
  <c r="H41" i="4"/>
  <c r="B6289" i="106" s="1"/>
  <c r="D6289" i="106" s="1"/>
  <c r="H147" i="29"/>
  <c r="K142" i="29"/>
  <c r="B1268" i="106"/>
  <c r="D1268" i="106" s="1"/>
  <c r="B4079" i="106"/>
  <c r="D4079" i="106" s="1"/>
  <c r="B5422" i="106"/>
  <c r="D5422" i="106" s="1"/>
  <c r="D175" i="5"/>
  <c r="B3698" i="106"/>
  <c r="D3698" i="106" s="1"/>
  <c r="K52" i="4"/>
  <c r="B3702" i="106" s="1"/>
  <c r="D3702" i="106" s="1"/>
  <c r="B2092" i="106"/>
  <c r="D2092" i="106" s="1"/>
  <c r="K138" i="29"/>
  <c r="B2094" i="106" s="1"/>
  <c r="D2094" i="106" s="1"/>
  <c r="B1254" i="106"/>
  <c r="D1254" i="106" s="1"/>
  <c r="K126" i="29"/>
  <c r="B1277" i="106" s="1"/>
  <c r="D1277" i="106" s="1"/>
  <c r="K123" i="29"/>
  <c r="B1275" i="106" s="1"/>
  <c r="D1275" i="106" s="1"/>
  <c r="B1220" i="106"/>
  <c r="D1220" i="106" s="1"/>
  <c r="B4078" i="106"/>
  <c r="D4078" i="106" s="1"/>
  <c r="F111" i="34"/>
  <c r="B7846" i="106" s="1"/>
  <c r="D7846" i="106" s="1"/>
  <c r="B5384" i="106"/>
  <c r="D5384" i="106" s="1"/>
  <c r="B5340" i="106"/>
  <c r="D5340" i="106" s="1"/>
  <c r="H51" i="4"/>
  <c r="B3170" i="106" s="1"/>
  <c r="D3170" i="106" s="1"/>
  <c r="B3161" i="106"/>
  <c r="D3161" i="106" s="1"/>
  <c r="J127" i="29"/>
  <c r="B7034" i="106" s="1"/>
  <c r="D7034" i="106" s="1"/>
  <c r="B7025" i="106"/>
  <c r="D7025" i="106" s="1"/>
  <c r="B4077" i="106"/>
  <c r="D4077" i="106" s="1"/>
  <c r="B4329" i="106"/>
  <c r="D4329" i="106" s="1"/>
  <c r="F121" i="34"/>
  <c r="B5331" i="106"/>
  <c r="D5331" i="106" s="1"/>
  <c r="B5349" i="106"/>
  <c r="D5349" i="106" s="1"/>
  <c r="D108" i="5"/>
  <c r="B5355" i="106" s="1"/>
  <c r="D5355" i="106" s="1"/>
  <c r="D188" i="5"/>
  <c r="B5426" i="106"/>
  <c r="D5426" i="106" s="1"/>
  <c r="K136" i="29"/>
  <c r="B2988" i="106" s="1"/>
  <c r="D2988" i="106" s="1"/>
  <c r="B4201" i="106"/>
  <c r="D4201" i="106" s="1"/>
  <c r="K130" i="29"/>
  <c r="B2797" i="106"/>
  <c r="D2797" i="106" s="1"/>
  <c r="I127" i="29"/>
  <c r="B7033" i="106" s="1"/>
  <c r="D7033" i="106" s="1"/>
  <c r="B7024" i="106"/>
  <c r="D7024" i="106" s="1"/>
  <c r="B4076" i="106"/>
  <c r="D4076" i="106" s="1"/>
  <c r="B5431" i="106"/>
  <c r="D5431" i="106" s="1"/>
  <c r="D204" i="5"/>
  <c r="B5444" i="106" s="1"/>
  <c r="D5444" i="106" s="1"/>
  <c r="B5361" i="106"/>
  <c r="D5361" i="106" s="1"/>
  <c r="D122" i="5"/>
  <c r="D217" i="5"/>
  <c r="B5470" i="106" s="1"/>
  <c r="D5470" i="106" s="1"/>
  <c r="B5458" i="106"/>
  <c r="D5458" i="106" s="1"/>
  <c r="B6249" i="106"/>
  <c r="D6249" i="106" s="1"/>
  <c r="E40" i="4"/>
  <c r="B6288" i="106" s="1"/>
  <c r="D6288" i="106" s="1"/>
  <c r="H19" i="118"/>
  <c r="B6241" i="106"/>
  <c r="D6241" i="106" s="1"/>
  <c r="H14" i="118"/>
  <c r="B1260" i="106"/>
  <c r="D1260" i="106" s="1"/>
  <c r="H127" i="29"/>
  <c r="B1264" i="106" s="1"/>
  <c r="D1264" i="106" s="1"/>
  <c r="B4075" i="106"/>
  <c r="D4075" i="106" s="1"/>
  <c r="K135" i="29"/>
  <c r="B2987" i="106" s="1"/>
  <c r="D2987" i="106" s="1"/>
  <c r="B4200" i="106"/>
  <c r="D4200" i="106" s="1"/>
  <c r="K124" i="29"/>
  <c r="B1276" i="106" s="1"/>
  <c r="D1276" i="106" s="1"/>
  <c r="B1221" i="106"/>
  <c r="D1221" i="106" s="1"/>
  <c r="G127" i="29"/>
  <c r="B1256" i="106" s="1"/>
  <c r="D1256" i="106" s="1"/>
  <c r="B1251" i="106"/>
  <c r="D1251" i="106" s="1"/>
  <c r="K120" i="29"/>
  <c r="B4074" i="106"/>
  <c r="D4074" i="106" s="1"/>
  <c r="D252" i="5"/>
  <c r="B6834" i="106" s="1"/>
  <c r="D6834" i="106" s="1"/>
  <c r="B6615" i="106"/>
  <c r="D6615" i="106" s="1"/>
  <c r="B5335" i="106"/>
  <c r="D5335" i="106" s="1"/>
  <c r="D18" i="5"/>
  <c r="B5339" i="106" s="1"/>
  <c r="D5339" i="106" s="1"/>
  <c r="K165" i="29"/>
  <c r="B2818" i="106" s="1"/>
  <c r="D2818" i="106" s="1"/>
  <c r="B2812" i="106"/>
  <c r="D2812" i="106" s="1"/>
  <c r="B1311" i="106"/>
  <c r="D1311" i="106" s="1"/>
  <c r="K164" i="29"/>
  <c r="B1325" i="106" s="1"/>
  <c r="D1325" i="106" s="1"/>
  <c r="B5514" i="106"/>
  <c r="D5514" i="106" s="1"/>
  <c r="E18" i="5"/>
  <c r="B5518" i="106" s="1"/>
  <c r="D5518" i="106" s="1"/>
  <c r="B3699" i="106"/>
  <c r="D3699" i="106" s="1"/>
  <c r="K53" i="4"/>
  <c r="B3703" i="106" s="1"/>
  <c r="D3703" i="106" s="1"/>
  <c r="B1310" i="106"/>
  <c r="D1310" i="106" s="1"/>
  <c r="K163" i="29"/>
  <c r="H168" i="29"/>
  <c r="E169" i="5"/>
  <c r="B5537" i="106" s="1"/>
  <c r="D5537" i="106" s="1"/>
  <c r="B6368" i="106"/>
  <c r="D6368" i="106" s="1"/>
  <c r="B2817" i="106"/>
  <c r="D2817" i="106" s="1"/>
  <c r="E76" i="4"/>
  <c r="B3276" i="106" s="1"/>
  <c r="D3276" i="106" s="1"/>
  <c r="H160" i="29"/>
  <c r="B7053" i="106" s="1"/>
  <c r="D7053" i="106" s="1"/>
  <c r="K157" i="29"/>
  <c r="B7777" i="106"/>
  <c r="D7777" i="106" s="1"/>
  <c r="E34" i="3"/>
  <c r="B6127" i="106"/>
  <c r="D6127" i="106" s="1"/>
  <c r="B5512" i="106"/>
  <c r="D5512" i="106" s="1"/>
  <c r="B5522" i="106"/>
  <c r="D5522" i="106" s="1"/>
  <c r="E108" i="5"/>
  <c r="B5526" i="106" s="1"/>
  <c r="D5526" i="106" s="1"/>
  <c r="E13" i="3"/>
  <c r="D36" i="36"/>
  <c r="B3417" i="106"/>
  <c r="D3417" i="106" s="1"/>
  <c r="E122" i="5"/>
  <c r="B5528" i="106"/>
  <c r="D5528" i="106" s="1"/>
  <c r="K171" i="29"/>
  <c r="B1330" i="106" s="1"/>
  <c r="D1330" i="106" s="1"/>
  <c r="B1307" i="106"/>
  <c r="D1307" i="106" s="1"/>
  <c r="E172" i="29"/>
  <c r="E252" i="5"/>
  <c r="B6714" i="106"/>
  <c r="D6714" i="106" s="1"/>
  <c r="B1315" i="106"/>
  <c r="D1315" i="106" s="1"/>
  <c r="K170" i="29"/>
  <c r="D69" i="36"/>
  <c r="L168" i="29"/>
  <c r="L172" i="29" s="1"/>
  <c r="L174" i="29" s="1"/>
  <c r="B1312" i="106"/>
  <c r="D1312" i="106" s="1"/>
  <c r="K169" i="29"/>
  <c r="B1326" i="106" s="1"/>
  <c r="D1326" i="106" s="1"/>
  <c r="E175" i="5"/>
  <c r="B4364" i="106"/>
  <c r="D4364" i="106" s="1"/>
  <c r="B1313" i="106"/>
  <c r="D1313" i="106" s="1"/>
  <c r="K167" i="29"/>
  <c r="B1327" i="106" s="1"/>
  <c r="D1327" i="106" s="1"/>
  <c r="B2813" i="106"/>
  <c r="D2813" i="106" s="1"/>
  <c r="K166" i="29"/>
  <c r="B2819" i="106" s="1"/>
  <c r="D2819" i="106" s="1"/>
  <c r="K206" i="29"/>
  <c r="B4210" i="106"/>
  <c r="D4210" i="106" s="1"/>
  <c r="B4085" i="106"/>
  <c r="D4085" i="106" s="1"/>
  <c r="B5664" i="106"/>
  <c r="D5664" i="106" s="1"/>
  <c r="F204" i="5"/>
  <c r="B5677" i="106" s="1"/>
  <c r="D5677" i="106" s="1"/>
  <c r="B7067" i="106"/>
  <c r="D7067" i="106" s="1"/>
  <c r="K205" i="29"/>
  <c r="B7068" i="106" s="1"/>
  <c r="D7068" i="106" s="1"/>
  <c r="F184" i="29"/>
  <c r="B4084" i="106"/>
  <c r="D4084" i="106" s="1"/>
  <c r="B5580" i="106"/>
  <c r="D5580" i="106" s="1"/>
  <c r="B5570" i="106"/>
  <c r="D5570" i="106" s="1"/>
  <c r="F89" i="34"/>
  <c r="B5024" i="106"/>
  <c r="D5024" i="106" s="1"/>
  <c r="K192" i="29"/>
  <c r="B3011" i="106" s="1"/>
  <c r="D3011" i="106" s="1"/>
  <c r="B2993" i="106"/>
  <c r="D2993" i="106" s="1"/>
  <c r="B1338" i="106"/>
  <c r="D1338" i="106" s="1"/>
  <c r="F23" i="34"/>
  <c r="B5571" i="106"/>
  <c r="D5571" i="106" s="1"/>
  <c r="K203" i="29"/>
  <c r="B1385" i="106" s="1"/>
  <c r="D1385" i="106" s="1"/>
  <c r="B1373" i="106"/>
  <c r="D1373" i="106" s="1"/>
  <c r="K191" i="29"/>
  <c r="B3010" i="106" s="1"/>
  <c r="D3010" i="106" s="1"/>
  <c r="B2992" i="106"/>
  <c r="D2992" i="106" s="1"/>
  <c r="B4083" i="106"/>
  <c r="D4083" i="106" s="1"/>
  <c r="E184" i="29"/>
  <c r="F28" i="34"/>
  <c r="B6315" i="106"/>
  <c r="D6315" i="106" s="1"/>
  <c r="F22" i="34"/>
  <c r="B6313" i="106"/>
  <c r="D6313" i="106" s="1"/>
  <c r="B5558" i="106"/>
  <c r="D5558" i="106" s="1"/>
  <c r="F18" i="5"/>
  <c r="B5562" i="106" s="1"/>
  <c r="D5562" i="106" s="1"/>
  <c r="B5569" i="106"/>
  <c r="D5569" i="106" s="1"/>
  <c r="F21" i="34"/>
  <c r="K201" i="29"/>
  <c r="B2841" i="106" s="1"/>
  <c r="D2841" i="106" s="1"/>
  <c r="B2831" i="106"/>
  <c r="D2831" i="106" s="1"/>
  <c r="K190" i="29"/>
  <c r="B3009" i="106" s="1"/>
  <c r="D3009" i="106" s="1"/>
  <c r="B2991" i="106"/>
  <c r="D2991" i="106" s="1"/>
  <c r="B2820" i="106"/>
  <c r="D2820" i="106" s="1"/>
  <c r="K185" i="29"/>
  <c r="B5659" i="106"/>
  <c r="D5659" i="106" s="1"/>
  <c r="F188" i="5"/>
  <c r="F132" i="5"/>
  <c r="B5600" i="106"/>
  <c r="D5600" i="106" s="1"/>
  <c r="F26" i="34"/>
  <c r="B5577" i="106"/>
  <c r="D5577" i="106" s="1"/>
  <c r="B5568" i="106"/>
  <c r="D5568" i="106" s="1"/>
  <c r="F20" i="34"/>
  <c r="F108" i="5"/>
  <c r="B5587" i="106" s="1"/>
  <c r="D5587" i="106" s="1"/>
  <c r="B5583" i="106"/>
  <c r="D5583" i="106" s="1"/>
  <c r="K202" i="29"/>
  <c r="B2842" i="106" s="1"/>
  <c r="D2842" i="106" s="1"/>
  <c r="B2832" i="106"/>
  <c r="D2832" i="106" s="1"/>
  <c r="D184" i="29"/>
  <c r="B4082" i="106"/>
  <c r="D4082" i="106" s="1"/>
  <c r="B1372" i="106"/>
  <c r="D1372" i="106" s="1"/>
  <c r="K200" i="29"/>
  <c r="B1384" i="106" s="1"/>
  <c r="D1384" i="106" s="1"/>
  <c r="B6617" i="106"/>
  <c r="D6617" i="106" s="1"/>
  <c r="F252" i="5"/>
  <c r="B6836" i="106" s="1"/>
  <c r="D6836" i="106" s="1"/>
  <c r="F25" i="34"/>
  <c r="B5576" i="106"/>
  <c r="D5576" i="106" s="1"/>
  <c r="F19" i="34"/>
  <c r="B5567" i="106"/>
  <c r="D5567" i="106" s="1"/>
  <c r="B5556" i="106"/>
  <c r="D5556" i="106" s="1"/>
  <c r="D37" i="36"/>
  <c r="B3419" i="106"/>
  <c r="D3419" i="106" s="1"/>
  <c r="B1371" i="106"/>
  <c r="D1371" i="106" s="1"/>
  <c r="H204" i="29"/>
  <c r="K199" i="29"/>
  <c r="K189" i="29"/>
  <c r="B3008" i="106" s="1"/>
  <c r="D3008" i="106" s="1"/>
  <c r="B2990" i="106"/>
  <c r="D2990" i="106" s="1"/>
  <c r="F181" i="5"/>
  <c r="B5658" i="106" s="1"/>
  <c r="D5658" i="106" s="1"/>
  <c r="B4804" i="106"/>
  <c r="D4804" i="106" s="1"/>
  <c r="F94" i="34"/>
  <c r="B7764" i="106"/>
  <c r="D7764" i="106" s="1"/>
  <c r="F63" i="5"/>
  <c r="B5579" i="106" s="1"/>
  <c r="D5579" i="106" s="1"/>
  <c r="B5692" i="106"/>
  <c r="D5692" i="106" s="1"/>
  <c r="F32" i="34"/>
  <c r="B7825" i="106" s="1"/>
  <c r="D7825" i="106" s="1"/>
  <c r="F27" i="34"/>
  <c r="B5578" i="106"/>
  <c r="D5578" i="106" s="1"/>
  <c r="L204" i="29"/>
  <c r="L208" i="29" s="1"/>
  <c r="B2995" i="106"/>
  <c r="D2995" i="106" s="1"/>
  <c r="H194" i="29"/>
  <c r="B1369" i="106"/>
  <c r="D1369" i="106" s="1"/>
  <c r="F155" i="5"/>
  <c r="B5618" i="106" s="1"/>
  <c r="D5618" i="106" s="1"/>
  <c r="B5615" i="106"/>
  <c r="D5615" i="106" s="1"/>
  <c r="B5575" i="106"/>
  <c r="D5575" i="106" s="1"/>
  <c r="F93" i="34"/>
  <c r="F87" i="34"/>
  <c r="B5566" i="106"/>
  <c r="D5566" i="106" s="1"/>
  <c r="D71" i="36"/>
  <c r="B5014" i="106"/>
  <c r="D5014" i="106" s="1"/>
  <c r="B2824" i="106"/>
  <c r="D2824" i="106" s="1"/>
  <c r="K195" i="29"/>
  <c r="B2839" i="106" s="1"/>
  <c r="D2839" i="106" s="1"/>
  <c r="E194" i="29"/>
  <c r="K188" i="29"/>
  <c r="B2989" i="106"/>
  <c r="D2989" i="106" s="1"/>
  <c r="B1335" i="106"/>
  <c r="D1335" i="106" s="1"/>
  <c r="B5673" i="106"/>
  <c r="D5673" i="106" s="1"/>
  <c r="F209" i="5"/>
  <c r="B4413" i="106" s="1"/>
  <c r="D4413" i="106" s="1"/>
  <c r="F175" i="5"/>
  <c r="B5654" i="106"/>
  <c r="D5654" i="106" s="1"/>
  <c r="B4354" i="106"/>
  <c r="D4354" i="106" s="1"/>
  <c r="F30" i="34"/>
  <c r="B7823" i="106" s="1"/>
  <c r="B5593" i="106"/>
  <c r="D5593" i="106" s="1"/>
  <c r="F122" i="5"/>
  <c r="B5574" i="106"/>
  <c r="D5574" i="106" s="1"/>
  <c r="F24" i="34"/>
  <c r="B5565" i="106"/>
  <c r="D5565" i="106" s="1"/>
  <c r="F86" i="34"/>
  <c r="B5555" i="106"/>
  <c r="D5555" i="106" s="1"/>
  <c r="J184" i="29"/>
  <c r="B7058" i="106"/>
  <c r="D7058" i="106" s="1"/>
  <c r="B4795" i="106"/>
  <c r="D4795" i="106" s="1"/>
  <c r="F29" i="34"/>
  <c r="B7881" i="106" s="1"/>
  <c r="D7881" i="106" s="1"/>
  <c r="B6369" i="106"/>
  <c r="D6369" i="106" s="1"/>
  <c r="F92" i="34"/>
  <c r="B5573" i="106"/>
  <c r="D5573" i="106" s="1"/>
  <c r="F18" i="34"/>
  <c r="B5564" i="106"/>
  <c r="D5564" i="106" s="1"/>
  <c r="B7751" i="106"/>
  <c r="D7751" i="106" s="1"/>
  <c r="K193" i="29"/>
  <c r="B3012" i="106" s="1"/>
  <c r="D3012" i="106" s="1"/>
  <c r="B2994" i="106"/>
  <c r="D2994" i="106" s="1"/>
  <c r="I184" i="29"/>
  <c r="B7057" i="106"/>
  <c r="D7057" i="106" s="1"/>
  <c r="F91" i="34"/>
  <c r="B6314" i="106"/>
  <c r="D6314" i="106" s="1"/>
  <c r="B5563" i="106"/>
  <c r="D5563" i="106" s="1"/>
  <c r="F85" i="34"/>
  <c r="F217" i="5"/>
  <c r="B5703" i="106" s="1"/>
  <c r="D5703" i="106" s="1"/>
  <c r="B5691" i="106"/>
  <c r="D5691" i="106" s="1"/>
  <c r="F31" i="34"/>
  <c r="B7824" i="106" s="1"/>
  <c r="K207" i="29"/>
  <c r="B7070" i="106" s="1"/>
  <c r="D7070" i="106" s="1"/>
  <c r="B7069" i="106"/>
  <c r="D7069" i="106" s="1"/>
  <c r="B4086" i="106"/>
  <c r="D4086" i="106" s="1"/>
  <c r="B4318" i="106"/>
  <c r="D4318" i="106" s="1"/>
  <c r="F114" i="5"/>
  <c r="B5589" i="106"/>
  <c r="D5589" i="106" s="1"/>
  <c r="B5572" i="106"/>
  <c r="D5572" i="106" s="1"/>
  <c r="F90" i="34"/>
  <c r="B7" i="7"/>
  <c r="B5553" i="106"/>
  <c r="D5553" i="106" s="1"/>
  <c r="B5584" i="106"/>
  <c r="D5584" i="106" s="1"/>
  <c r="F103" i="34"/>
  <c r="B7840" i="106" s="1"/>
  <c r="D7840" i="106" s="1"/>
  <c r="B7073" i="106"/>
  <c r="D7073" i="106" s="1"/>
  <c r="K216" i="29"/>
  <c r="F155" i="34"/>
  <c r="B6813" i="106"/>
  <c r="D6813" i="106" s="1"/>
  <c r="B1440" i="106"/>
  <c r="D1440" i="106" s="1"/>
  <c r="K275" i="29"/>
  <c r="B1504" i="106" s="1"/>
  <c r="D1504" i="106" s="1"/>
  <c r="B1425" i="106"/>
  <c r="D1425" i="106" s="1"/>
  <c r="D261" i="29"/>
  <c r="K259" i="29"/>
  <c r="B1422" i="106"/>
  <c r="D1422" i="106" s="1"/>
  <c r="D257" i="29"/>
  <c r="B1424" i="106" s="1"/>
  <c r="D1424" i="106" s="1"/>
  <c r="K245" i="29"/>
  <c r="B7079" i="106"/>
  <c r="D7079" i="106" s="1"/>
  <c r="K226" i="29"/>
  <c r="B7080" i="106" s="1"/>
  <c r="D7080" i="106" s="1"/>
  <c r="B4864" i="106"/>
  <c r="D4864" i="106" s="1"/>
  <c r="B6805" i="106"/>
  <c r="D6805" i="106" s="1"/>
  <c r="B6618" i="106"/>
  <c r="D6618" i="106" s="1"/>
  <c r="G252" i="5"/>
  <c r="B6837" i="106" s="1"/>
  <c r="D6837" i="106" s="1"/>
  <c r="B5757" i="106"/>
  <c r="D5757" i="106" s="1"/>
  <c r="B5731" i="106"/>
  <c r="D5731" i="106" s="1"/>
  <c r="K247" i="29"/>
  <c r="B2726" i="106" s="1"/>
  <c r="D2726" i="106" s="1"/>
  <c r="B2725" i="106"/>
  <c r="D2725" i="106" s="1"/>
  <c r="B6630" i="106"/>
  <c r="D6630" i="106" s="1"/>
  <c r="D229" i="29"/>
  <c r="K215" i="29"/>
  <c r="B3387" i="106"/>
  <c r="D3387" i="106" s="1"/>
  <c r="B5763" i="106"/>
  <c r="D5763" i="106" s="1"/>
  <c r="B6129" i="106"/>
  <c r="D6129" i="106" s="1"/>
  <c r="G34" i="3"/>
  <c r="G44" i="4"/>
  <c r="B7752" i="106"/>
  <c r="D7752" i="106" s="1"/>
  <c r="G35" i="108"/>
  <c r="B1439" i="106"/>
  <c r="D1439" i="106" s="1"/>
  <c r="K274" i="29"/>
  <c r="B1503" i="106" s="1"/>
  <c r="D1503" i="106" s="1"/>
  <c r="E35" i="108"/>
  <c r="B7097" i="106"/>
  <c r="D7097" i="106" s="1"/>
  <c r="K256" i="29"/>
  <c r="B7098" i="106" s="1"/>
  <c r="D7098" i="106" s="1"/>
  <c r="B1420" i="106"/>
  <c r="D1420" i="106" s="1"/>
  <c r="K242" i="29"/>
  <c r="B1484" i="106" s="1"/>
  <c r="D1484" i="106" s="1"/>
  <c r="K225" i="29"/>
  <c r="B1460" i="106" s="1"/>
  <c r="D1460" i="106" s="1"/>
  <c r="B1396" i="106"/>
  <c r="D1396" i="106" s="1"/>
  <c r="D17" i="171"/>
  <c r="B4448" i="106"/>
  <c r="D4448" i="106" s="1"/>
  <c r="F170" i="34"/>
  <c r="B7875" i="106" s="1"/>
  <c r="D7875" i="106" s="1"/>
  <c r="F153" i="34"/>
  <c r="B6797" i="106"/>
  <c r="D6797" i="106" s="1"/>
  <c r="B5722" i="106"/>
  <c r="D5722" i="106" s="1"/>
  <c r="B5734" i="106"/>
  <c r="D5734" i="106" s="1"/>
  <c r="G108" i="5"/>
  <c r="B5737" i="106" s="1"/>
  <c r="D5737" i="106" s="1"/>
  <c r="B4343" i="106"/>
  <c r="D4343" i="106" s="1"/>
  <c r="F132" i="34"/>
  <c r="B7864" i="106" s="1"/>
  <c r="D7864" i="106" s="1"/>
  <c r="F129" i="34"/>
  <c r="B7861" i="106" s="1"/>
  <c r="D7861" i="106" s="1"/>
  <c r="B5821" i="106"/>
  <c r="D5821" i="106" s="1"/>
  <c r="B179" i="106"/>
  <c r="D179" i="106" s="1"/>
  <c r="B1451" i="106"/>
  <c r="D1451" i="106" s="1"/>
  <c r="K292" i="29"/>
  <c r="B1514" i="106" s="1"/>
  <c r="D1514" i="106" s="1"/>
  <c r="B1438" i="106"/>
  <c r="D1438" i="106" s="1"/>
  <c r="K273" i="29"/>
  <c r="B1502" i="106" s="1"/>
  <c r="D1502" i="106" s="1"/>
  <c r="K255" i="29"/>
  <c r="B7096" i="106" s="1"/>
  <c r="D7096" i="106" s="1"/>
  <c r="B7095" i="106"/>
  <c r="D7095" i="106" s="1"/>
  <c r="K241" i="29"/>
  <c r="B1483" i="106" s="1"/>
  <c r="D1483" i="106" s="1"/>
  <c r="B1419" i="106"/>
  <c r="D1419" i="106" s="1"/>
  <c r="K224" i="29"/>
  <c r="B1409" i="106"/>
  <c r="D1409" i="106" s="1"/>
  <c r="B4361" i="106"/>
  <c r="D4361" i="106" s="1"/>
  <c r="F169" i="34"/>
  <c r="B7874" i="106" s="1"/>
  <c r="D7874" i="106" s="1"/>
  <c r="B6693" i="106"/>
  <c r="D6693" i="106" s="1"/>
  <c r="G188" i="5"/>
  <c r="B5785" i="106"/>
  <c r="D5785" i="106" s="1"/>
  <c r="D277" i="29"/>
  <c r="B1444" i="106" s="1"/>
  <c r="D1444" i="106" s="1"/>
  <c r="F134" i="34"/>
  <c r="B6625" i="106"/>
  <c r="D6625" i="106" s="1"/>
  <c r="L243" i="29"/>
  <c r="B6117" i="106"/>
  <c r="D6117" i="106" s="1"/>
  <c r="B2844" i="106"/>
  <c r="D2844" i="106" s="1"/>
  <c r="K291" i="29"/>
  <c r="B2846" i="106" s="1"/>
  <c r="D2846" i="106" s="1"/>
  <c r="B1437" i="106"/>
  <c r="D1437" i="106" s="1"/>
  <c r="K272" i="29"/>
  <c r="B7093" i="106"/>
  <c r="D7093" i="106" s="1"/>
  <c r="K254" i="29"/>
  <c r="B7094" i="106" s="1"/>
  <c r="D7094" i="106" s="1"/>
  <c r="D243" i="29"/>
  <c r="K240" i="29"/>
  <c r="B1418" i="106"/>
  <c r="D1418" i="106" s="1"/>
  <c r="K223" i="29"/>
  <c r="B1472" i="106" s="1"/>
  <c r="D1472" i="106" s="1"/>
  <c r="B1408" i="106"/>
  <c r="D1408" i="106" s="1"/>
  <c r="B4192" i="106"/>
  <c r="D4192" i="106" s="1"/>
  <c r="B6781" i="106"/>
  <c r="D6781" i="106" s="1"/>
  <c r="B6686" i="106"/>
  <c r="D6686" i="106" s="1"/>
  <c r="G221" i="5"/>
  <c r="B5844" i="106"/>
  <c r="D5844" i="106" s="1"/>
  <c r="B6380" i="106"/>
  <c r="D6380" i="106" s="1"/>
  <c r="G155" i="5"/>
  <c r="B5749" i="106"/>
  <c r="D5749" i="106" s="1"/>
  <c r="G141" i="5"/>
  <c r="B2843" i="106"/>
  <c r="D2843" i="106" s="1"/>
  <c r="K290" i="29"/>
  <c r="B2845" i="106" s="1"/>
  <c r="D2845" i="106" s="1"/>
  <c r="B1434" i="106"/>
  <c r="D1434" i="106" s="1"/>
  <c r="K269" i="29"/>
  <c r="B1498" i="106" s="1"/>
  <c r="D1498" i="106" s="1"/>
  <c r="K253" i="29"/>
  <c r="B7092" i="106" s="1"/>
  <c r="D7092" i="106" s="1"/>
  <c r="B7091" i="106"/>
  <c r="D7091" i="106" s="1"/>
  <c r="K237" i="29"/>
  <c r="B1480" i="106" s="1"/>
  <c r="D1480" i="106" s="1"/>
  <c r="B1416" i="106"/>
  <c r="D1416" i="106" s="1"/>
  <c r="K222" i="29"/>
  <c r="B1471" i="106" s="1"/>
  <c r="D1471" i="106" s="1"/>
  <c r="B1407" i="106"/>
  <c r="D1407" i="106" s="1"/>
  <c r="B4421" i="106"/>
  <c r="D4421" i="106" s="1"/>
  <c r="B6773" i="106"/>
  <c r="D6773" i="106" s="1"/>
  <c r="B6678" i="106"/>
  <c r="D6678" i="106" s="1"/>
  <c r="B4810" i="106"/>
  <c r="D4810" i="106" s="1"/>
  <c r="G181" i="5"/>
  <c r="B5726" i="106"/>
  <c r="D5726" i="106" s="1"/>
  <c r="G18" i="5"/>
  <c r="B5730" i="106" s="1"/>
  <c r="D5730" i="106" s="1"/>
  <c r="K278" i="29"/>
  <c r="B1509" i="106" s="1"/>
  <c r="D1509" i="106" s="1"/>
  <c r="B1445" i="106"/>
  <c r="D1445" i="106" s="1"/>
  <c r="B5790" i="106"/>
  <c r="D5790" i="106" s="1"/>
  <c r="B1423" i="106"/>
  <c r="D1423" i="106" s="1"/>
  <c r="K246" i="29"/>
  <c r="B1487" i="106" s="1"/>
  <c r="D1487" i="106" s="1"/>
  <c r="L277" i="29"/>
  <c r="B1450" i="106"/>
  <c r="D1450" i="106" s="1"/>
  <c r="K289" i="29"/>
  <c r="B1513" i="106" s="1"/>
  <c r="D1513" i="106" s="1"/>
  <c r="K268" i="29"/>
  <c r="B1497" i="106" s="1"/>
  <c r="D1497" i="106" s="1"/>
  <c r="B1433" i="106"/>
  <c r="D1433" i="106" s="1"/>
  <c r="K252" i="29"/>
  <c r="B7090" i="106" s="1"/>
  <c r="D7090" i="106" s="1"/>
  <c r="B7089" i="106"/>
  <c r="D7089" i="106" s="1"/>
  <c r="K236" i="29"/>
  <c r="B1479" i="106" s="1"/>
  <c r="D1479" i="106" s="1"/>
  <c r="B1415" i="106"/>
  <c r="D1415" i="106" s="1"/>
  <c r="K221" i="29"/>
  <c r="B1406" i="106"/>
  <c r="D1406" i="106" s="1"/>
  <c r="B5860" i="106"/>
  <c r="D5860" i="106" s="1"/>
  <c r="B6765" i="106"/>
  <c r="D6765" i="106" s="1"/>
  <c r="F140" i="34"/>
  <c r="B6670" i="106"/>
  <c r="D6670" i="106" s="1"/>
  <c r="B5823" i="106"/>
  <c r="D5823" i="106" s="1"/>
  <c r="K228" i="29"/>
  <c r="B3392" i="106" s="1"/>
  <c r="D3392" i="106" s="1"/>
  <c r="B3389" i="106"/>
  <c r="D3389" i="106" s="1"/>
  <c r="B5738" i="106"/>
  <c r="D5738" i="106" s="1"/>
  <c r="B1426" i="106"/>
  <c r="D1426" i="106" s="1"/>
  <c r="K260" i="29"/>
  <c r="B1490" i="106" s="1"/>
  <c r="D1490" i="106" s="1"/>
  <c r="F144" i="34"/>
  <c r="B6716" i="106"/>
  <c r="D6716" i="106" s="1"/>
  <c r="L257" i="29"/>
  <c r="B1449" i="106"/>
  <c r="D1449" i="106" s="1"/>
  <c r="K288" i="29"/>
  <c r="H293" i="29"/>
  <c r="K267" i="29"/>
  <c r="B1496" i="106" s="1"/>
  <c r="D1496" i="106" s="1"/>
  <c r="B1432" i="106"/>
  <c r="D1432" i="106" s="1"/>
  <c r="K251" i="29"/>
  <c r="B7088" i="106" s="1"/>
  <c r="D7088" i="106" s="1"/>
  <c r="B7087" i="106"/>
  <c r="D7087" i="106" s="1"/>
  <c r="K235" i="29"/>
  <c r="B1478" i="106" s="1"/>
  <c r="D1478" i="106" s="1"/>
  <c r="B1414" i="106"/>
  <c r="D1414" i="106" s="1"/>
  <c r="B7077" i="106"/>
  <c r="D7077" i="106" s="1"/>
  <c r="K220" i="29"/>
  <c r="F163" i="34"/>
  <c r="B7870" i="106" s="1"/>
  <c r="D7870" i="106" s="1"/>
  <c r="B5858" i="106"/>
  <c r="D5858" i="106" s="1"/>
  <c r="B6757" i="106"/>
  <c r="D6757" i="106" s="1"/>
  <c r="F148" i="34"/>
  <c r="B5799" i="106"/>
  <c r="D5799" i="106" s="1"/>
  <c r="G209" i="5"/>
  <c r="B5779" i="106"/>
  <c r="D5779" i="106" s="1"/>
  <c r="G175" i="5"/>
  <c r="F110" i="34"/>
  <c r="B7845" i="106" s="1"/>
  <c r="D7845" i="106" s="1"/>
  <c r="B4353" i="106"/>
  <c r="D4353" i="106" s="1"/>
  <c r="B3259" i="106"/>
  <c r="D3259" i="106" s="1"/>
  <c r="G76" i="4"/>
  <c r="B3260" i="106" s="1"/>
  <c r="D3260" i="106" s="1"/>
  <c r="B4165" i="106"/>
  <c r="D4165" i="106" s="1"/>
  <c r="K284" i="29"/>
  <c r="B4166" i="106" s="1"/>
  <c r="D4166" i="106" s="1"/>
  <c r="B1431" i="106"/>
  <c r="D1431" i="106" s="1"/>
  <c r="K266" i="29"/>
  <c r="B1495" i="106" s="1"/>
  <c r="D1495" i="106" s="1"/>
  <c r="K250" i="29"/>
  <c r="B7086" i="106" s="1"/>
  <c r="D7086" i="106" s="1"/>
  <c r="B7085" i="106"/>
  <c r="D7085" i="106" s="1"/>
  <c r="B1413" i="106"/>
  <c r="D1413" i="106" s="1"/>
  <c r="K234" i="29"/>
  <c r="B1477" i="106" s="1"/>
  <c r="D1477" i="106" s="1"/>
  <c r="K219" i="29"/>
  <c r="B3065" i="106" s="1"/>
  <c r="D3065" i="106" s="1"/>
  <c r="B3064" i="106"/>
  <c r="D3064" i="106" s="1"/>
  <c r="B4417" i="106"/>
  <c r="D4417" i="106" s="1"/>
  <c r="B6654" i="106"/>
  <c r="D6654" i="106" s="1"/>
  <c r="F138" i="34"/>
  <c r="G122" i="5"/>
  <c r="B5748" i="106" s="1"/>
  <c r="D5748" i="106" s="1"/>
  <c r="B5742" i="106"/>
  <c r="D5742" i="106" s="1"/>
  <c r="B5724" i="106"/>
  <c r="D5724" i="106" s="1"/>
  <c r="F156" i="34"/>
  <c r="B6821" i="106"/>
  <c r="D6821" i="106" s="1"/>
  <c r="B1402" i="106"/>
  <c r="D1402" i="106" s="1"/>
  <c r="K227" i="29"/>
  <c r="B1466" i="106" s="1"/>
  <c r="D1466" i="106" s="1"/>
  <c r="L293" i="29"/>
  <c r="D38" i="36"/>
  <c r="B3422" i="106"/>
  <c r="D3422" i="106" s="1"/>
  <c r="B3721" i="106"/>
  <c r="D3721" i="106" s="1"/>
  <c r="K283" i="29"/>
  <c r="D285" i="29"/>
  <c r="B3722" i="106" s="1"/>
  <c r="D3722" i="106" s="1"/>
  <c r="K265" i="29"/>
  <c r="B1494" i="106" s="1"/>
  <c r="D1494" i="106" s="1"/>
  <c r="B1430" i="106"/>
  <c r="D1430" i="106" s="1"/>
  <c r="B7083" i="106"/>
  <c r="D7083" i="106" s="1"/>
  <c r="K249" i="29"/>
  <c r="B7084" i="106" s="1"/>
  <c r="D7084" i="106" s="1"/>
  <c r="B1412" i="106"/>
  <c r="D1412" i="106" s="1"/>
  <c r="K233" i="29"/>
  <c r="B1476" i="106" s="1"/>
  <c r="D1476" i="106" s="1"/>
  <c r="B7075" i="106"/>
  <c r="D7075" i="106" s="1"/>
  <c r="K218" i="29"/>
  <c r="B5855" i="106"/>
  <c r="D5855" i="106" s="1"/>
  <c r="B6741" i="106"/>
  <c r="D6741" i="106" s="1"/>
  <c r="B6646" i="106"/>
  <c r="D6646" i="106" s="1"/>
  <c r="B6392" i="106"/>
  <c r="D6392" i="106" s="1"/>
  <c r="G145" i="5"/>
  <c r="B5754" i="106"/>
  <c r="D5754" i="106" s="1"/>
  <c r="D270" i="29"/>
  <c r="B1436" i="106" s="1"/>
  <c r="D1436" i="106" s="1"/>
  <c r="B1428" i="106"/>
  <c r="D1428" i="106" s="1"/>
  <c r="K263" i="29"/>
  <c r="B6724" i="106"/>
  <c r="D6724" i="106" s="1"/>
  <c r="F145" i="34"/>
  <c r="B6349" i="106"/>
  <c r="D6349" i="106" s="1"/>
  <c r="L238" i="29"/>
  <c r="L261" i="29"/>
  <c r="B1447" i="106"/>
  <c r="D1447" i="106" s="1"/>
  <c r="K280" i="29"/>
  <c r="K264" i="29"/>
  <c r="B1493" i="106" s="1"/>
  <c r="D1493" i="106" s="1"/>
  <c r="B1429" i="106"/>
  <c r="D1429" i="106" s="1"/>
  <c r="K248" i="29"/>
  <c r="B7082" i="106" s="1"/>
  <c r="D7082" i="106" s="1"/>
  <c r="B7081" i="106"/>
  <c r="D7081" i="106" s="1"/>
  <c r="B1411" i="106"/>
  <c r="D1411" i="106" s="1"/>
  <c r="K232" i="29"/>
  <c r="D238" i="29"/>
  <c r="K217" i="29"/>
  <c r="B3391" i="106" s="1"/>
  <c r="D3391" i="106" s="1"/>
  <c r="B3388" i="106"/>
  <c r="D3388" i="106" s="1"/>
  <c r="F157" i="34"/>
  <c r="B6829" i="106"/>
  <c r="D6829" i="106" s="1"/>
  <c r="B6733" i="106"/>
  <c r="D6733" i="106" s="1"/>
  <c r="B6638" i="106"/>
  <c r="D6638" i="106" s="1"/>
  <c r="B5791" i="106"/>
  <c r="D5791" i="106" s="1"/>
  <c r="B4919" i="106"/>
  <c r="D4919" i="106" s="1"/>
  <c r="G198" i="5"/>
  <c r="B6402" i="106"/>
  <c r="D6402" i="106" s="1"/>
  <c r="B5822" i="106"/>
  <c r="D5822" i="106" s="1"/>
  <c r="F130" i="34"/>
  <c r="B7862" i="106" s="1"/>
  <c r="D7862" i="106" s="1"/>
  <c r="G217" i="5"/>
  <c r="B5829" i="106" s="1"/>
  <c r="D5829" i="106" s="1"/>
  <c r="B5817" i="106"/>
  <c r="D5817" i="106" s="1"/>
  <c r="E38" i="4"/>
  <c r="B6286" i="106" s="1"/>
  <c r="D6286" i="106" s="1"/>
  <c r="B6245" i="106"/>
  <c r="D6245" i="106" s="1"/>
  <c r="E310" i="29"/>
  <c r="B7114" i="106" s="1"/>
  <c r="D7114" i="106" s="1"/>
  <c r="B7105" i="106"/>
  <c r="D7105" i="106" s="1"/>
  <c r="K306" i="29"/>
  <c r="G303" i="29"/>
  <c r="B1543" i="106"/>
  <c r="D1543" i="106" s="1"/>
  <c r="B7882" i="106"/>
  <c r="D7882" i="106" s="1"/>
  <c r="H122" i="5"/>
  <c r="F303" i="29"/>
  <c r="B1537" i="106"/>
  <c r="D1537" i="106" s="1"/>
  <c r="H175" i="5"/>
  <c r="B4365" i="106"/>
  <c r="D4365" i="106" s="1"/>
  <c r="H108" i="5"/>
  <c r="B5886" i="106" s="1"/>
  <c r="D5886" i="106" s="1"/>
  <c r="B5882" i="106"/>
  <c r="D5882" i="106" s="1"/>
  <c r="E303" i="29"/>
  <c r="B1531" i="106"/>
  <c r="D1531" i="106" s="1"/>
  <c r="L303" i="29"/>
  <c r="B1525" i="106"/>
  <c r="D1525" i="106" s="1"/>
  <c r="D303" i="29"/>
  <c r="B5879" i="106"/>
  <c r="D5879" i="106" s="1"/>
  <c r="I303" i="29"/>
  <c r="B7099" i="106"/>
  <c r="D7099" i="106" s="1"/>
  <c r="H303" i="29"/>
  <c r="B1549" i="106"/>
  <c r="D1549" i="106" s="1"/>
  <c r="H34" i="3"/>
  <c r="B6130" i="106"/>
  <c r="D6130" i="106" s="1"/>
  <c r="E37" i="4"/>
  <c r="B6242" i="106"/>
  <c r="D6242" i="106" s="1"/>
  <c r="B7753" i="106"/>
  <c r="D7753" i="106" s="1"/>
  <c r="K301" i="29"/>
  <c r="C303" i="29"/>
  <c r="B1519" i="106"/>
  <c r="D1519" i="106" s="1"/>
  <c r="H310" i="29"/>
  <c r="B7115" i="106" s="1"/>
  <c r="D7115" i="106" s="1"/>
  <c r="B7106" i="106"/>
  <c r="D7106" i="106" s="1"/>
  <c r="J303" i="29"/>
  <c r="B7100" i="106"/>
  <c r="D7100" i="106" s="1"/>
  <c r="B7108" i="106"/>
  <c r="D7108" i="106" s="1"/>
  <c r="K307" i="29"/>
  <c r="B4099" i="106" s="1"/>
  <c r="D4099" i="106" s="1"/>
  <c r="B5872" i="106"/>
  <c r="D5872" i="106" s="1"/>
  <c r="B5907" i="106"/>
  <c r="D5907" i="106" s="1"/>
  <c r="H181" i="5"/>
  <c r="B5908" i="106" s="1"/>
  <c r="D5908" i="106" s="1"/>
  <c r="L310" i="29"/>
  <c r="B2848" i="106"/>
  <c r="D2848" i="106" s="1"/>
  <c r="B7112" i="106"/>
  <c r="D7112" i="106" s="1"/>
  <c r="K309" i="29"/>
  <c r="B3717" i="106" s="1"/>
  <c r="D3717" i="106" s="1"/>
  <c r="H18" i="5"/>
  <c r="B5878" i="106" s="1"/>
  <c r="D5878" i="106" s="1"/>
  <c r="B5874" i="106"/>
  <c r="D5874" i="106" s="1"/>
  <c r="B5871" i="106"/>
  <c r="D5871" i="106" s="1"/>
  <c r="B9" i="7"/>
  <c r="K308" i="29"/>
  <c r="B4100" i="106" s="1"/>
  <c r="D4100" i="106" s="1"/>
  <c r="B7110" i="106"/>
  <c r="D7110" i="106" s="1"/>
  <c r="B1522" i="106"/>
  <c r="D1522" i="106" s="1"/>
  <c r="K302" i="29"/>
  <c r="B1558" i="106" s="1"/>
  <c r="D1558" i="106" s="1"/>
  <c r="B6619" i="106"/>
  <c r="D6619" i="106" s="1"/>
  <c r="H252" i="5"/>
  <c r="H169" i="5"/>
  <c r="B5899" i="106" s="1"/>
  <c r="D5899" i="106" s="1"/>
  <c r="B6371" i="106"/>
  <c r="D6371" i="106" s="1"/>
  <c r="I108" i="5"/>
  <c r="B5930" i="106" s="1"/>
  <c r="D5930" i="106" s="1"/>
  <c r="B5927" i="106"/>
  <c r="D5927" i="106" s="1"/>
  <c r="I18" i="5"/>
  <c r="B5923" i="106" s="1"/>
  <c r="D5923" i="106" s="1"/>
  <c r="B5919" i="106"/>
  <c r="D5919" i="106" s="1"/>
  <c r="B5924" i="106"/>
  <c r="D5924" i="106" s="1"/>
  <c r="I44" i="4"/>
  <c r="B3317" i="106" s="1"/>
  <c r="D3317" i="106" s="1"/>
  <c r="B2772" i="106"/>
  <c r="D2772" i="106" s="1"/>
  <c r="B5917" i="106"/>
  <c r="D5917" i="106" s="1"/>
  <c r="I169" i="5"/>
  <c r="B4215" i="106"/>
  <c r="D4215" i="106" s="1"/>
  <c r="B6139" i="106"/>
  <c r="D6139" i="106" s="1"/>
  <c r="I34" i="3"/>
  <c r="B6395" i="106"/>
  <c r="D6395" i="106" s="1"/>
  <c r="J108" i="5"/>
  <c r="B6351" i="106" s="1"/>
  <c r="D6351" i="106" s="1"/>
  <c r="B6319" i="106"/>
  <c r="D6319" i="106" s="1"/>
  <c r="B7697" i="106"/>
  <c r="D7697" i="106" s="1"/>
  <c r="K329" i="29"/>
  <c r="K326" i="29"/>
  <c r="B7181" i="106"/>
  <c r="D7181" i="106" s="1"/>
  <c r="B7154" i="106"/>
  <c r="D7154" i="106" s="1"/>
  <c r="K323" i="29"/>
  <c r="B7127" i="106"/>
  <c r="D7127" i="106" s="1"/>
  <c r="K320" i="29"/>
  <c r="J18" i="5"/>
  <c r="B6306" i="106" s="1"/>
  <c r="D6306" i="106" s="1"/>
  <c r="B6302" i="106"/>
  <c r="D6302" i="106" s="1"/>
  <c r="B7754" i="106"/>
  <c r="D7754" i="106" s="1"/>
  <c r="J44" i="4"/>
  <c r="J330" i="29"/>
  <c r="B7125" i="106"/>
  <c r="D7125" i="106" s="1"/>
  <c r="B6373" i="106"/>
  <c r="D6373" i="106" s="1"/>
  <c r="J169" i="5"/>
  <c r="B6396" i="106" s="1"/>
  <c r="D6396" i="106" s="1"/>
  <c r="J34" i="3"/>
  <c r="B6131" i="106"/>
  <c r="D6131" i="106" s="1"/>
  <c r="B7212" i="106"/>
  <c r="D7212" i="106" s="1"/>
  <c r="K339" i="29"/>
  <c r="B7213" i="106" s="1"/>
  <c r="D7213" i="106" s="1"/>
  <c r="I330" i="29"/>
  <c r="B7124" i="106"/>
  <c r="D7124" i="106" s="1"/>
  <c r="K338" i="29"/>
  <c r="B7211" i="106" s="1"/>
  <c r="D7211" i="106" s="1"/>
  <c r="B7210" i="106"/>
  <c r="D7210" i="106" s="1"/>
  <c r="H330" i="29"/>
  <c r="B7123" i="106"/>
  <c r="D7123" i="106" s="1"/>
  <c r="L340" i="29"/>
  <c r="B6219" i="106"/>
  <c r="D6219" i="106" s="1"/>
  <c r="K337" i="29"/>
  <c r="H340" i="29"/>
  <c r="B7214" i="106" s="1"/>
  <c r="D7214" i="106" s="1"/>
  <c r="B7208" i="106"/>
  <c r="D7208" i="106" s="1"/>
  <c r="B7190" i="106"/>
  <c r="D7190" i="106" s="1"/>
  <c r="K327" i="29"/>
  <c r="K324" i="29"/>
  <c r="B7163" i="106"/>
  <c r="D7163" i="106" s="1"/>
  <c r="K321" i="29"/>
  <c r="B7136" i="106"/>
  <c r="D7136" i="106" s="1"/>
  <c r="G330" i="29"/>
  <c r="B7122" i="106"/>
  <c r="D7122" i="106" s="1"/>
  <c r="J76" i="4"/>
  <c r="B6261" i="106" s="1"/>
  <c r="D6261" i="106" s="1"/>
  <c r="B6239" i="106"/>
  <c r="D6239" i="106" s="1"/>
  <c r="F330" i="29"/>
  <c r="B7121" i="106"/>
  <c r="D7121" i="106" s="1"/>
  <c r="J122" i="5"/>
  <c r="B6353" i="106"/>
  <c r="D6353" i="106" s="1"/>
  <c r="E330" i="29"/>
  <c r="B7120" i="106"/>
  <c r="D7120" i="106" s="1"/>
  <c r="B11" i="7"/>
  <c r="J12" i="5"/>
  <c r="B6298" i="106"/>
  <c r="D6298" i="106" s="1"/>
  <c r="B7119" i="106"/>
  <c r="D7119" i="106" s="1"/>
  <c r="D330" i="29"/>
  <c r="J175" i="5"/>
  <c r="B6398" i="106"/>
  <c r="D6398" i="106" s="1"/>
  <c r="B7688" i="106"/>
  <c r="D7688" i="106" s="1"/>
  <c r="K328" i="29"/>
  <c r="K325" i="29"/>
  <c r="B7172" i="106"/>
  <c r="D7172" i="106" s="1"/>
  <c r="K322" i="29"/>
  <c r="B7145" i="106"/>
  <c r="D7145" i="106" s="1"/>
  <c r="B7118" i="106"/>
  <c r="D7118" i="106" s="1"/>
  <c r="C330" i="29"/>
  <c r="K319" i="29"/>
  <c r="B6316" i="106"/>
  <c r="D6316" i="106" s="1"/>
  <c r="B6257" i="106"/>
  <c r="D6257" i="106" s="1"/>
  <c r="K363" i="29"/>
  <c r="B7241" i="106" s="1"/>
  <c r="D7241" i="106" s="1"/>
  <c r="B7240" i="106"/>
  <c r="D7240" i="106" s="1"/>
  <c r="B3638" i="106"/>
  <c r="D3638" i="106" s="1"/>
  <c r="F350" i="29"/>
  <c r="K18" i="5"/>
  <c r="B5992" i="106" s="1"/>
  <c r="D5992" i="106" s="1"/>
  <c r="B5988" i="106"/>
  <c r="D5988" i="106" s="1"/>
  <c r="B3657" i="106"/>
  <c r="D3657" i="106" s="1"/>
  <c r="H362" i="29"/>
  <c r="K360" i="29"/>
  <c r="B3624" i="106"/>
  <c r="D3624" i="106" s="1"/>
  <c r="D350" i="29"/>
  <c r="B7236" i="106"/>
  <c r="D7236" i="106" s="1"/>
  <c r="K356" i="29"/>
  <c r="H357" i="29"/>
  <c r="B7237" i="106" s="1"/>
  <c r="D7237" i="106" s="1"/>
  <c r="K348" i="29"/>
  <c r="B3617" i="106"/>
  <c r="D3617" i="106" s="1"/>
  <c r="C350" i="29"/>
  <c r="K169" i="5"/>
  <c r="B5000" i="106" s="1"/>
  <c r="D5000" i="106" s="1"/>
  <c r="B6374" i="106"/>
  <c r="D6374" i="106" s="1"/>
  <c r="B6296" i="106"/>
  <c r="D6296" i="106" s="1"/>
  <c r="D73" i="36"/>
  <c r="B4868" i="106"/>
  <c r="D4868" i="106" s="1"/>
  <c r="K266" i="5"/>
  <c r="B4442" i="106" s="1"/>
  <c r="D4442" i="106" s="1"/>
  <c r="K361" i="29"/>
  <c r="B7239" i="106" s="1"/>
  <c r="D7239" i="106" s="1"/>
  <c r="B7238" i="106"/>
  <c r="D7238" i="106" s="1"/>
  <c r="B4816" i="106"/>
  <c r="D4816" i="106" s="1"/>
  <c r="K181" i="5"/>
  <c r="B6016" i="106" s="1"/>
  <c r="D6016" i="106" s="1"/>
  <c r="B6000" i="106"/>
  <c r="D6000" i="106" s="1"/>
  <c r="K122" i="5"/>
  <c r="K108" i="5"/>
  <c r="B5999" i="106" s="1"/>
  <c r="D5999" i="106" s="1"/>
  <c r="B5996" i="106"/>
  <c r="D5996" i="106" s="1"/>
  <c r="E350" i="29"/>
  <c r="B3631" i="106"/>
  <c r="D3631" i="106" s="1"/>
  <c r="B3618" i="106"/>
  <c r="D3618" i="106" s="1"/>
  <c r="K349" i="29"/>
  <c r="B3669" i="106" s="1"/>
  <c r="D3669" i="106" s="1"/>
  <c r="K175" i="5"/>
  <c r="B4368" i="106"/>
  <c r="D4368" i="106" s="1"/>
  <c r="B3579" i="106"/>
  <c r="D3579" i="106" s="1"/>
  <c r="D68" i="36"/>
  <c r="J350" i="29"/>
  <c r="B7227" i="106"/>
  <c r="D7227" i="106" s="1"/>
  <c r="B5993" i="106"/>
  <c r="D5993" i="106" s="1"/>
  <c r="B3578" i="106"/>
  <c r="D3578" i="106" s="1"/>
  <c r="I350" i="29"/>
  <c r="B7226" i="106"/>
  <c r="D7226" i="106" s="1"/>
  <c r="B3577" i="106"/>
  <c r="D3577" i="106" s="1"/>
  <c r="I48" i="4"/>
  <c r="B2106" i="106" s="1"/>
  <c r="D2106" i="106" s="1"/>
  <c r="H350" i="29"/>
  <c r="B3652" i="106"/>
  <c r="D3652" i="106" s="1"/>
  <c r="B6132" i="106"/>
  <c r="D6132" i="106" s="1"/>
  <c r="B7755" i="106"/>
  <c r="D7755" i="106" s="1"/>
  <c r="I47" i="4"/>
  <c r="K44" i="4"/>
  <c r="B3620" i="106"/>
  <c r="D3620" i="106" s="1"/>
  <c r="K351" i="29"/>
  <c r="B3671" i="106" s="1"/>
  <c r="D3671" i="106" s="1"/>
  <c r="B3645" i="106"/>
  <c r="D3645" i="106" s="1"/>
  <c r="G350" i="29"/>
  <c r="B5581" i="106"/>
  <c r="D5581" i="106" s="1"/>
  <c r="B5520" i="106"/>
  <c r="D5520" i="106" s="1"/>
  <c r="B6317" i="106"/>
  <c r="D6317" i="106" s="1"/>
  <c r="B5994" i="106"/>
  <c r="D5994" i="106" s="1"/>
  <c r="B5925" i="106"/>
  <c r="D5925" i="106" s="1"/>
  <c r="B5880" i="106"/>
  <c r="D5880" i="106" s="1"/>
  <c r="B5312" i="106"/>
  <c r="D5312" i="106" s="1"/>
  <c r="B6785" i="106"/>
  <c r="D6785" i="106" s="1"/>
  <c r="B4375" i="106"/>
  <c r="D4375" i="106" s="1"/>
  <c r="B4792" i="106"/>
  <c r="D4792" i="106" s="1"/>
  <c r="B4312" i="106"/>
  <c r="D4312" i="106" s="1"/>
  <c r="B6365" i="106"/>
  <c r="D6365" i="106" s="1"/>
  <c r="B5139" i="106"/>
  <c r="D5139"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801" i="106"/>
  <c r="D4801" i="106" s="1"/>
  <c r="B6388" i="106"/>
  <c r="D6388" i="106" s="1"/>
  <c r="B5187" i="106"/>
  <c r="D5187" i="106" s="1"/>
  <c r="B5153" i="106"/>
  <c r="D5153" i="106" s="1"/>
  <c r="B5094" i="106"/>
  <c r="D5094" i="106" s="1"/>
  <c r="F102" i="34"/>
  <c r="B7839" i="106" s="1"/>
  <c r="D7839" i="106" s="1"/>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7801" i="106"/>
  <c r="D7801" i="106" s="1"/>
  <c r="B6729" i="106"/>
  <c r="D6729" i="106" s="1"/>
  <c r="B6674" i="106"/>
  <c r="D6674" i="106" s="1"/>
  <c r="B5255" i="106"/>
  <c r="D5255" i="106" s="1"/>
  <c r="B4379" i="106"/>
  <c r="D4379" i="106" s="1"/>
  <c r="B4227" i="106"/>
  <c r="D4227" i="106" s="1"/>
  <c r="B5142" i="106"/>
  <c r="D5142" i="106" s="1"/>
  <c r="B5127" i="106"/>
  <c r="D5127"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6264" i="106"/>
  <c r="D6264" i="106" s="1"/>
  <c r="B3321" i="106"/>
  <c r="D3321" i="106" s="1"/>
  <c r="B1687" i="106"/>
  <c r="D1687" i="106" s="1"/>
  <c r="B1673" i="106"/>
  <c r="D1673" i="106" s="1"/>
  <c r="K5" i="29"/>
  <c r="F27" i="108" l="1"/>
  <c r="D27" i="108"/>
  <c r="K12" i="29"/>
  <c r="C129" i="29"/>
  <c r="F129" i="29"/>
  <c r="C40" i="5"/>
  <c r="B5087" i="106" s="1"/>
  <c r="D5087" i="106" s="1"/>
  <c r="H44" i="4"/>
  <c r="B3296" i="106" s="1"/>
  <c r="D3296" i="106" s="1"/>
  <c r="K52" i="29"/>
  <c r="B6940" i="106" s="1"/>
  <c r="D6940" i="106" s="1"/>
  <c r="L279" i="29"/>
  <c r="L47" i="29"/>
  <c r="D129" i="29"/>
  <c r="B1233" i="106" s="1"/>
  <c r="D1233" i="106" s="1"/>
  <c r="H76" i="4"/>
  <c r="B3298" i="106" s="1"/>
  <c r="D3298" i="106" s="1"/>
  <c r="H12" i="5"/>
  <c r="B5873" i="106" s="1"/>
  <c r="D5873" i="106" s="1"/>
  <c r="F119" i="34"/>
  <c r="B7853" i="106" s="1"/>
  <c r="D7853" i="106" s="1"/>
  <c r="G34" i="108"/>
  <c r="E34" i="108"/>
  <c r="K76" i="4"/>
  <c r="B3586" i="106" s="1"/>
  <c r="D3586" i="106" s="1"/>
  <c r="I33" i="29"/>
  <c r="B6902" i="106" s="1"/>
  <c r="D6902" i="106" s="1"/>
  <c r="H184" i="29"/>
  <c r="B1370" i="106" s="1"/>
  <c r="D1370" i="106" s="1"/>
  <c r="F36" i="108"/>
  <c r="D36" i="108"/>
  <c r="H129" i="29"/>
  <c r="B1266" i="106" s="1"/>
  <c r="D1266" i="106" s="1"/>
  <c r="F171" i="34"/>
  <c r="B7876" i="106" s="1"/>
  <c r="D7876" i="106" s="1"/>
  <c r="K9" i="29"/>
  <c r="F35" i="34" s="1"/>
  <c r="B7827" i="106" s="1"/>
  <c r="D7827" i="106" s="1"/>
  <c r="I129" i="29"/>
  <c r="B7037" i="106" s="1"/>
  <c r="D7037" i="106" s="1"/>
  <c r="F67" i="5"/>
  <c r="B5582" i="106" s="1"/>
  <c r="D5582" i="106" s="1"/>
  <c r="K62" i="29"/>
  <c r="B1129" i="106" s="1"/>
  <c r="D1129" i="106" s="1"/>
  <c r="G53" i="29"/>
  <c r="B966" i="106" s="1"/>
  <c r="D966" i="106" s="1"/>
  <c r="K67" i="5"/>
  <c r="B5995" i="106" s="1"/>
  <c r="D5995" i="106" s="1"/>
  <c r="L312" i="29"/>
  <c r="L194" i="29"/>
  <c r="L196" i="29" s="1"/>
  <c r="F12" i="5"/>
  <c r="B5557" i="106" s="1"/>
  <c r="D5557" i="106" s="1"/>
  <c r="F13" i="3"/>
  <c r="B157" i="106" s="1"/>
  <c r="D157" i="106" s="1"/>
  <c r="K71" i="29"/>
  <c r="B1139" i="106" s="1"/>
  <c r="D1139" i="106" s="1"/>
  <c r="L229" i="29"/>
  <c r="E15" i="184"/>
  <c r="B1126" i="106"/>
  <c r="D1126" i="106" s="1"/>
  <c r="F26" i="108"/>
  <c r="D26" i="108"/>
  <c r="B1093" i="106"/>
  <c r="D1093" i="106" s="1"/>
  <c r="F123" i="34"/>
  <c r="B5230" i="106"/>
  <c r="D5230" i="106" s="1"/>
  <c r="C181" i="5"/>
  <c r="B5232" i="106" s="1"/>
  <c r="D5232" i="106" s="1"/>
  <c r="C132" i="5"/>
  <c r="B5133" i="106"/>
  <c r="D5133" i="106" s="1"/>
  <c r="F118" i="34"/>
  <c r="B7852" i="106" s="1"/>
  <c r="D7852" i="106" s="1"/>
  <c r="F149" i="34"/>
  <c r="F135" i="34"/>
  <c r="H72" i="29"/>
  <c r="B1043" i="106" s="1"/>
  <c r="D1043" i="106" s="1"/>
  <c r="B1036" i="106"/>
  <c r="D1036" i="106" s="1"/>
  <c r="B91" i="106"/>
  <c r="D91" i="106" s="1"/>
  <c r="K92" i="29"/>
  <c r="B2089" i="106" s="1"/>
  <c r="D2089" i="106" s="1"/>
  <c r="B6995" i="106"/>
  <c r="D6995" i="106" s="1"/>
  <c r="B727" i="106"/>
  <c r="D727" i="106" s="1"/>
  <c r="C74" i="29"/>
  <c r="B755" i="106" s="1"/>
  <c r="D755" i="106" s="1"/>
  <c r="B790" i="106"/>
  <c r="D790" i="106" s="1"/>
  <c r="D53" i="29"/>
  <c r="B792" i="106" s="1"/>
  <c r="D792" i="106" s="1"/>
  <c r="B6883" i="106"/>
  <c r="D6883" i="106" s="1"/>
  <c r="F42" i="34"/>
  <c r="K61" i="29"/>
  <c r="C204" i="5"/>
  <c r="B5260" i="106" s="1"/>
  <c r="D5260" i="106" s="1"/>
  <c r="B5247" i="106"/>
  <c r="D5247" i="106" s="1"/>
  <c r="B4102" i="106"/>
  <c r="D4102" i="106" s="1"/>
  <c r="D17" i="7"/>
  <c r="B4104" i="106" s="1"/>
  <c r="D4104" i="106" s="1"/>
  <c r="B1107" i="106"/>
  <c r="D1107" i="106" s="1"/>
  <c r="F38" i="34"/>
  <c r="B7830" i="106" s="1"/>
  <c r="D7830" i="106" s="1"/>
  <c r="F39" i="34"/>
  <c r="B6877" i="106"/>
  <c r="D6877" i="106" s="1"/>
  <c r="C14" i="4"/>
  <c r="B2558" i="106" s="1"/>
  <c r="D2558" i="106" s="1"/>
  <c r="F52" i="34"/>
  <c r="B7831" i="106" s="1"/>
  <c r="D7831" i="106" s="1"/>
  <c r="B1144" i="106"/>
  <c r="D1144" i="106" s="1"/>
  <c r="B843" i="106"/>
  <c r="D843" i="106" s="1"/>
  <c r="E74" i="29"/>
  <c r="B871" i="106" s="1"/>
  <c r="D871" i="106" s="1"/>
  <c r="C209" i="5"/>
  <c r="B4411" i="106" s="1"/>
  <c r="D4411" i="106" s="1"/>
  <c r="B5256" i="106"/>
  <c r="D5256" i="106" s="1"/>
  <c r="F109" i="34"/>
  <c r="B5167" i="106"/>
  <c r="D5167" i="106" s="1"/>
  <c r="B5301" i="106"/>
  <c r="D5301" i="106" s="1"/>
  <c r="C221" i="5"/>
  <c r="B5304" i="106" s="1"/>
  <c r="D5304" i="106" s="1"/>
  <c r="C122" i="5"/>
  <c r="B5126" i="106"/>
  <c r="D5126" i="106" s="1"/>
  <c r="F104" i="34"/>
  <c r="B7841" i="106" s="1"/>
  <c r="D7841" i="106" s="1"/>
  <c r="F164" i="34"/>
  <c r="B7871" i="106" s="1"/>
  <c r="D7871" i="106" s="1"/>
  <c r="L53" i="29"/>
  <c r="B894" i="106"/>
  <c r="D894" i="106" s="1"/>
  <c r="B6848" i="106"/>
  <c r="D6848" i="106" s="1"/>
  <c r="F34" i="34"/>
  <c r="B7826" i="106" s="1"/>
  <c r="D7826" i="106" s="1"/>
  <c r="B6887" i="106"/>
  <c r="D6887" i="106" s="1"/>
  <c r="F44" i="34"/>
  <c r="B5175" i="106"/>
  <c r="D5175" i="106" s="1"/>
  <c r="C155" i="5"/>
  <c r="B5178" i="106" s="1"/>
  <c r="D5178" i="106" s="1"/>
  <c r="F113" i="34"/>
  <c r="B5181" i="106"/>
  <c r="D5181" i="106" s="1"/>
  <c r="F137" i="34"/>
  <c r="B6891" i="106"/>
  <c r="D6891" i="106" s="1"/>
  <c r="F46" i="34"/>
  <c r="K16" i="29"/>
  <c r="B1094" i="106" s="1"/>
  <c r="D1094" i="106" s="1"/>
  <c r="B6897" i="106"/>
  <c r="D6897" i="106" s="1"/>
  <c r="F49" i="34"/>
  <c r="B6901" i="106"/>
  <c r="D6901" i="106" s="1"/>
  <c r="F51" i="34"/>
  <c r="B5224" i="106"/>
  <c r="D5224" i="106" s="1"/>
  <c r="C175" i="5"/>
  <c r="C108" i="5"/>
  <c r="B5120" i="106" s="1"/>
  <c r="D5120" i="106" s="1"/>
  <c r="B5113" i="106"/>
  <c r="D5113" i="106" s="1"/>
  <c r="F136" i="34"/>
  <c r="F141" i="34"/>
  <c r="F142" i="34"/>
  <c r="L65" i="29"/>
  <c r="C44" i="4"/>
  <c r="B6899" i="106"/>
  <c r="D6899" i="106" s="1"/>
  <c r="F50" i="34"/>
  <c r="C145" i="5"/>
  <c r="B5165" i="106" s="1"/>
  <c r="D5165" i="106" s="1"/>
  <c r="L84" i="29"/>
  <c r="L102" i="29" s="1"/>
  <c r="B959" i="106"/>
  <c r="D959" i="106" s="1"/>
  <c r="E13" i="184"/>
  <c r="H13" i="184" s="1"/>
  <c r="B2724" i="106"/>
  <c r="D2724" i="106" s="1"/>
  <c r="B5097" i="106"/>
  <c r="D5097" i="106" s="1"/>
  <c r="C82" i="5"/>
  <c r="B5102" i="106" s="1"/>
  <c r="D5102" i="106" s="1"/>
  <c r="F147" i="34"/>
  <c r="F120" i="34"/>
  <c r="B7854" i="106" s="1"/>
  <c r="D7854" i="106" s="1"/>
  <c r="B6916" i="106"/>
  <c r="D6916" i="106" s="1"/>
  <c r="I74" i="29"/>
  <c r="B6977" i="106" s="1"/>
  <c r="D6977" i="106" s="1"/>
  <c r="B720" i="106"/>
  <c r="D720" i="106" s="1"/>
  <c r="F47" i="34"/>
  <c r="B6893" i="106"/>
  <c r="D6893" i="106" s="1"/>
  <c r="D57" i="29"/>
  <c r="B795" i="106" s="1"/>
  <c r="D795" i="106" s="1"/>
  <c r="K47" i="29"/>
  <c r="B1119" i="106" s="1"/>
  <c r="D1119" i="106" s="1"/>
  <c r="B1116" i="106"/>
  <c r="D1116" i="106" s="1"/>
  <c r="K64" i="29"/>
  <c r="C198" i="5"/>
  <c r="B5246" i="106" s="1"/>
  <c r="D5246" i="106" s="1"/>
  <c r="B6401" i="106"/>
  <c r="D6401" i="106" s="1"/>
  <c r="C114" i="5"/>
  <c r="B5122" i="106"/>
  <c r="D5122" i="106" s="1"/>
  <c r="C188" i="5"/>
  <c r="F125" i="34" s="1"/>
  <c r="B7857" i="106" s="1"/>
  <c r="D7857" i="106" s="1"/>
  <c r="B5233" i="106"/>
  <c r="D5233" i="106" s="1"/>
  <c r="F122" i="34"/>
  <c r="B7855" i="106" s="1"/>
  <c r="D7855" i="106" s="1"/>
  <c r="F146" i="34"/>
  <c r="F150" i="34"/>
  <c r="F151" i="34"/>
  <c r="F115" i="34"/>
  <c r="B7849" i="106" s="1"/>
  <c r="D7849" i="106" s="1"/>
  <c r="K6" i="29"/>
  <c r="B7763" i="106" s="1"/>
  <c r="D7763" i="106" s="1"/>
  <c r="B7762" i="106"/>
  <c r="D7762" i="106" s="1"/>
  <c r="L72" i="29"/>
  <c r="B6917" i="106"/>
  <c r="D6917" i="106" s="1"/>
  <c r="J74" i="29"/>
  <c r="B6978" i="106" s="1"/>
  <c r="D6978" i="106" s="1"/>
  <c r="B1010" i="106"/>
  <c r="D1010" i="106" s="1"/>
  <c r="K67" i="29"/>
  <c r="B6881" i="106"/>
  <c r="D6881" i="106" s="1"/>
  <c r="F41" i="34"/>
  <c r="G72" i="29"/>
  <c r="B985" i="106" s="1"/>
  <c r="D985" i="106" s="1"/>
  <c r="C252" i="5"/>
  <c r="B6833" i="106" s="1"/>
  <c r="D6833" i="106" s="1"/>
  <c r="B6614" i="106"/>
  <c r="D6614" i="106" s="1"/>
  <c r="F166" i="34"/>
  <c r="B7873" i="106" s="1"/>
  <c r="D7873" i="106" s="1"/>
  <c r="F114" i="34"/>
  <c r="B7848" i="106" s="1"/>
  <c r="D7848" i="106" s="1"/>
  <c r="E12" i="184"/>
  <c r="B1121" i="106"/>
  <c r="D1121" i="106" s="1"/>
  <c r="B6858" i="106"/>
  <c r="D6858" i="106" s="1"/>
  <c r="F36" i="34"/>
  <c r="B7828" i="106" s="1"/>
  <c r="D7828" i="106" s="1"/>
  <c r="C217" i="5"/>
  <c r="B5286" i="106" s="1"/>
  <c r="D5286" i="106" s="1"/>
  <c r="B5274" i="106"/>
  <c r="D5274" i="106" s="1"/>
  <c r="G39" i="108"/>
  <c r="F161" i="34"/>
  <c r="B7868" i="106" s="1"/>
  <c r="D7868" i="106" s="1"/>
  <c r="F131" i="34"/>
  <c r="B7863" i="106" s="1"/>
  <c r="D7863" i="106" s="1"/>
  <c r="F165" i="34"/>
  <c r="B7872" i="106" s="1"/>
  <c r="D7872" i="106" s="1"/>
  <c r="B6889" i="106"/>
  <c r="D6889" i="106" s="1"/>
  <c r="F45" i="34"/>
  <c r="B1028" i="106"/>
  <c r="D1028" i="106" s="1"/>
  <c r="H65" i="29"/>
  <c r="B1035" i="106" s="1"/>
  <c r="D1035" i="106" s="1"/>
  <c r="B778" i="106"/>
  <c r="D778" i="106" s="1"/>
  <c r="B2973" i="106"/>
  <c r="D2973" i="106" s="1"/>
  <c r="K84" i="29"/>
  <c r="B6879" i="106"/>
  <c r="D6879" i="106" s="1"/>
  <c r="F40" i="34"/>
  <c r="K49" i="29"/>
  <c r="D42" i="29"/>
  <c r="B937" i="106"/>
  <c r="D937" i="106" s="1"/>
  <c r="G33" i="29"/>
  <c r="B5148" i="106"/>
  <c r="D5148" i="106" s="1"/>
  <c r="C141" i="5"/>
  <c r="B5161" i="106" s="1"/>
  <c r="D5161" i="106" s="1"/>
  <c r="B5106" i="106"/>
  <c r="D5106" i="106" s="1"/>
  <c r="F98" i="34"/>
  <c r="E39" i="108"/>
  <c r="F143" i="34"/>
  <c r="B1123" i="106"/>
  <c r="D1123" i="106" s="1"/>
  <c r="B2789" i="106"/>
  <c r="D2789" i="106" s="1"/>
  <c r="E102" i="29"/>
  <c r="B2790" i="106" s="1"/>
  <c r="D2790" i="106" s="1"/>
  <c r="K41" i="29"/>
  <c r="B1114" i="106" s="1"/>
  <c r="D1114" i="106" s="1"/>
  <c r="K56" i="29"/>
  <c r="K57" i="29" s="1"/>
  <c r="B1125" i="106" s="1"/>
  <c r="D1125" i="106" s="1"/>
  <c r="C13" i="3"/>
  <c r="F162" i="34"/>
  <c r="B7869" i="106" s="1"/>
  <c r="D7869" i="106" s="1"/>
  <c r="E30" i="108"/>
  <c r="B6997" i="106"/>
  <c r="D6997" i="106" s="1"/>
  <c r="K100" i="29"/>
  <c r="B7013" i="106" s="1"/>
  <c r="D7013" i="106" s="1"/>
  <c r="E33" i="29"/>
  <c r="B901" i="106"/>
  <c r="D901" i="106" s="1"/>
  <c r="F74" i="29"/>
  <c r="B929" i="106" s="1"/>
  <c r="D929" i="106" s="1"/>
  <c r="C67" i="5"/>
  <c r="B5090" i="106" s="1"/>
  <c r="D5090" i="106" s="1"/>
  <c r="K110" i="29"/>
  <c r="B1146" i="106"/>
  <c r="D1146" i="106" s="1"/>
  <c r="B6903" i="106"/>
  <c r="D6903" i="106" s="1"/>
  <c r="C75" i="5"/>
  <c r="B6885" i="106"/>
  <c r="D6885" i="106" s="1"/>
  <c r="F43" i="34"/>
  <c r="F97" i="34"/>
  <c r="B5103" i="106"/>
  <c r="D5103" i="106" s="1"/>
  <c r="C93" i="5"/>
  <c r="B5112" i="106" s="1"/>
  <c r="D5112" i="106" s="1"/>
  <c r="F101" i="34"/>
  <c r="B5111" i="106"/>
  <c r="D5111" i="106" s="1"/>
  <c r="G30" i="108"/>
  <c r="F154" i="34"/>
  <c r="B1017" i="106"/>
  <c r="D1017" i="106" s="1"/>
  <c r="L42" i="29"/>
  <c r="B1104" i="106"/>
  <c r="D1104" i="106" s="1"/>
  <c r="F37" i="34"/>
  <c r="B7829" i="106" s="1"/>
  <c r="D7829" i="106" s="1"/>
  <c r="B6895" i="106"/>
  <c r="D6895" i="106" s="1"/>
  <c r="F48" i="34"/>
  <c r="B2081" i="106"/>
  <c r="D2081" i="106" s="1"/>
  <c r="H102" i="29"/>
  <c r="B1047" i="106" s="1"/>
  <c r="D1047" i="106" s="1"/>
  <c r="B4" i="7"/>
  <c r="C12" i="5"/>
  <c r="B5061" i="106"/>
  <c r="D5061" i="106" s="1"/>
  <c r="L33" i="29"/>
  <c r="B1109" i="106"/>
  <c r="D1109" i="106" s="1"/>
  <c r="B1053" i="106"/>
  <c r="D1053" i="106" s="1"/>
  <c r="H112" i="29"/>
  <c r="B7018" i="106" s="1"/>
  <c r="D7018" i="106" s="1"/>
  <c r="L57" i="29"/>
  <c r="G65" i="29"/>
  <c r="B977" i="106" s="1"/>
  <c r="D977" i="106" s="1"/>
  <c r="B5330" i="106"/>
  <c r="D5330" i="106" s="1"/>
  <c r="B13" i="7"/>
  <c r="B2805" i="106"/>
  <c r="D2805" i="106" s="1"/>
  <c r="D14" i="4"/>
  <c r="B2570" i="106" s="1"/>
  <c r="D2570" i="106" s="1"/>
  <c r="F56" i="34"/>
  <c r="B7832" i="106" s="1"/>
  <c r="D7832" i="106" s="1"/>
  <c r="B5369" i="106"/>
  <c r="D5369" i="106" s="1"/>
  <c r="D169" i="5"/>
  <c r="B5412" i="106" s="1"/>
  <c r="D5412" i="106" s="1"/>
  <c r="B5367" i="106"/>
  <c r="D5367" i="106" s="1"/>
  <c r="B1283" i="106"/>
  <c r="D1283" i="106" s="1"/>
  <c r="K147" i="29"/>
  <c r="B4396" i="106"/>
  <c r="D4396" i="106" s="1"/>
  <c r="H149" i="29"/>
  <c r="B1272" i="106" s="1"/>
  <c r="D1272" i="106" s="1"/>
  <c r="B7047" i="106"/>
  <c r="D7047" i="106" s="1"/>
  <c r="J129" i="29"/>
  <c r="B1225" i="106"/>
  <c r="D1225" i="106" s="1"/>
  <c r="C151" i="29"/>
  <c r="B1226" i="106" s="1"/>
  <c r="D1226" i="106" s="1"/>
  <c r="D13" i="3"/>
  <c r="B3414" i="106"/>
  <c r="D3414" i="106" s="1"/>
  <c r="D35" i="36"/>
  <c r="B5360" i="106"/>
  <c r="D5360" i="106" s="1"/>
  <c r="D5" i="4"/>
  <c r="B3406" i="106" s="1"/>
  <c r="D3406" i="106" s="1"/>
  <c r="E127" i="29"/>
  <c r="B1235" i="106"/>
  <c r="D1235" i="106" s="1"/>
  <c r="B2091" i="106"/>
  <c r="D2091" i="106" s="1"/>
  <c r="H139" i="29"/>
  <c r="B1267" i="106" s="1"/>
  <c r="D1267" i="106" s="1"/>
  <c r="B4080" i="106"/>
  <c r="D4080" i="106" s="1"/>
  <c r="B5328" i="106"/>
  <c r="D5328" i="106" s="1"/>
  <c r="D12" i="5"/>
  <c r="B5" i="7"/>
  <c r="E139" i="29"/>
  <c r="B4203" i="106" s="1"/>
  <c r="D4203" i="106" s="1"/>
  <c r="B4202" i="106"/>
  <c r="D4202" i="106" s="1"/>
  <c r="D77" i="4"/>
  <c r="B3238" i="106" s="1"/>
  <c r="D3238" i="106" s="1"/>
  <c r="B3235" i="106"/>
  <c r="D3235" i="106" s="1"/>
  <c r="B6126" i="106"/>
  <c r="D6126" i="106" s="1"/>
  <c r="D34" i="3"/>
  <c r="B5423" i="106"/>
  <c r="D5423" i="106" s="1"/>
  <c r="B5348" i="106"/>
  <c r="D5348" i="106" s="1"/>
  <c r="B5485" i="106"/>
  <c r="D5485" i="106" s="1"/>
  <c r="D221" i="5"/>
  <c r="B5488" i="106" s="1"/>
  <c r="D5488" i="106" s="1"/>
  <c r="B2986" i="106"/>
  <c r="D2986" i="106" s="1"/>
  <c r="K137" i="29"/>
  <c r="L127" i="29"/>
  <c r="L129" i="29" s="1"/>
  <c r="L151" i="29" s="1"/>
  <c r="B1249" i="106"/>
  <c r="D1249" i="106" s="1"/>
  <c r="F151" i="29"/>
  <c r="B1250" i="106" s="1"/>
  <c r="D1250" i="106" s="1"/>
  <c r="G129" i="29"/>
  <c r="K122" i="29"/>
  <c r="F61" i="34"/>
  <c r="B1329" i="106"/>
  <c r="D1329" i="106" s="1"/>
  <c r="B1314" i="106"/>
  <c r="D1314" i="106" s="1"/>
  <c r="H172" i="29"/>
  <c r="B131" i="106"/>
  <c r="D131" i="106" s="1"/>
  <c r="B1324" i="106"/>
  <c r="D1324" i="106" s="1"/>
  <c r="K168" i="29"/>
  <c r="E12" i="5"/>
  <c r="B5509" i="106"/>
  <c r="D5509" i="106" s="1"/>
  <c r="B6" i="7"/>
  <c r="E266" i="5"/>
  <c r="B7747" i="106" s="1"/>
  <c r="D7747" i="106" s="1"/>
  <c r="B6835" i="106"/>
  <c r="D6835" i="106" s="1"/>
  <c r="B1308" i="106"/>
  <c r="D1308" i="106" s="1"/>
  <c r="E174" i="29"/>
  <c r="B1309" i="106" s="1"/>
  <c r="D1309" i="106" s="1"/>
  <c r="B139" i="106"/>
  <c r="D139" i="106" s="1"/>
  <c r="B7778" i="106"/>
  <c r="D7778" i="106" s="1"/>
  <c r="K160" i="29"/>
  <c r="E67" i="5"/>
  <c r="B5521" i="106" s="1"/>
  <c r="D5521" i="106" s="1"/>
  <c r="B5519" i="106"/>
  <c r="D5519" i="106" s="1"/>
  <c r="B4372" i="106"/>
  <c r="D4372" i="106" s="1"/>
  <c r="B5534" i="106"/>
  <c r="D5534" i="106" s="1"/>
  <c r="E170" i="5"/>
  <c r="F34" i="3"/>
  <c r="B6128" i="106"/>
  <c r="D6128" i="106" s="1"/>
  <c r="B3007" i="106"/>
  <c r="D3007" i="106" s="1"/>
  <c r="K194" i="29"/>
  <c r="F62" i="34"/>
  <c r="B7833" i="106" s="1"/>
  <c r="D7833" i="106" s="1"/>
  <c r="F14" i="4"/>
  <c r="B2597" i="106" s="1"/>
  <c r="D2597" i="106" s="1"/>
  <c r="B2836" i="106"/>
  <c r="D2836" i="106" s="1"/>
  <c r="F266" i="5"/>
  <c r="B5713" i="106" s="1"/>
  <c r="D5713" i="106" s="1"/>
  <c r="B4397" i="106"/>
  <c r="D4397" i="106" s="1"/>
  <c r="C184" i="29"/>
  <c r="K180" i="29"/>
  <c r="B4081" i="106"/>
  <c r="D4081" i="106" s="1"/>
  <c r="B5599" i="106"/>
  <c r="D5599" i="106" s="1"/>
  <c r="E196" i="29"/>
  <c r="B1352" i="106" s="1"/>
  <c r="D1352" i="106" s="1"/>
  <c r="B2823" i="106"/>
  <c r="D2823" i="106" s="1"/>
  <c r="K183" i="29"/>
  <c r="F210" i="29"/>
  <c r="B1359" i="106" s="1"/>
  <c r="D1359" i="106" s="1"/>
  <c r="B1358" i="106"/>
  <c r="D1358" i="106" s="1"/>
  <c r="B7063" i="106"/>
  <c r="D7063" i="106" s="1"/>
  <c r="I210" i="29"/>
  <c r="B1747" i="106"/>
  <c r="D1747" i="106" s="1"/>
  <c r="D7" i="7"/>
  <c r="B1763" i="106" s="1"/>
  <c r="D1763" i="106" s="1"/>
  <c r="F44" i="4"/>
  <c r="B2828" i="106"/>
  <c r="D2828" i="106" s="1"/>
  <c r="H196" i="29"/>
  <c r="B2830" i="106" s="1"/>
  <c r="D2830" i="106" s="1"/>
  <c r="B1351" i="106"/>
  <c r="D1351" i="106" s="1"/>
  <c r="B7064" i="106"/>
  <c r="D7064" i="106" s="1"/>
  <c r="J210" i="29"/>
  <c r="B7072" i="106" s="1"/>
  <c r="D7072" i="106" s="1"/>
  <c r="B5655" i="106"/>
  <c r="D5655" i="106" s="1"/>
  <c r="F76" i="4"/>
  <c r="B3254" i="106" s="1"/>
  <c r="D3254" i="106" s="1"/>
  <c r="D210" i="29"/>
  <c r="B1346" i="106" s="1"/>
  <c r="D1346" i="106" s="1"/>
  <c r="B1345" i="106"/>
  <c r="D1345" i="106" s="1"/>
  <c r="B5592" i="106"/>
  <c r="D5592" i="106" s="1"/>
  <c r="F5" i="4"/>
  <c r="B3408" i="106" s="1"/>
  <c r="D3408" i="106" s="1"/>
  <c r="L184" i="29"/>
  <c r="B1383" i="106"/>
  <c r="D1383" i="106" s="1"/>
  <c r="K204" i="29"/>
  <c r="G184" i="29"/>
  <c r="D72" i="36"/>
  <c r="H208" i="29"/>
  <c r="B1375" i="106" s="1"/>
  <c r="D1375" i="106" s="1"/>
  <c r="B4156" i="106"/>
  <c r="D4156" i="106" s="1"/>
  <c r="F88" i="34"/>
  <c r="B6312" i="106"/>
  <c r="D6312" i="106" s="1"/>
  <c r="K182" i="29"/>
  <c r="B5614" i="106"/>
  <c r="D5614" i="106" s="1"/>
  <c r="F169" i="5"/>
  <c r="B5644" i="106" s="1"/>
  <c r="D5644" i="106" s="1"/>
  <c r="B4211" i="106"/>
  <c r="D4211" i="106" s="1"/>
  <c r="F64" i="34"/>
  <c r="B8" i="7"/>
  <c r="G12" i="5"/>
  <c r="B5721" i="106"/>
  <c r="D5721" i="106" s="1"/>
  <c r="B3390" i="106"/>
  <c r="D3390" i="106" s="1"/>
  <c r="K229" i="29"/>
  <c r="B1427" i="106"/>
  <c r="D1427" i="106" s="1"/>
  <c r="B6409" i="106"/>
  <c r="D6409" i="106" s="1"/>
  <c r="B1492" i="106"/>
  <c r="D1492" i="106" s="1"/>
  <c r="K270" i="29"/>
  <c r="B1500" i="106" s="1"/>
  <c r="D1500" i="106" s="1"/>
  <c r="B4414" i="106"/>
  <c r="D4414" i="106" s="1"/>
  <c r="B5784" i="106"/>
  <c r="D5784" i="106" s="1"/>
  <c r="B1421" i="106"/>
  <c r="D1421" i="106" s="1"/>
  <c r="B1473" i="106"/>
  <c r="D1473" i="106" s="1"/>
  <c r="F71" i="34"/>
  <c r="D12" i="171"/>
  <c r="B5739" i="106"/>
  <c r="D5739" i="106" s="1"/>
  <c r="B7076" i="106"/>
  <c r="D7076" i="106" s="1"/>
  <c r="F68" i="34"/>
  <c r="G114" i="5"/>
  <c r="B1470" i="106"/>
  <c r="D1470" i="106" s="1"/>
  <c r="F70" i="34"/>
  <c r="B5847" i="106"/>
  <c r="D5847" i="106" s="1"/>
  <c r="B3723" i="106"/>
  <c r="D3723" i="106" s="1"/>
  <c r="K285" i="29"/>
  <c r="B4357" i="106"/>
  <c r="D4357" i="106" s="1"/>
  <c r="B1482" i="106"/>
  <c r="D1482" i="106" s="1"/>
  <c r="K243" i="29"/>
  <c r="B1485" i="106" s="1"/>
  <c r="D1485" i="106" s="1"/>
  <c r="B1511" i="106"/>
  <c r="D1511" i="106" s="1"/>
  <c r="G14" i="4"/>
  <c r="B2609" i="106" s="1"/>
  <c r="D2609" i="106" s="1"/>
  <c r="F72" i="34"/>
  <c r="G13" i="3"/>
  <c r="B1417" i="106"/>
  <c r="D1417" i="106" s="1"/>
  <c r="D279" i="29"/>
  <c r="G204" i="5"/>
  <c r="G266" i="5" s="1"/>
  <c r="K276" i="29"/>
  <c r="B1506" i="106" s="1"/>
  <c r="D1506" i="106" s="1"/>
  <c r="B1442" i="106"/>
  <c r="D1442" i="106" s="1"/>
  <c r="B3258" i="106"/>
  <c r="D3258" i="106" s="1"/>
  <c r="G77" i="4"/>
  <c r="B3261" i="106" s="1"/>
  <c r="D3261" i="106" s="1"/>
  <c r="K238" i="29"/>
  <c r="B1475" i="106"/>
  <c r="D1475" i="106" s="1"/>
  <c r="B5756" i="106"/>
  <c r="D5756" i="106" s="1"/>
  <c r="B1452" i="106"/>
  <c r="D1452" i="106" s="1"/>
  <c r="H295" i="29"/>
  <c r="B1454" i="106" s="1"/>
  <c r="D1454" i="106" s="1"/>
  <c r="B188" i="106"/>
  <c r="D188" i="106" s="1"/>
  <c r="B5780" i="106"/>
  <c r="D5780" i="106" s="1"/>
  <c r="K293" i="29"/>
  <c r="B1512" i="106"/>
  <c r="D1512" i="106" s="1"/>
  <c r="B1501" i="106"/>
  <c r="D1501" i="106" s="1"/>
  <c r="B1486" i="106"/>
  <c r="D1486" i="106" s="1"/>
  <c r="K257" i="29"/>
  <c r="B1488" i="106" s="1"/>
  <c r="D1488" i="106" s="1"/>
  <c r="B16" i="7"/>
  <c r="B5723" i="106"/>
  <c r="D5723" i="106" s="1"/>
  <c r="B7078" i="106"/>
  <c r="D7078" i="106" s="1"/>
  <c r="F69" i="34"/>
  <c r="B4398" i="106"/>
  <c r="D4398" i="106" s="1"/>
  <c r="B1410" i="106"/>
  <c r="D1410" i="106" s="1"/>
  <c r="F67" i="34"/>
  <c r="B7074" i="106"/>
  <c r="D7074" i="106" s="1"/>
  <c r="B5752" i="106"/>
  <c r="D5752" i="106" s="1"/>
  <c r="G169" i="5"/>
  <c r="B1489" i="106"/>
  <c r="D1489" i="106" s="1"/>
  <c r="K261" i="29"/>
  <c r="B1491" i="106" s="1"/>
  <c r="D1491" i="106" s="1"/>
  <c r="B1555" i="106"/>
  <c r="D1555" i="106" s="1"/>
  <c r="K303" i="29"/>
  <c r="B1529" i="106"/>
  <c r="D1529" i="106" s="1"/>
  <c r="D312" i="29"/>
  <c r="B1530" i="106" s="1"/>
  <c r="D1530" i="106" s="1"/>
  <c r="B1541" i="106"/>
  <c r="D1541" i="106" s="1"/>
  <c r="F312" i="29"/>
  <c r="B1542" i="106" s="1"/>
  <c r="D1542" i="106" s="1"/>
  <c r="B1751" i="106"/>
  <c r="D1751" i="106" s="1"/>
  <c r="D9" i="7"/>
  <c r="B1767" i="106" s="1"/>
  <c r="D1767" i="106" s="1"/>
  <c r="B1535" i="106"/>
  <c r="D1535" i="106" s="1"/>
  <c r="E312" i="29"/>
  <c r="B1536" i="106" s="1"/>
  <c r="D1536" i="106" s="1"/>
  <c r="E44" i="4"/>
  <c r="B6285" i="106"/>
  <c r="D6285" i="106" s="1"/>
  <c r="H13" i="3"/>
  <c r="B3425" i="106"/>
  <c r="D3425" i="106" s="1"/>
  <c r="D39" i="36"/>
  <c r="B7104" i="106"/>
  <c r="D7104" i="106" s="1"/>
  <c r="J312" i="29"/>
  <c r="B7117" i="106" s="1"/>
  <c r="D7117" i="106" s="1"/>
  <c r="B211" i="106"/>
  <c r="D211" i="106" s="1"/>
  <c r="B1547" i="106"/>
  <c r="D1547" i="106" s="1"/>
  <c r="G312" i="29"/>
  <c r="B1548" i="106" s="1"/>
  <c r="D1548" i="106" s="1"/>
  <c r="H266" i="5"/>
  <c r="B4441" i="106" s="1"/>
  <c r="D4441" i="106" s="1"/>
  <c r="B6838" i="106"/>
  <c r="D6838" i="106" s="1"/>
  <c r="B7107" i="106"/>
  <c r="D7107" i="106" s="1"/>
  <c r="K310" i="29"/>
  <c r="B1553" i="106"/>
  <c r="D1553" i="106" s="1"/>
  <c r="H312" i="29"/>
  <c r="B1554" i="106" s="1"/>
  <c r="D1554" i="106" s="1"/>
  <c r="B6299" i="106"/>
  <c r="D6299" i="106" s="1"/>
  <c r="B14" i="7"/>
  <c r="B15" i="7"/>
  <c r="B7043" i="106"/>
  <c r="D7043" i="106" s="1"/>
  <c r="B7103" i="106"/>
  <c r="D7103" i="106" s="1"/>
  <c r="I312" i="29"/>
  <c r="B7116" i="106" s="1"/>
  <c r="D7116" i="106" s="1"/>
  <c r="B5893" i="106"/>
  <c r="D5893" i="106" s="1"/>
  <c r="H170" i="5"/>
  <c r="C312" i="29"/>
  <c r="B1524" i="106" s="1"/>
  <c r="D1524" i="106" s="1"/>
  <c r="B1523" i="106"/>
  <c r="D1523" i="106" s="1"/>
  <c r="H67" i="5"/>
  <c r="B5881" i="106" s="1"/>
  <c r="D5881" i="106" s="1"/>
  <c r="B4950" i="106"/>
  <c r="D4950" i="106" s="1"/>
  <c r="B4363" i="106"/>
  <c r="D4363" i="106" s="1"/>
  <c r="I170" i="5"/>
  <c r="I67" i="5"/>
  <c r="B5926" i="106" s="1"/>
  <c r="D5926" i="106" s="1"/>
  <c r="B5916" i="106"/>
  <c r="D5916" i="106" s="1"/>
  <c r="I12" i="5"/>
  <c r="B10" i="7"/>
  <c r="B3427" i="106"/>
  <c r="D3427" i="106" s="1"/>
  <c r="D40" i="36"/>
  <c r="I13" i="3"/>
  <c r="H24" i="118"/>
  <c r="B2910" i="106"/>
  <c r="D2910" i="106" s="1"/>
  <c r="D41" i="36"/>
  <c r="J13" i="3"/>
  <c r="B6124" i="106" s="1"/>
  <c r="D6124" i="106" s="1"/>
  <c r="B6217" i="106"/>
  <c r="D6217" i="106" s="1"/>
  <c r="E61" i="184"/>
  <c r="N61" i="184" s="1"/>
  <c r="B7162" i="106"/>
  <c r="D7162" i="106" s="1"/>
  <c r="J67" i="5"/>
  <c r="B6318" i="106" s="1"/>
  <c r="D6318" i="106" s="1"/>
  <c r="B6400" i="106"/>
  <c r="D6400" i="106" s="1"/>
  <c r="J267" i="5"/>
  <c r="B7171" i="106"/>
  <c r="D7171" i="106" s="1"/>
  <c r="E62" i="184"/>
  <c r="N62" i="184" s="1"/>
  <c r="B7204" i="106"/>
  <c r="D7204" i="106" s="1"/>
  <c r="H342" i="29"/>
  <c r="B7221" i="106" s="1"/>
  <c r="D7221" i="106" s="1"/>
  <c r="B7200" i="106"/>
  <c r="D7200" i="106" s="1"/>
  <c r="D342" i="29"/>
  <c r="B7217" i="106" s="1"/>
  <c r="D7217" i="106" s="1"/>
  <c r="B6357" i="106"/>
  <c r="D6357" i="106" s="1"/>
  <c r="J170" i="5"/>
  <c r="B7198" i="106"/>
  <c r="D7198" i="106" s="1"/>
  <c r="E65" i="184"/>
  <c r="N65" i="184" s="1"/>
  <c r="B7189" i="106"/>
  <c r="D7189" i="106" s="1"/>
  <c r="E64" i="184"/>
  <c r="N64" i="184" s="1"/>
  <c r="B7126" i="106"/>
  <c r="D7126" i="106" s="1"/>
  <c r="E57" i="184"/>
  <c r="K330" i="29"/>
  <c r="B7206" i="106"/>
  <c r="D7206" i="106" s="1"/>
  <c r="J342" i="29"/>
  <c r="B7223" i="106" s="1"/>
  <c r="D7223" i="106" s="1"/>
  <c r="E67" i="184"/>
  <c r="N67" i="184" s="1"/>
  <c r="B7705" i="106"/>
  <c r="D7705" i="106" s="1"/>
  <c r="B7199" i="106"/>
  <c r="D7199" i="106" s="1"/>
  <c r="C342" i="29"/>
  <c r="B7216" i="106" s="1"/>
  <c r="D7216" i="106" s="1"/>
  <c r="L330" i="29"/>
  <c r="L342" i="29" s="1"/>
  <c r="B7202" i="106"/>
  <c r="D7202" i="106" s="1"/>
  <c r="F342" i="29"/>
  <c r="B7219" i="106" s="1"/>
  <c r="D7219" i="106" s="1"/>
  <c r="B6238" i="106"/>
  <c r="D6238" i="106" s="1"/>
  <c r="J77" i="4"/>
  <c r="B6262" i="106" s="1"/>
  <c r="D6262" i="106" s="1"/>
  <c r="E59" i="184"/>
  <c r="N59" i="184" s="1"/>
  <c r="B7144" i="106"/>
  <c r="D7144" i="106" s="1"/>
  <c r="B6301" i="106"/>
  <c r="D6301" i="106" s="1"/>
  <c r="B7209" i="106"/>
  <c r="D7209" i="106" s="1"/>
  <c r="K340" i="29"/>
  <c r="B7205" i="106"/>
  <c r="D7205" i="106" s="1"/>
  <c r="I342" i="29"/>
  <c r="B7153" i="106"/>
  <c r="D7153" i="106" s="1"/>
  <c r="E60" i="184"/>
  <c r="N60" i="184" s="1"/>
  <c r="B1752" i="106"/>
  <c r="D1752" i="106" s="1"/>
  <c r="D11" i="7"/>
  <c r="B1768" i="106" s="1"/>
  <c r="D1768" i="106" s="1"/>
  <c r="B7180" i="106"/>
  <c r="D7180" i="106" s="1"/>
  <c r="E63" i="184"/>
  <c r="N63" i="184" s="1"/>
  <c r="B7201" i="106"/>
  <c r="D7201" i="106" s="1"/>
  <c r="E342" i="29"/>
  <c r="B7218" i="106" s="1"/>
  <c r="D7218" i="106" s="1"/>
  <c r="B7203" i="106"/>
  <c r="D7203" i="106" s="1"/>
  <c r="G342" i="29"/>
  <c r="E58" i="184"/>
  <c r="N58" i="184" s="1"/>
  <c r="B7135" i="106"/>
  <c r="D7135" i="106" s="1"/>
  <c r="B7696" i="106"/>
  <c r="D7696" i="106" s="1"/>
  <c r="E66" i="184"/>
  <c r="N66" i="184" s="1"/>
  <c r="B6191" i="106"/>
  <c r="D6191" i="106" s="1"/>
  <c r="D42" i="36"/>
  <c r="B3546" i="106"/>
  <c r="D3546" i="106" s="1"/>
  <c r="K13" i="3"/>
  <c r="B5985" i="106"/>
  <c r="D5985" i="106" s="1"/>
  <c r="B12" i="7"/>
  <c r="K12" i="5"/>
  <c r="B3675" i="106"/>
  <c r="D3675" i="106" s="1"/>
  <c r="K362" i="29"/>
  <c r="B3658" i="106"/>
  <c r="D3658" i="106" s="1"/>
  <c r="H365" i="29"/>
  <c r="B7242" i="106" s="1"/>
  <c r="D7242" i="106" s="1"/>
  <c r="B3654" i="106"/>
  <c r="D3654" i="106" s="1"/>
  <c r="H352" i="29"/>
  <c r="G352" i="29"/>
  <c r="B3647" i="106"/>
  <c r="D3647" i="106" s="1"/>
  <c r="B7231" i="106"/>
  <c r="D7231" i="106" s="1"/>
  <c r="J352" i="29"/>
  <c r="B6006" i="106"/>
  <c r="D6006" i="106" s="1"/>
  <c r="K170" i="5"/>
  <c r="B5986" i="106"/>
  <c r="D5986" i="106" s="1"/>
  <c r="B18" i="7"/>
  <c r="B3619" i="106"/>
  <c r="D3619" i="106" s="1"/>
  <c r="C352" i="29"/>
  <c r="B7745" i="106"/>
  <c r="D7745" i="106" s="1"/>
  <c r="K364" i="29"/>
  <c r="B7746" i="106" s="1"/>
  <c r="D7746" i="106" s="1"/>
  <c r="F352" i="29"/>
  <c r="B3640" i="106"/>
  <c r="D3640" i="106" s="1"/>
  <c r="B3668" i="106"/>
  <c r="D3668" i="106" s="1"/>
  <c r="K350" i="29"/>
  <c r="B3584" i="106"/>
  <c r="D3584" i="106" s="1"/>
  <c r="B4951" i="106"/>
  <c r="D4951" i="106" s="1"/>
  <c r="K267" i="5"/>
  <c r="B2105" i="106"/>
  <c r="D2105" i="106" s="1"/>
  <c r="I76" i="4"/>
  <c r="I352" i="29"/>
  <c r="B7230" i="106"/>
  <c r="D7230" i="106" s="1"/>
  <c r="B3673" i="106"/>
  <c r="D3673" i="106" s="1"/>
  <c r="K357" i="29"/>
  <c r="B3626" i="106"/>
  <c r="D3626" i="106" s="1"/>
  <c r="D352" i="29"/>
  <c r="K34" i="3"/>
  <c r="B3633" i="106"/>
  <c r="D3633" i="106" s="1"/>
  <c r="E352" i="29"/>
  <c r="L350" i="29"/>
  <c r="L352" i="29" s="1"/>
  <c r="L367" i="29" s="1"/>
  <c r="H77" i="4" l="1"/>
  <c r="B3299" i="106" s="1"/>
  <c r="D3299" i="106" s="1"/>
  <c r="L295" i="29"/>
  <c r="D37" i="108"/>
  <c r="B6853" i="106"/>
  <c r="D6853" i="106" s="1"/>
  <c r="D151" i="29"/>
  <c r="B1234" i="106" s="1"/>
  <c r="D1234" i="106" s="1"/>
  <c r="F96" i="34"/>
  <c r="B7838" i="106" s="1"/>
  <c r="D7838" i="106" s="1"/>
  <c r="I151" i="29"/>
  <c r="F59" i="34" s="1"/>
  <c r="F37" i="108"/>
  <c r="F128" i="34"/>
  <c r="B7860" i="106" s="1"/>
  <c r="D7860" i="106" s="1"/>
  <c r="F107" i="34"/>
  <c r="B7843" i="106" s="1"/>
  <c r="D7843" i="106" s="1"/>
  <c r="F126" i="34"/>
  <c r="B7858" i="106" s="1"/>
  <c r="D7858" i="106" s="1"/>
  <c r="E210" i="29"/>
  <c r="B1353" i="106" s="1"/>
  <c r="D1353" i="106" s="1"/>
  <c r="F108" i="34"/>
  <c r="B7844" i="106" s="1"/>
  <c r="D7844" i="106" s="1"/>
  <c r="K77" i="4"/>
  <c r="B3587" i="106" s="1"/>
  <c r="D3587" i="106" s="1"/>
  <c r="H74" i="29"/>
  <c r="B1045" i="106" s="1"/>
  <c r="D1045" i="106" s="1"/>
  <c r="L210" i="29"/>
  <c r="F112" i="34"/>
  <c r="B7847" i="106" s="1"/>
  <c r="D7847" i="106" s="1"/>
  <c r="K42" i="29"/>
  <c r="G21" i="108" s="1"/>
  <c r="F124" i="34"/>
  <c r="B7856" i="106" s="1"/>
  <c r="D7856" i="106" s="1"/>
  <c r="F267" i="5"/>
  <c r="B5719" i="106" s="1"/>
  <c r="D5719" i="106" s="1"/>
  <c r="K277" i="29"/>
  <c r="B1508" i="106" s="1"/>
  <c r="D1508" i="106" s="1"/>
  <c r="H267" i="5"/>
  <c r="H7" i="4" s="1"/>
  <c r="B2657" i="106" s="1"/>
  <c r="D2657" i="106" s="1"/>
  <c r="J109" i="5"/>
  <c r="B6352" i="106" s="1"/>
  <c r="D6352" i="106" s="1"/>
  <c r="J114" i="29"/>
  <c r="B7021" i="106" s="1"/>
  <c r="D7021" i="106" s="1"/>
  <c r="E24" i="108"/>
  <c r="F109" i="5"/>
  <c r="B5588" i="106" s="1"/>
  <c r="D5588" i="106" s="1"/>
  <c r="E22" i="108"/>
  <c r="G24" i="108"/>
  <c r="G22" i="108"/>
  <c r="F158" i="34"/>
  <c r="B7866" i="106" s="1"/>
  <c r="D7866" i="106" s="1"/>
  <c r="H12" i="184"/>
  <c r="B5125" i="106"/>
  <c r="D5125" i="106" s="1"/>
  <c r="C5" i="4"/>
  <c r="B3405" i="106" s="1"/>
  <c r="D3405" i="106" s="1"/>
  <c r="B5225" i="106"/>
  <c r="D5225" i="106" s="1"/>
  <c r="B5132" i="106"/>
  <c r="D5132" i="106" s="1"/>
  <c r="B785" i="106"/>
  <c r="D785" i="106" s="1"/>
  <c r="D74" i="29"/>
  <c r="B5147" i="106"/>
  <c r="D5147" i="106" s="1"/>
  <c r="C169" i="5"/>
  <c r="B5214" i="106" s="1"/>
  <c r="D5214" i="106" s="1"/>
  <c r="B1120" i="106"/>
  <c r="D1120" i="106" s="1"/>
  <c r="K53" i="29"/>
  <c r="B1122" i="106" s="1"/>
  <c r="D1122" i="106" s="1"/>
  <c r="B836" i="106"/>
  <c r="D836" i="106" s="1"/>
  <c r="E114" i="29"/>
  <c r="B873" i="106" s="1"/>
  <c r="D873" i="106" s="1"/>
  <c r="I114" i="29"/>
  <c r="F106" i="34"/>
  <c r="B7842" i="106" s="1"/>
  <c r="D7842" i="106" s="1"/>
  <c r="B2088" i="106"/>
  <c r="D2088" i="106" s="1"/>
  <c r="K102" i="29"/>
  <c r="B1131" i="106"/>
  <c r="D1131" i="106" s="1"/>
  <c r="E16" i="184"/>
  <c r="H16" i="184" s="1"/>
  <c r="F31" i="108"/>
  <c r="D31" i="108"/>
  <c r="D41" i="108" s="1"/>
  <c r="E43" i="108" s="1"/>
  <c r="C77" i="4"/>
  <c r="B3232" i="106" s="1"/>
  <c r="D3232" i="106" s="1"/>
  <c r="B3229" i="106"/>
  <c r="D3229" i="106" s="1"/>
  <c r="K33" i="29"/>
  <c r="L74" i="29"/>
  <c r="L114" i="29" s="1"/>
  <c r="F114" i="29"/>
  <c r="B931" i="106" s="1"/>
  <c r="D931" i="106" s="1"/>
  <c r="F95" i="34"/>
  <c r="B5096" i="106"/>
  <c r="D5096" i="106" s="1"/>
  <c r="F133" i="34"/>
  <c r="B7865" i="106" s="1"/>
  <c r="D7865" i="106" s="1"/>
  <c r="B1134" i="106"/>
  <c r="D1134" i="106" s="1"/>
  <c r="K72" i="29"/>
  <c r="B1141" i="106" s="1"/>
  <c r="D1141" i="106" s="1"/>
  <c r="E17" i="184"/>
  <c r="H17" i="184" s="1"/>
  <c r="G33" i="108"/>
  <c r="E33" i="108"/>
  <c r="B1128" i="106"/>
  <c r="D1128" i="106" s="1"/>
  <c r="F28" i="108"/>
  <c r="E28" i="108"/>
  <c r="B77" i="106"/>
  <c r="D77" i="106" s="1"/>
  <c r="K65" i="29"/>
  <c r="B1133" i="106" s="1"/>
  <c r="D1133" i="106" s="1"/>
  <c r="B5066" i="106"/>
  <c r="D5066" i="106" s="1"/>
  <c r="C109" i="5"/>
  <c r="E14" i="184"/>
  <c r="H14" i="184" s="1"/>
  <c r="B1124" i="106"/>
  <c r="D1124" i="106" s="1"/>
  <c r="B4395" i="106"/>
  <c r="D4395" i="106" s="1"/>
  <c r="C266" i="5"/>
  <c r="B5320" i="106" s="1"/>
  <c r="D5320" i="106" s="1"/>
  <c r="B1744" i="106"/>
  <c r="D1744" i="106" s="1"/>
  <c r="D4" i="7"/>
  <c r="B1760" i="106" s="1"/>
  <c r="D1760" i="106" s="1"/>
  <c r="K112" i="29"/>
  <c r="B1151" i="106"/>
  <c r="D1151" i="106" s="1"/>
  <c r="B952" i="106"/>
  <c r="D952" i="106" s="1"/>
  <c r="C114" i="29"/>
  <c r="B757" i="106" s="1"/>
  <c r="D757" i="106" s="1"/>
  <c r="G74" i="29"/>
  <c r="B987" i="106" s="1"/>
  <c r="D987" i="106" s="1"/>
  <c r="F15" i="184"/>
  <c r="K127" i="29"/>
  <c r="E26" i="108"/>
  <c r="G26" i="108"/>
  <c r="B1274" i="106"/>
  <c r="D1274" i="106" s="1"/>
  <c r="B7038" i="106"/>
  <c r="D7038" i="106" s="1"/>
  <c r="J151" i="29"/>
  <c r="B7052" i="106" s="1"/>
  <c r="D7052" i="106" s="1"/>
  <c r="B122" i="106"/>
  <c r="D122" i="106" s="1"/>
  <c r="G151" i="29"/>
  <c r="B1258" i="106"/>
  <c r="D1258" i="106" s="1"/>
  <c r="B2093" i="106"/>
  <c r="D2093" i="106" s="1"/>
  <c r="K139" i="29"/>
  <c r="B1239" i="106"/>
  <c r="D1239" i="106" s="1"/>
  <c r="E129" i="29"/>
  <c r="H151" i="29"/>
  <c r="B1273" i="106" s="1"/>
  <c r="D1273" i="106" s="1"/>
  <c r="B5341" i="106"/>
  <c r="D5341" i="106" s="1"/>
  <c r="D67" i="5"/>
  <c r="B5342" i="106" s="1"/>
  <c r="D5342" i="106" s="1"/>
  <c r="D266" i="5"/>
  <c r="B1745" i="106"/>
  <c r="D1745" i="106" s="1"/>
  <c r="D5" i="7"/>
  <c r="B1761" i="106" s="1"/>
  <c r="D1761" i="106" s="1"/>
  <c r="B7048" i="106"/>
  <c r="D7048" i="106" s="1"/>
  <c r="K149" i="29"/>
  <c r="B5334" i="106"/>
  <c r="D5334" i="106" s="1"/>
  <c r="B3725" i="106"/>
  <c r="D3725" i="106" s="1"/>
  <c r="D13" i="7"/>
  <c r="B3726" i="106" s="1"/>
  <c r="D3726" i="106" s="1"/>
  <c r="B109" i="106"/>
  <c r="D109" i="106" s="1"/>
  <c r="D170" i="5"/>
  <c r="E267" i="5"/>
  <c r="D6" i="7"/>
  <c r="B1762" i="106" s="1"/>
  <c r="D1762" i="106" s="1"/>
  <c r="B1746" i="106"/>
  <c r="D1746" i="106" s="1"/>
  <c r="B5513" i="106"/>
  <c r="D5513" i="106" s="1"/>
  <c r="E109" i="5"/>
  <c r="K172" i="29"/>
  <c r="B1328" i="106"/>
  <c r="D1328" i="106" s="1"/>
  <c r="F60" i="34"/>
  <c r="E15" i="4"/>
  <c r="B1323" i="106"/>
  <c r="D1323" i="106" s="1"/>
  <c r="H174" i="29"/>
  <c r="B1318" i="106" s="1"/>
  <c r="D1318" i="106" s="1"/>
  <c r="B1317" i="106"/>
  <c r="D1317" i="106" s="1"/>
  <c r="B5544" i="106"/>
  <c r="D5544" i="106" s="1"/>
  <c r="E6" i="4"/>
  <c r="B2631" i="106" s="1"/>
  <c r="D2631" i="106" s="1"/>
  <c r="K184" i="29"/>
  <c r="B4087" i="106"/>
  <c r="D4087" i="106" s="1"/>
  <c r="K208" i="29"/>
  <c r="B4157" i="106"/>
  <c r="D4157" i="106" s="1"/>
  <c r="C210" i="29"/>
  <c r="B1340" i="106" s="1"/>
  <c r="D1340" i="106" s="1"/>
  <c r="B1339" i="106"/>
  <c r="D1339" i="106" s="1"/>
  <c r="B1380" i="106"/>
  <c r="D1380" i="106" s="1"/>
  <c r="E38" i="108"/>
  <c r="G38" i="108"/>
  <c r="B1377" i="106"/>
  <c r="D1377" i="106" s="1"/>
  <c r="E29" i="108"/>
  <c r="G29" i="108"/>
  <c r="F7" i="4"/>
  <c r="B2594" i="106" s="1"/>
  <c r="D2594" i="106" s="1"/>
  <c r="B7071" i="106"/>
  <c r="D7071" i="106" s="1"/>
  <c r="F66" i="34"/>
  <c r="F170" i="5"/>
  <c r="K196" i="29"/>
  <c r="B2837" i="106"/>
  <c r="D2837" i="106" s="1"/>
  <c r="H210" i="29"/>
  <c r="B1376" i="106" s="1"/>
  <c r="D1376" i="106" s="1"/>
  <c r="B3252" i="106"/>
  <c r="D3252" i="106" s="1"/>
  <c r="F77" i="4"/>
  <c r="B3255" i="106" s="1"/>
  <c r="D3255" i="106" s="1"/>
  <c r="B1364" i="106"/>
  <c r="D1364" i="106" s="1"/>
  <c r="G210" i="29"/>
  <c r="B169" i="106"/>
  <c r="D169" i="106" s="1"/>
  <c r="B5863" i="106"/>
  <c r="D5863" i="106" s="1"/>
  <c r="G267" i="5"/>
  <c r="B3724" i="106"/>
  <c r="D3724" i="106" s="1"/>
  <c r="F73" i="34"/>
  <c r="G15" i="4"/>
  <c r="B6032" i="106" s="1"/>
  <c r="D6032" i="106" s="1"/>
  <c r="B5732" i="106"/>
  <c r="D5732" i="106" s="1"/>
  <c r="G67" i="5"/>
  <c r="B5733" i="106" s="1"/>
  <c r="D5733" i="106" s="1"/>
  <c r="D295" i="29"/>
  <c r="B1448" i="106" s="1"/>
  <c r="D1448" i="106" s="1"/>
  <c r="B1446" i="106"/>
  <c r="D1446" i="106" s="1"/>
  <c r="B1481" i="106"/>
  <c r="D1481" i="106" s="1"/>
  <c r="B1515" i="106"/>
  <c r="D1515" i="106" s="1"/>
  <c r="G16" i="4"/>
  <c r="B2611" i="106" s="1"/>
  <c r="D2611" i="106" s="1"/>
  <c r="B180" i="106"/>
  <c r="D180" i="106" s="1"/>
  <c r="B1474" i="106"/>
  <c r="D1474" i="106" s="1"/>
  <c r="G12" i="4"/>
  <c r="G170" i="5"/>
  <c r="B5770" i="106"/>
  <c r="D5770" i="106" s="1"/>
  <c r="B3446" i="106"/>
  <c r="D3446" i="106" s="1"/>
  <c r="D16" i="7"/>
  <c r="B3447" i="106" s="1"/>
  <c r="D3447" i="106" s="1"/>
  <c r="B5741" i="106"/>
  <c r="D5741" i="106" s="1"/>
  <c r="G5" i="4"/>
  <c r="B3409" i="106" s="1"/>
  <c r="D3409" i="106" s="1"/>
  <c r="B5725" i="106"/>
  <c r="D5725" i="106" s="1"/>
  <c r="B5803" i="106"/>
  <c r="D5803" i="106" s="1"/>
  <c r="F127" i="34"/>
  <c r="B7859" i="106" s="1"/>
  <c r="D7859" i="106" s="1"/>
  <c r="B1748" i="106"/>
  <c r="D1748" i="106" s="1"/>
  <c r="D8" i="7"/>
  <c r="B1764" i="106" s="1"/>
  <c r="D1764" i="106" s="1"/>
  <c r="H15" i="4"/>
  <c r="B2660" i="106" s="1"/>
  <c r="D2660" i="106" s="1"/>
  <c r="B2102" i="106"/>
  <c r="D2102" i="106" s="1"/>
  <c r="B203" i="106"/>
  <c r="D203" i="106" s="1"/>
  <c r="H109" i="5"/>
  <c r="H6" i="4"/>
  <c r="B2656" i="106" s="1"/>
  <c r="D2656" i="106" s="1"/>
  <c r="B5906" i="106"/>
  <c r="D5906" i="106" s="1"/>
  <c r="B3274" i="106"/>
  <c r="D3274" i="106" s="1"/>
  <c r="E77" i="4"/>
  <c r="B1756" i="106"/>
  <c r="D1756" i="106" s="1"/>
  <c r="D15" i="7"/>
  <c r="B1772" i="106" s="1"/>
  <c r="D1772" i="106" s="1"/>
  <c r="B1754" i="106"/>
  <c r="D1754" i="106" s="1"/>
  <c r="D14" i="7"/>
  <c r="B1770" i="106" s="1"/>
  <c r="D1770" i="106" s="1"/>
  <c r="K312" i="29"/>
  <c r="B1560" i="106" s="1"/>
  <c r="D1560" i="106" s="1"/>
  <c r="H13" i="4"/>
  <c r="B1559" i="106"/>
  <c r="D1559" i="106" s="1"/>
  <c r="B2888" i="106"/>
  <c r="D2888" i="106" s="1"/>
  <c r="B1749" i="106"/>
  <c r="D1749" i="106" s="1"/>
  <c r="D10" i="7"/>
  <c r="B1765" i="106" s="1"/>
  <c r="D1765" i="106" s="1"/>
  <c r="B5918" i="106"/>
  <c r="D5918" i="106" s="1"/>
  <c r="I109" i="5"/>
  <c r="B4216" i="106"/>
  <c r="D4216" i="106" s="1"/>
  <c r="I6" i="4"/>
  <c r="B5011" i="106" s="1"/>
  <c r="D5011" i="106" s="1"/>
  <c r="E68" i="184"/>
  <c r="N57" i="184"/>
  <c r="N68" i="184" s="1"/>
  <c r="B7207" i="106"/>
  <c r="D7207" i="106" s="1"/>
  <c r="K342" i="29"/>
  <c r="J13" i="4"/>
  <c r="B7054" i="106"/>
  <c r="D7054" i="106" s="1"/>
  <c r="J7" i="4"/>
  <c r="B6222" i="106" s="1"/>
  <c r="D6222" i="106" s="1"/>
  <c r="B7222" i="106"/>
  <c r="D7222" i="106" s="1"/>
  <c r="F76" i="34"/>
  <c r="B7887" i="106" s="1"/>
  <c r="D7887" i="106" s="1"/>
  <c r="B7220" i="106"/>
  <c r="D7220" i="106" s="1"/>
  <c r="F75" i="34"/>
  <c r="J16" i="4"/>
  <c r="B6226" i="106" s="1"/>
  <c r="D6226" i="106" s="1"/>
  <c r="B7215" i="106"/>
  <c r="D7215" i="106" s="1"/>
  <c r="J6" i="4"/>
  <c r="B6221" i="106" s="1"/>
  <c r="D6221" i="106" s="1"/>
  <c r="B6397" i="106"/>
  <c r="D6397" i="106" s="1"/>
  <c r="B3656" i="106"/>
  <c r="D3656" i="106" s="1"/>
  <c r="H367" i="29"/>
  <c r="B3660" i="106" s="1"/>
  <c r="D3660" i="106" s="1"/>
  <c r="B3318" i="106"/>
  <c r="D3318" i="106" s="1"/>
  <c r="I77" i="4"/>
  <c r="B3621" i="106"/>
  <c r="D3621" i="106" s="1"/>
  <c r="C367" i="29"/>
  <c r="B3622" i="106" s="1"/>
  <c r="D3622" i="106" s="1"/>
  <c r="B6022" i="106"/>
  <c r="D6022" i="106" s="1"/>
  <c r="K7" i="4"/>
  <c r="B4103" i="106"/>
  <c r="D4103" i="106" s="1"/>
  <c r="D18" i="7"/>
  <c r="B4105" i="106" s="1"/>
  <c r="D4105" i="106" s="1"/>
  <c r="B3676" i="106"/>
  <c r="D3676" i="106" s="1"/>
  <c r="K365" i="29"/>
  <c r="E367" i="29"/>
  <c r="B3636" i="106" s="1"/>
  <c r="D3636" i="106" s="1"/>
  <c r="B3635" i="106"/>
  <c r="D3635" i="106" s="1"/>
  <c r="K6" i="4"/>
  <c r="B3570" i="106" s="1"/>
  <c r="D3570" i="106" s="1"/>
  <c r="B6014" i="106"/>
  <c r="D6014" i="106" s="1"/>
  <c r="B5987" i="106"/>
  <c r="D5987" i="106" s="1"/>
  <c r="K109" i="5"/>
  <c r="B3565" i="106"/>
  <c r="D3565" i="106" s="1"/>
  <c r="B1753" i="106"/>
  <c r="D1753" i="106" s="1"/>
  <c r="B19" i="7"/>
  <c r="B1759" i="106" s="1"/>
  <c r="D1759" i="106" s="1"/>
  <c r="D12" i="7"/>
  <c r="D367" i="29"/>
  <c r="B3629" i="106" s="1"/>
  <c r="D3629" i="106" s="1"/>
  <c r="B3628" i="106"/>
  <c r="D3628" i="106" s="1"/>
  <c r="K352" i="29"/>
  <c r="B3670" i="106"/>
  <c r="D3670" i="106" s="1"/>
  <c r="J367" i="29"/>
  <c r="B7245" i="106" s="1"/>
  <c r="D7245" i="106" s="1"/>
  <c r="B7235" i="106"/>
  <c r="D7235" i="106" s="1"/>
  <c r="B3552" i="106"/>
  <c r="D3552" i="106" s="1"/>
  <c r="B3674" i="106"/>
  <c r="D3674" i="106" s="1"/>
  <c r="K15" i="4"/>
  <c r="B3573" i="106" s="1"/>
  <c r="D3573" i="106" s="1"/>
  <c r="I367" i="29"/>
  <c r="B7234" i="106"/>
  <c r="D7234" i="106" s="1"/>
  <c r="F367" i="29"/>
  <c r="B3643" i="106" s="1"/>
  <c r="D3643" i="106" s="1"/>
  <c r="B3642" i="106"/>
  <c r="D3642" i="106" s="1"/>
  <c r="G367" i="29"/>
  <c r="B3650" i="106" s="1"/>
  <c r="D3650" i="106" s="1"/>
  <c r="B3649" i="106"/>
  <c r="D3649" i="106" s="1"/>
  <c r="B7051" i="106" l="1"/>
  <c r="D7051" i="106" s="1"/>
  <c r="H114" i="29"/>
  <c r="B1054" i="106" s="1"/>
  <c r="D1054" i="106" s="1"/>
  <c r="B1115" i="106"/>
  <c r="D1115" i="106" s="1"/>
  <c r="E21" i="108"/>
  <c r="K279" i="29"/>
  <c r="B1510" i="106" s="1"/>
  <c r="D1510" i="106" s="1"/>
  <c r="E23" i="108"/>
  <c r="J4" i="4"/>
  <c r="B6220" i="106" s="1"/>
  <c r="D6220" i="106" s="1"/>
  <c r="J268" i="5"/>
  <c r="B7055" i="106" s="1"/>
  <c r="D7055" i="106" s="1"/>
  <c r="B5914" i="106"/>
  <c r="D5914" i="106" s="1"/>
  <c r="G23" i="108"/>
  <c r="F4" i="4"/>
  <c r="B2591" i="106" s="1"/>
  <c r="D2591" i="106" s="1"/>
  <c r="G109" i="5"/>
  <c r="B6024" i="106" s="1"/>
  <c r="D6024" i="106" s="1"/>
  <c r="G114" i="29"/>
  <c r="F54" i="34" s="1"/>
  <c r="F41" i="108"/>
  <c r="G43" i="108" s="1"/>
  <c r="B813" i="106"/>
  <c r="D813" i="106" s="1"/>
  <c r="D114" i="29"/>
  <c r="B815" i="106" s="1"/>
  <c r="D815" i="106" s="1"/>
  <c r="B7019" i="106"/>
  <c r="D7019" i="106" s="1"/>
  <c r="C16" i="4"/>
  <c r="B2560" i="106" s="1"/>
  <c r="D2560" i="106" s="1"/>
  <c r="F53" i="34"/>
  <c r="B1145" i="106"/>
  <c r="D1145" i="106" s="1"/>
  <c r="C15" i="4"/>
  <c r="B2559" i="106" s="1"/>
  <c r="D2559" i="106" s="1"/>
  <c r="C170" i="5"/>
  <c r="K74" i="29"/>
  <c r="B7020" i="106"/>
  <c r="D7020" i="106" s="1"/>
  <c r="F55" i="34"/>
  <c r="C267" i="5"/>
  <c r="C12" i="4"/>
  <c r="B1108" i="106"/>
  <c r="D1108" i="106" s="1"/>
  <c r="G19" i="108"/>
  <c r="E19" i="108"/>
  <c r="E41" i="108" s="1"/>
  <c r="E44" i="108" s="1"/>
  <c r="E45" i="108" s="1"/>
  <c r="B5121" i="106"/>
  <c r="D5121" i="106" s="1"/>
  <c r="C4" i="4"/>
  <c r="E19" i="184"/>
  <c r="F58" i="34"/>
  <c r="B1259" i="106"/>
  <c r="D1259" i="106" s="1"/>
  <c r="B5501" i="106"/>
  <c r="D5501" i="106" s="1"/>
  <c r="D267" i="5"/>
  <c r="B5421" i="106"/>
  <c r="D5421" i="106" s="1"/>
  <c r="D6" i="4"/>
  <c r="B2566" i="106" s="1"/>
  <c r="D2566" i="106" s="1"/>
  <c r="E151" i="29"/>
  <c r="B1242" i="106" s="1"/>
  <c r="D1242" i="106" s="1"/>
  <c r="B1241" i="106"/>
  <c r="D1241" i="106" s="1"/>
  <c r="D109" i="5"/>
  <c r="F57" i="34"/>
  <c r="D15" i="4"/>
  <c r="B2571" i="106" s="1"/>
  <c r="D2571" i="106" s="1"/>
  <c r="B1282" i="106"/>
  <c r="D1282" i="106" s="1"/>
  <c r="B1279" i="106"/>
  <c r="D1279" i="106" s="1"/>
  <c r="K129" i="29"/>
  <c r="D16" i="4"/>
  <c r="B2572" i="106" s="1"/>
  <c r="D2572" i="106" s="1"/>
  <c r="B1287" i="106"/>
  <c r="D1287" i="106" s="1"/>
  <c r="F19" i="184"/>
  <c r="H15" i="184"/>
  <c r="H19" i="184" s="1"/>
  <c r="L20" i="184" s="1"/>
  <c r="B2633" i="106"/>
  <c r="D2633" i="106" s="1"/>
  <c r="K174" i="29"/>
  <c r="B1331" i="106"/>
  <c r="D1331" i="106" s="1"/>
  <c r="E16" i="4"/>
  <c r="B2634" i="106" s="1"/>
  <c r="D2634" i="106" s="1"/>
  <c r="E4" i="4"/>
  <c r="B5527" i="106"/>
  <c r="D5527" i="106" s="1"/>
  <c r="E268" i="5"/>
  <c r="E7" i="4"/>
  <c r="B4443" i="106" s="1"/>
  <c r="D4443" i="106" s="1"/>
  <c r="B4434" i="106"/>
  <c r="D4434" i="106" s="1"/>
  <c r="B1382" i="106"/>
  <c r="D1382" i="106" s="1"/>
  <c r="F63" i="34"/>
  <c r="F15" i="4"/>
  <c r="B2598" i="106" s="1"/>
  <c r="D2598" i="106" s="1"/>
  <c r="F6" i="4"/>
  <c r="B2593" i="106" s="1"/>
  <c r="D2593" i="106" s="1"/>
  <c r="B5653" i="106"/>
  <c r="D5653" i="106" s="1"/>
  <c r="F175" i="34"/>
  <c r="B7877" i="106" s="1"/>
  <c r="D7877" i="106" s="1"/>
  <c r="B1365" i="106"/>
  <c r="D1365" i="106" s="1"/>
  <c r="F65" i="34"/>
  <c r="F268" i="5"/>
  <c r="F16" i="4"/>
  <c r="B2599" i="106" s="1"/>
  <c r="D2599" i="106" s="1"/>
  <c r="B1387" i="106"/>
  <c r="D1387" i="106" s="1"/>
  <c r="F13" i="4"/>
  <c r="B1381" i="106"/>
  <c r="D1381" i="106" s="1"/>
  <c r="K210" i="29"/>
  <c r="B5778" i="106"/>
  <c r="D5778" i="106" s="1"/>
  <c r="G6" i="4"/>
  <c r="B2604" i="106" s="1"/>
  <c r="D2604" i="106" s="1"/>
  <c r="B2607" i="106"/>
  <c r="D2607" i="106" s="1"/>
  <c r="G7" i="4"/>
  <c r="B2605" i="106" s="1"/>
  <c r="D2605" i="106" s="1"/>
  <c r="B5869" i="106"/>
  <c r="D5869" i="106" s="1"/>
  <c r="B3277" i="106"/>
  <c r="D3277" i="106" s="1"/>
  <c r="B2659" i="106"/>
  <c r="D2659" i="106" s="1"/>
  <c r="H17" i="4"/>
  <c r="H268" i="5"/>
  <c r="B6025" i="106"/>
  <c r="D6025" i="106" s="1"/>
  <c r="H4" i="4"/>
  <c r="B6026" i="106"/>
  <c r="D6026" i="106" s="1"/>
  <c r="I268" i="5"/>
  <c r="B5946" i="106" s="1"/>
  <c r="D5946" i="106" s="1"/>
  <c r="I4" i="4"/>
  <c r="B7042" i="106"/>
  <c r="D7042" i="106" s="1"/>
  <c r="J17" i="4"/>
  <c r="F13" i="34"/>
  <c r="B7224" i="106"/>
  <c r="D7224" i="106" s="1"/>
  <c r="B7886" i="106"/>
  <c r="D7886" i="106" s="1"/>
  <c r="B1769" i="106"/>
  <c r="D1769" i="106" s="1"/>
  <c r="D19" i="7"/>
  <c r="B1775" i="106" s="1"/>
  <c r="D1775" i="106" s="1"/>
  <c r="B7243" i="106"/>
  <c r="D7243" i="106" s="1"/>
  <c r="K16" i="4"/>
  <c r="B3574" i="106" s="1"/>
  <c r="D3574" i="106" s="1"/>
  <c r="B7244" i="106"/>
  <c r="D7244" i="106" s="1"/>
  <c r="F17" i="11"/>
  <c r="B3718" i="106"/>
  <c r="D3718" i="106" s="1"/>
  <c r="K268" i="5"/>
  <c r="K4" i="4"/>
  <c r="B6028" i="106"/>
  <c r="D6028" i="106" s="1"/>
  <c r="B3319" i="106"/>
  <c r="D3319" i="106" s="1"/>
  <c r="K367" i="29"/>
  <c r="B3678" i="106" s="1"/>
  <c r="D3678" i="106" s="1"/>
  <c r="K13" i="4"/>
  <c r="B3672" i="106"/>
  <c r="D3672" i="106" s="1"/>
  <c r="K343" i="29" l="1"/>
  <c r="B7225" i="106" s="1"/>
  <c r="D7225" i="106" s="1"/>
  <c r="J8" i="4"/>
  <c r="J10" i="4" s="1"/>
  <c r="B6225" i="106" s="1"/>
  <c r="D6225" i="106" s="1"/>
  <c r="K295" i="29"/>
  <c r="F12" i="34" s="1"/>
  <c r="G13" i="4"/>
  <c r="B2608" i="106" s="1"/>
  <c r="D2608" i="106" s="1"/>
  <c r="B989" i="106"/>
  <c r="D989" i="106" s="1"/>
  <c r="G41" i="108"/>
  <c r="G44" i="108" s="1"/>
  <c r="G45" i="108" s="1"/>
  <c r="C268" i="5"/>
  <c r="B5327" i="106" s="1"/>
  <c r="D5327" i="106" s="1"/>
  <c r="G268" i="5"/>
  <c r="G4" i="4"/>
  <c r="B2603" i="106" s="1"/>
  <c r="D2603" i="106" s="1"/>
  <c r="F8" i="4"/>
  <c r="D8" i="146" s="1"/>
  <c r="B1143" i="106"/>
  <c r="D1143" i="106" s="1"/>
  <c r="C13" i="4"/>
  <c r="B2557" i="106" s="1"/>
  <c r="D2557" i="106" s="1"/>
  <c r="B5223" i="106"/>
  <c r="D5223" i="106" s="1"/>
  <c r="C6" i="4"/>
  <c r="B2553" i="106" s="1"/>
  <c r="D2553" i="106" s="1"/>
  <c r="B2551" i="106"/>
  <c r="D2551" i="106" s="1"/>
  <c r="K114" i="29"/>
  <c r="B2556" i="106"/>
  <c r="D2556" i="106" s="1"/>
  <c r="B5326" i="106"/>
  <c r="D5326" i="106" s="1"/>
  <c r="C7" i="4"/>
  <c r="B2554" i="106" s="1"/>
  <c r="D2554" i="106" s="1"/>
  <c r="D4" i="4"/>
  <c r="B5356" i="106"/>
  <c r="D5356" i="106" s="1"/>
  <c r="D268" i="5"/>
  <c r="D7" i="4"/>
  <c r="B2567" i="106" s="1"/>
  <c r="D2567" i="106" s="1"/>
  <c r="B5507" i="106"/>
  <c r="D5507" i="106" s="1"/>
  <c r="K151" i="29"/>
  <c r="B1281" i="106"/>
  <c r="D1281" i="106" s="1"/>
  <c r="D13" i="4"/>
  <c r="F77" i="34"/>
  <c r="B7834" i="106" s="1"/>
  <c r="D7834" i="106" s="1"/>
  <c r="B5552" i="106"/>
  <c r="D5552" i="106" s="1"/>
  <c r="K175" i="29"/>
  <c r="B1333" i="106" s="1"/>
  <c r="D1333" i="106" s="1"/>
  <c r="B2630" i="106"/>
  <c r="D2630" i="106" s="1"/>
  <c r="E8" i="4"/>
  <c r="F10" i="34"/>
  <c r="B1332" i="106"/>
  <c r="D1332" i="106" s="1"/>
  <c r="E17" i="4"/>
  <c r="B5720" i="106"/>
  <c r="D5720" i="106" s="1"/>
  <c r="K211" i="29"/>
  <c r="B1389" i="106" s="1"/>
  <c r="D1389" i="106" s="1"/>
  <c r="F11" i="34"/>
  <c r="B1388" i="106"/>
  <c r="D1388" i="106" s="1"/>
  <c r="B2596" i="106"/>
  <c r="D2596" i="106" s="1"/>
  <c r="F17" i="4"/>
  <c r="H8" i="4"/>
  <c r="B2655" i="106"/>
  <c r="D2655" i="106" s="1"/>
  <c r="B5915" i="106"/>
  <c r="D5915" i="106" s="1"/>
  <c r="K313" i="29"/>
  <c r="B1561" i="106" s="1"/>
  <c r="D1561" i="106" s="1"/>
  <c r="H19" i="4"/>
  <c r="B4141" i="106" s="1"/>
  <c r="D4141" i="106" s="1"/>
  <c r="B2661" i="106"/>
  <c r="D2661" i="106" s="1"/>
  <c r="B3225" i="106"/>
  <c r="D3225" i="106" s="1"/>
  <c r="I8" i="4"/>
  <c r="B6227" i="106"/>
  <c r="D6227" i="106" s="1"/>
  <c r="J19" i="4"/>
  <c r="B6229" i="106" s="1"/>
  <c r="D6229" i="106" s="1"/>
  <c r="B6223" i="106"/>
  <c r="D6223" i="106" s="1"/>
  <c r="B3569" i="106"/>
  <c r="D3569" i="106" s="1"/>
  <c r="K8" i="4"/>
  <c r="B6023" i="106"/>
  <c r="D6023" i="106" s="1"/>
  <c r="K368" i="29"/>
  <c r="B3681" i="106" s="1"/>
  <c r="D3681" i="106" s="1"/>
  <c r="B7624" i="106"/>
  <c r="D7624" i="106" s="1"/>
  <c r="I17" i="11"/>
  <c r="B3572" i="106"/>
  <c r="D3572" i="106" s="1"/>
  <c r="K17" i="4"/>
  <c r="J20" i="4" l="1"/>
  <c r="F10" i="4"/>
  <c r="B4125" i="106" s="1"/>
  <c r="D4125" i="106" s="1"/>
  <c r="G8" i="4"/>
  <c r="B1517" i="106"/>
  <c r="D1517" i="106" s="1"/>
  <c r="K296" i="29"/>
  <c r="B1518" i="106" s="1"/>
  <c r="D1518" i="106" s="1"/>
  <c r="B5870" i="106"/>
  <c r="D5870" i="106" s="1"/>
  <c r="D10" i="171"/>
  <c r="D19" i="171" s="1"/>
  <c r="D32" i="171" s="1"/>
  <c r="D49" i="171" s="1"/>
  <c r="G17" i="4"/>
  <c r="G20" i="4" s="1"/>
  <c r="B2595" i="106"/>
  <c r="D2595" i="106" s="1"/>
  <c r="F20" i="4"/>
  <c r="F78" i="4" s="1"/>
  <c r="C8" i="4"/>
  <c r="B8" i="146" s="1"/>
  <c r="C17" i="4"/>
  <c r="B2561" i="106" s="1"/>
  <c r="D2561" i="106" s="1"/>
  <c r="B1152" i="106"/>
  <c r="D1152" i="106" s="1"/>
  <c r="F8" i="34"/>
  <c r="K115" i="29"/>
  <c r="B1153" i="106" s="1"/>
  <c r="D1153" i="106" s="1"/>
  <c r="B2569" i="106"/>
  <c r="D2569" i="106" s="1"/>
  <c r="D17" i="4"/>
  <c r="B1288" i="106"/>
  <c r="D1288" i="106" s="1"/>
  <c r="F9" i="34"/>
  <c r="B5508" i="106"/>
  <c r="D5508" i="106" s="1"/>
  <c r="K152" i="29"/>
  <c r="B1289" i="106" s="1"/>
  <c r="D1289" i="106" s="1"/>
  <c r="B2564" i="106"/>
  <c r="D2564" i="106" s="1"/>
  <c r="D8" i="4"/>
  <c r="E19" i="4"/>
  <c r="B4138" i="106" s="1"/>
  <c r="D4138" i="106" s="1"/>
  <c r="B2635" i="106"/>
  <c r="D2635" i="106" s="1"/>
  <c r="E20" i="4"/>
  <c r="B2632" i="106"/>
  <c r="D2632" i="106" s="1"/>
  <c r="E10" i="4"/>
  <c r="B4124" i="106" s="1"/>
  <c r="D4124" i="106" s="1"/>
  <c r="D9" i="146"/>
  <c r="D10" i="146" s="1"/>
  <c r="B2600" i="106"/>
  <c r="D2600" i="106" s="1"/>
  <c r="F19" i="4"/>
  <c r="B4139" i="106" s="1"/>
  <c r="D4139" i="106" s="1"/>
  <c r="B2606" i="106"/>
  <c r="D2606" i="106" s="1"/>
  <c r="G10" i="4"/>
  <c r="B4126" i="106" s="1"/>
  <c r="D4126" i="106" s="1"/>
  <c r="B2658" i="106"/>
  <c r="D2658" i="106" s="1"/>
  <c r="H10" i="4"/>
  <c r="B4127" i="106" s="1"/>
  <c r="D4127" i="106" s="1"/>
  <c r="H20" i="4"/>
  <c r="B3226" i="106"/>
  <c r="D3226" i="106" s="1"/>
  <c r="I20" i="4"/>
  <c r="I10" i="4"/>
  <c r="B4128" i="106" s="1"/>
  <c r="D4128" i="106" s="1"/>
  <c r="E8" i="146"/>
  <c r="J78" i="4"/>
  <c r="B6230" i="106"/>
  <c r="D6230" i="106" s="1"/>
  <c r="B3575" i="106"/>
  <c r="D3575" i="106" s="1"/>
  <c r="K19" i="4"/>
  <c r="B4144" i="106" s="1"/>
  <c r="D4144" i="106" s="1"/>
  <c r="B7625" i="106"/>
  <c r="D7625" i="106" s="1"/>
  <c r="I18" i="11"/>
  <c r="K10" i="4"/>
  <c r="B4130" i="106" s="1"/>
  <c r="D4130" i="106" s="1"/>
  <c r="B3571" i="106"/>
  <c r="D3571" i="106" s="1"/>
  <c r="K20" i="4"/>
  <c r="C19" i="4" l="1"/>
  <c r="B4136" i="106" s="1"/>
  <c r="D4136" i="106" s="1"/>
  <c r="B2601" i="106"/>
  <c r="D2601" i="106" s="1"/>
  <c r="H17" i="118"/>
  <c r="H25" i="118" s="1"/>
  <c r="K24" i="118" s="1"/>
  <c r="O23" i="118" s="1"/>
  <c r="O25" i="118" s="1"/>
  <c r="B2555" i="106"/>
  <c r="D2555" i="106" s="1"/>
  <c r="C20" i="4"/>
  <c r="C78" i="4" s="1"/>
  <c r="C10" i="4"/>
  <c r="B4122" i="106" s="1"/>
  <c r="D4122" i="106" s="1"/>
  <c r="B2612" i="106"/>
  <c r="D2612" i="106" s="1"/>
  <c r="G19" i="4"/>
  <c r="B4140" i="106" s="1"/>
  <c r="D4140" i="106" s="1"/>
  <c r="B9" i="146"/>
  <c r="B10" i="146" s="1"/>
  <c r="F16" i="37"/>
  <c r="B2562" i="106"/>
  <c r="D2562" i="106" s="1"/>
  <c r="F14" i="34"/>
  <c r="F78" i="34" s="1"/>
  <c r="F80" i="34" s="1"/>
  <c r="B7837" i="106" s="1"/>
  <c r="D7837" i="106" s="1"/>
  <c r="C8" i="146"/>
  <c r="F8" i="146" s="1"/>
  <c r="D10" i="4"/>
  <c r="B4123" i="106" s="1"/>
  <c r="D4123" i="106" s="1"/>
  <c r="B2568" i="106"/>
  <c r="D2568" i="106" s="1"/>
  <c r="D20" i="4"/>
  <c r="H13" i="118"/>
  <c r="B2573" i="106"/>
  <c r="D2573" i="106" s="1"/>
  <c r="D19" i="4"/>
  <c r="B4137" i="106" s="1"/>
  <c r="D4137" i="106" s="1"/>
  <c r="C9" i="146"/>
  <c r="H18" i="118"/>
  <c r="K17" i="118" s="1"/>
  <c r="K20" i="118" s="1"/>
  <c r="D16" i="37"/>
  <c r="B2636" i="106"/>
  <c r="D2636" i="106" s="1"/>
  <c r="E78" i="4"/>
  <c r="B3256" i="106"/>
  <c r="D3256" i="106" s="1"/>
  <c r="G78" i="4"/>
  <c r="B2613" i="106"/>
  <c r="D2613" i="106" s="1"/>
  <c r="B2662" i="106"/>
  <c r="D2662" i="106" s="1"/>
  <c r="H78" i="4"/>
  <c r="B3227" i="106"/>
  <c r="D3227" i="106" s="1"/>
  <c r="I78" i="4"/>
  <c r="E10" i="146"/>
  <c r="B6263" i="106"/>
  <c r="D6263" i="106" s="1"/>
  <c r="J81" i="4"/>
  <c r="B7631" i="106"/>
  <c r="D7631" i="106" s="1"/>
  <c r="F177" i="34"/>
  <c r="B3576" i="106"/>
  <c r="D3576" i="106" s="1"/>
  <c r="K78" i="4"/>
  <c r="F9" i="146" l="1"/>
  <c r="H16" i="37"/>
  <c r="F176" i="34"/>
  <c r="B7878" i="106" s="1"/>
  <c r="D7878" i="106" s="1"/>
  <c r="B7835" i="106"/>
  <c r="D7835" i="106" s="1"/>
  <c r="B7822" i="106"/>
  <c r="F178" i="34"/>
  <c r="F180" i="34" s="1"/>
  <c r="B7880" i="106" s="1"/>
  <c r="D7880" i="106" s="1"/>
  <c r="F10" i="146"/>
  <c r="O16" i="118"/>
  <c r="B3233" i="106"/>
  <c r="D3233" i="106" s="1"/>
  <c r="J20" i="118"/>
  <c r="B2574" i="106"/>
  <c r="D2574" i="106" s="1"/>
  <c r="D78" i="4"/>
  <c r="C10" i="146"/>
  <c r="B3278" i="106"/>
  <c r="D3278" i="106" s="1"/>
  <c r="G81" i="4"/>
  <c r="B3262" i="106"/>
  <c r="D3262" i="106" s="1"/>
  <c r="B3300" i="106"/>
  <c r="D3300" i="106" s="1"/>
  <c r="H81" i="4"/>
  <c r="I81" i="4"/>
  <c r="B3320" i="106"/>
  <c r="D3320" i="106" s="1"/>
  <c r="J82" i="4"/>
  <c r="B6266" i="106"/>
  <c r="D6266" i="106" s="1"/>
  <c r="B3588" i="106"/>
  <c r="D3588" i="106" s="1"/>
  <c r="K81" i="4"/>
  <c r="B7879" i="106" l="1"/>
  <c r="D7879" i="106" s="1"/>
  <c r="O17" i="118"/>
  <c r="O20" i="118" s="1"/>
  <c r="B3239" i="106"/>
  <c r="D3239" i="106" s="1"/>
  <c r="G82" i="4"/>
  <c r="B1686" i="106"/>
  <c r="D1686" i="106" s="1"/>
  <c r="B1700" i="106"/>
  <c r="D1700" i="106" s="1"/>
  <c r="H82" i="4"/>
  <c r="I82" i="4"/>
  <c r="E11" i="146"/>
  <c r="B3323" i="106"/>
  <c r="D3323" i="106" s="1"/>
  <c r="J83" i="4"/>
  <c r="B6283" i="106" s="1"/>
  <c r="D6283" i="106" s="1"/>
  <c r="B6274" i="106"/>
  <c r="D6274" i="106" s="1"/>
  <c r="K82" i="4"/>
  <c r="B3591" i="106"/>
  <c r="D3591" i="106" s="1"/>
  <c r="B6271" i="106" l="1"/>
  <c r="D6271" i="106" s="1"/>
  <c r="G83" i="4"/>
  <c r="B6280" i="106" s="1"/>
  <c r="D6280" i="106" s="1"/>
  <c r="H83" i="4"/>
  <c r="B6281" i="106" s="1"/>
  <c r="D6281" i="106" s="1"/>
  <c r="B6272" i="106"/>
  <c r="D6272" i="106" s="1"/>
  <c r="I83" i="4"/>
  <c r="B6282" i="106" s="1"/>
  <c r="D6282" i="106" s="1"/>
  <c r="B6273" i="106"/>
  <c r="D6273" i="106" s="1"/>
  <c r="B6275" i="106"/>
  <c r="D6275" i="106" s="1"/>
  <c r="K83" i="4"/>
  <c r="B6284" i="106" s="1"/>
  <c r="D6284" i="106" s="1"/>
  <c r="B1659" i="106" l="1"/>
  <c r="D1659" i="106" s="1"/>
  <c r="F81" i="4"/>
  <c r="B1645" i="106"/>
  <c r="D1645" i="106" s="1"/>
  <c r="E81" i="4"/>
  <c r="B1631" i="106"/>
  <c r="D1631" i="106" s="1"/>
  <c r="D81" i="4"/>
  <c r="B1672" i="106" l="1"/>
  <c r="D1672" i="106" s="1"/>
  <c r="D11" i="146"/>
  <c r="F82" i="4"/>
  <c r="E82" i="4"/>
  <c r="B1658" i="106"/>
  <c r="D1658" i="106" s="1"/>
  <c r="D82" i="4"/>
  <c r="B1644" i="106"/>
  <c r="D1644" i="106" s="1"/>
  <c r="C11" i="146"/>
  <c r="B1617" i="106"/>
  <c r="D1617" i="106" s="1"/>
  <c r="C81" i="4"/>
  <c r="B6270" i="106" l="1"/>
  <c r="D6270" i="106" s="1"/>
  <c r="F83" i="4"/>
  <c r="B6279" i="106" s="1"/>
  <c r="D6279" i="106" s="1"/>
  <c r="E83" i="4"/>
  <c r="B6278" i="106" s="1"/>
  <c r="D6278" i="106" s="1"/>
  <c r="B6269" i="106"/>
  <c r="D6269" i="106" s="1"/>
  <c r="B6268" i="106"/>
  <c r="D6268" i="106" s="1"/>
  <c r="D83" i="4"/>
  <c r="B6277" i="106" s="1"/>
  <c r="D6277" i="106" s="1"/>
  <c r="B11" i="146"/>
  <c r="F11" i="146" s="1"/>
  <c r="C82" i="4"/>
  <c r="B1630" i="106"/>
  <c r="D1630" i="106" s="1"/>
  <c r="J16" i="37"/>
  <c r="B4269" i="106" s="1"/>
  <c r="D4269" i="106" s="1"/>
  <c r="H12" i="118"/>
  <c r="K12" i="118" s="1"/>
  <c r="O11" i="118" s="1"/>
  <c r="O13" i="118" s="1"/>
  <c r="O35" i="118" s="1"/>
  <c r="O37" i="118" s="1"/>
  <c r="B6267" i="106" l="1"/>
  <c r="D6267" i="106" s="1"/>
  <c r="C83" i="4"/>
  <c r="B6276" i="106" s="1"/>
  <c r="D6276" i="106" s="1"/>
  <c r="C12" i="146"/>
  <c r="D29" i="36"/>
  <c r="J24" i="24" s="1"/>
  <c r="M41" i="3" l="1"/>
  <c r="B280" i="106"/>
  <c r="D280" i="106" s="1"/>
  <c r="B281" i="106" l="1"/>
  <c r="D281" i="106" s="1"/>
  <c r="D54" i="36"/>
  <c r="B140" i="106" l="1"/>
  <c r="D140" i="106" s="1"/>
  <c r="D59" i="36"/>
  <c r="E41" i="3"/>
  <c r="B2912" i="106"/>
  <c r="D2912" i="106" s="1"/>
  <c r="I41" i="3"/>
  <c r="D63" i="36"/>
  <c r="B6215" i="106" l="1"/>
  <c r="D6215" i="106" s="1"/>
  <c r="J41" i="3"/>
  <c r="D64" i="36"/>
  <c r="B2913" i="106"/>
  <c r="D2913" i="106" s="1"/>
  <c r="D50" i="36"/>
  <c r="B141" i="106"/>
  <c r="D141" i="106" s="1"/>
  <c r="D46" i="36"/>
  <c r="G41" i="3" l="1"/>
  <c r="B189" i="106"/>
  <c r="D189" i="106" s="1"/>
  <c r="D61" i="36"/>
  <c r="N23" i="3"/>
  <c r="B282" i="106"/>
  <c r="D282" i="106" s="1"/>
  <c r="D41" i="3"/>
  <c r="B123" i="106"/>
  <c r="D123" i="106" s="1"/>
  <c r="D58" i="36"/>
  <c r="H41" i="3"/>
  <c r="B212" i="106"/>
  <c r="D212" i="106" s="1"/>
  <c r="D62" i="36"/>
  <c r="B6216" i="106"/>
  <c r="D6216" i="106" s="1"/>
  <c r="D51" i="36"/>
  <c r="B3567" i="106"/>
  <c r="D3567" i="106" s="1"/>
  <c r="K41" i="3"/>
  <c r="D65" i="36"/>
  <c r="B284" i="106" l="1"/>
  <c r="D284" i="106" s="1"/>
  <c r="D55" i="36"/>
  <c r="B213" i="106"/>
  <c r="D213" i="106" s="1"/>
  <c r="D49" i="36"/>
  <c r="D57" i="36"/>
  <c r="B92" i="106"/>
  <c r="D92" i="106" s="1"/>
  <c r="C41" i="3"/>
  <c r="D76" i="36"/>
  <c r="B124" i="106"/>
  <c r="D124" i="106" s="1"/>
  <c r="D45" i="36"/>
  <c r="B3568" i="106"/>
  <c r="D3568" i="106" s="1"/>
  <c r="D52" i="36"/>
  <c r="D60" i="36"/>
  <c r="F41" i="3"/>
  <c r="B170" i="106"/>
  <c r="D170" i="106" s="1"/>
  <c r="D48" i="36"/>
  <c r="B190" i="106"/>
  <c r="D190" i="106" s="1"/>
  <c r="B93" i="106" l="1"/>
  <c r="D93" i="106" s="1"/>
  <c r="D44" i="36"/>
  <c r="B171" i="106"/>
  <c r="D171" i="106" s="1"/>
  <c r="D47"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<sst xmlns="http://schemas.openxmlformats.org/spreadsheetml/2006/main" count="5524" uniqueCount="2288">
  <si>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</si>
  <si>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</si>
  <si>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</si>
  <si>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</si>
  <si>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</si>
  <si>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</si>
  <si>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</si>
  <si>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</si>
  <si>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</si>
  <si>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</si>
  <si>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</si>
  <si>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</si>
  <si>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</si>
  <si>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</si>
  <si>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</si>
  <si>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</si>
  <si>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</si>
  <si>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</si>
  <si>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</si>
  <si>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</si>
  <si>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</si>
  <si>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</si>
  <si>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</si>
  <si>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</si>
  <si>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</si>
  <si>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</si>
  <si>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</si>
  <si>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</si>
  <si>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</si>
  <si>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</si>
  <si>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</si>
  <si>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</si>
  <si>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</si>
  <si>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</si>
  <si>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</si>
  <si>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</si>
  <si>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</si>
  <si>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</si>
  <si>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</si>
  <si>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</si>
  <si>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</si>
  <si>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</si>
  <si>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</si>
  <si>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</si>
  <si>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</si>
  <si>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</si>
  <si>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</si>
  <si>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</si>
  <si>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</si>
  <si>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</si>
  <si>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</si>
  <si>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</si>
  <si>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</si>
  <si>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</si>
  <si>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</si>
  <si>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</si>
  <si>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</si>
  <si>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</si>
  <si>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</si>
  <si>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</si>
  <si>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</si>
  <si>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</si>
  <si>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</si>
  <si>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</si>
  <si>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</si>
  <si>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</si>
  <si>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</si>
  <si>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</si>
  <si>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</si>
  <si>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</si>
  <si>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</si>
  <si>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</si>
  <si>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</si>
  <si>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</si>
  <si>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</si>
  <si>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</si>
  <si>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</si>
  <si>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</si>
  <si>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</si>
  <si>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</si>
  <si>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</si>
  <si>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</si>
  <si>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</si>
  <si>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</si>
  <si>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</si>
  <si>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</si>
  <si>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</si>
  <si>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</si>
  <si>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</si>
  <si>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</si>
  <si>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</si>
  <si>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</si>
  <si>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</si>
  <si>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</si>
  <si>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</si>
  <si>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</si>
  <si>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</si>
  <si>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</si>
  <si>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</si>
  <si>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</si>
  <si>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</si>
  <si>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</si>
  <si>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</si>
  <si>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</si>
  <si>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</si>
  <si>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</si>
  <si>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</si>
  <si>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</si>
  <si>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</si>
  <si>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</si>
  <si>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</si>
  <si>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</si>
  <si>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</si>
  <si>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</si>
  <si>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</si>
  <si>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</si>
  <si>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</si>
  <si>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</si>
  <si>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</si>
  <si>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</si>
  <si>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</si>
  <si>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</si>
  <si>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</si>
  <si>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</si>
  <si>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</si>
  <si>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</si>
  <si>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</si>
  <si>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</si>
  <si>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</si>
  <si>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</si>
  <si>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</si>
  <si>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</si>
  <si>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</si>
  <si>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</si>
  <si>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</si>
  <si>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</si>
  <si>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</si>
  <si>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</si>
  <si>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</si>
  <si>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</si>
  <si>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</si>
  <si>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</si>
  <si>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</si>
  <si>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</si>
  <si>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</si>
  <si>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</si>
  <si>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</si>
  <si>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</si>
  <si>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</si>
  <si>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</si>
  <si>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</si>
  <si>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</si>
  <si>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</si>
  <si>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</si>
  <si>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</si>
  <si>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</si>
  <si>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</si>
  <si>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</si>
  <si>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</si>
  <si>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</si>
  <si>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</si>
  <si>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</si>
  <si>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</si>
  <si>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</si>
  <si>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</si>
  <si>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</si>
  <si>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</si>
  <si>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</si>
  <si>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</si>
  <si>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</si>
  <si>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</si>
  <si>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</si>
  <si>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</si>
  <si>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</si>
  <si>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</si>
  <si>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</si>
  <si>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</si>
  <si>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</si>
  <si>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</si>
  <si>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</si>
  <si>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</si>
  <si>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</si>
  <si>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</si>
  <si>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</si>
  <si>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</si>
  <si>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</si>
  <si>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</si>
  <si>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</si>
  <si>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</si>
  <si>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</si>
  <si>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</si>
  <si>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</si>
  <si>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</si>
  <si>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</si>
  <si>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</si>
  <si>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</si>
  <si>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</si>
  <si>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</si>
  <si>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</si>
  <si>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</si>
  <si>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</si>
  <si>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</si>
  <si>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</si>
  <si>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</si>
  <si>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</si>
  <si>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</si>
  <si>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</si>
  <si>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</si>
  <si>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</si>
  <si>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</si>
  <si>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</si>
  <si>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</si>
  <si>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</si>
  <si>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</si>
  <si>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</si>
  <si>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</si>
  <si>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</si>
  <si>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</si>
  <si>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</si>
  <si>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</si>
  <si>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</si>
  <si>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</si>
  <si>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</si>
  <si>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</si>
  <si>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</si>
  <si>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</si>
  <si>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</si>
  <si>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</si>
  <si>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</si>
  <si>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</si>
  <si>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</si>
  <si>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</si>
  <si>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</si>
  <si>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</si>
  <si>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</si>
  <si>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</si>
  <si>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</si>
  <si>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</si>
  <si>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</si>
  <si>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</si>
  <si>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</si>
  <si>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</si>
  <si>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</si>
  <si>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</si>
  <si>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</si>
  <si>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</si>
  <si>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</si>
  <si>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</si>
  <si>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</si>
  <si>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</si>
  <si>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</si>
  <si>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</si>
  <si>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</si>
  <si>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</si>
  <si>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</si>
  <si>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</si>
  <si>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</si>
  <si>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</si>
  <si>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</si>
  <si>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</si>
  <si>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</si>
  <si>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</si>
  <si>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</si>
  <si>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</si>
  <si>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</si>
  <si>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</si>
  <si>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</si>
  <si>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</si>
  <si>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</si>
  <si>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</si>
  <si>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</si>
  <si>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</si>
  <si>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</si>
  <si>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</si>
  <si>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</si>
  <si>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</si>
  <si>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</si>
  <si>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</si>
  <si>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</si>
  <si>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</si>
  <si>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</si>
  <si>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</si>
  <si>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</si>
  <si>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</si>
  <si>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</si>
  <si>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</si>
  <si>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</si>
  <si>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</si>
  <si>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</si>
  <si>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</si>
  <si>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</si>
  <si>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</si>
  <si>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</si>
  <si>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</si>
  <si>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</si>
  <si>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</si>
  <si>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</si>
  <si>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</si>
  <si>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</si>
  <si>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</si>
  <si>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</si>
  <si>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</si>
  <si>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</si>
  <si>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</si>
  <si>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</si>
  <si>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</si>
  <si>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</si>
  <si>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</si>
  <si>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</si>
  <si>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</si>
  <si>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</si>
  <si>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</si>
  <si>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</si>
  <si>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</si>
  <si>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</si>
  <si>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</si>
  <si>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</si>
  <si>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</si>
  <si>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</si>
  <si>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</si>
  <si>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</si>
  <si>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</si>
  <si>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</si>
  <si>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</si>
  <si>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</si>
  <si>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</si>
  <si>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</si>
  <si>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</si>
  <si>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</si>
  <si>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</si>
  <si>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</si>
  <si>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</si>
  <si>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</si>
  <si>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</si>
  <si>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</si>
  <si>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</si>
  <si>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</si>
  <si>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</si>
  <si>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</si>
  <si>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</si>
  <si>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</si>
  <si>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</si>
  <si>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</si>
  <si>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</si>
  <si>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</si>
  <si>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</si>
  <si>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</si>
  <si>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</si>
  <si>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</si>
  <si>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</si>
  <si>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</si>
  <si>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</si>
  <si>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</si>
  <si>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</si>
  <si>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</si>
  <si>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</si>
  <si>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</si>
  <si>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</si>
  <si>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</si>
  <si>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</si>
  <si>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</si>
  <si>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</si>
  <si>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</si>
  <si>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</si>
  <si>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</si>
  <si>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</si>
  <si>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</si>
  <si>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</si>
  <si>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</si>
  <si>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</si>
  <si>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</si>
  <si>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</si>
  <si>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</si>
  <si>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</si>
  <si>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</si>
  <si>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</si>
  <si>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</si>
  <si>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</si>
  <si>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</si>
  <si>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</si>
  <si>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</si>
  <si>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</si>
  <si>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</si>
  <si>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</si>
  <si>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</si>
  <si>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</si>
  <si>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</si>
  <si>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</si>
  <si>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</si>
  <si>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</si>
  <si>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</si>
  <si>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</si>
  <si>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</si>
  <si>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</si>
  <si>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</si>
  <si>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</si>
  <si>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</si>
  <si>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</si>
  <si>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</si>
  <si>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</si>
  <si>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</si>
  <si>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</si>
  <si>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</si>
  <si>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</si>
  <si>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</si>
  <si>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</si>
  <si>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</si>
  <si>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</si>
  <si>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</si>
  <si>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</si>
  <si>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</si>
  <si>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</si>
  <si>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</si>
  <si>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</si>
  <si>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</si>
  <si>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</si>
  <si>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</si>
  <si>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</si>
  <si>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</si>
  <si>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</si>
  <si>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</si>
  <si>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</si>
  <si>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</si>
  <si>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</si>
  <si>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</si>
  <si>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</si>
  <si>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</si>
  <si>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</si>
  <si>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</si>
  <si>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</si>
  <si>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</si>
  <si>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</si>
  <si>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</si>
  <si>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</si>
  <si>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</si>
  <si>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</si>
  <si>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</si>
  <si>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</si>
  <si>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</si>
  <si>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</si>
  <si>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</si>
  <si>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</si>
  <si>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</si>
  <si>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</si>
  <si>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</si>
  <si>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</si>
  <si>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</si>
  <si>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</si>
  <si>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</si>
  <si>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</si>
  <si>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</si>
  <si>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</si>
  <si>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</si>
  <si>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</si>
  <si>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</si>
  <si>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</si>
  <si>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</si>
  <si>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</si>
  <si>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</si>
  <si>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</si>
  <si>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</si>
  <si>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</si>
  <si>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</si>
  <si>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</si>
  <si>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</si>
  <si>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</si>
  <si>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</si>
  <si>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</si>
  <si>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</si>
  <si>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</si>
  <si>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</si>
  <si>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</si>
  <si>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</si>
  <si>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</si>
  <si>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</si>
  <si>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</si>
  <si>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</si>
  <si>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</si>
  <si>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</si>
  <si>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</si>
  <si>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</si>
  <si>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</si>
  <si>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</si>
  <si>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</si>
  <si>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</si>
  <si>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</si>
  <si>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</si>
  <si>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</si>
  <si>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</si>
  <si>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</si>
  <si>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</si>
  <si>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</si>
  <si>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</si>
  <si>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</si>
  <si>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</si>
  <si>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</si>
  <si>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</si>
  <si>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</si>
  <si>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</si>
  <si>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</si>
  <si>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</si>
  <si>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</si>
  <si>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</si>
  <si>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</si>
  <si>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</si>
  <si>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</si>
  <si>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</si>
  <si>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</si>
  <si>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</si>
  <si>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</si>
  <si>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</si>
  <si>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</si>
  <si>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</si>
  <si>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</si>
  <si>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</si>
  <si>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</si>
  <si>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</si>
  <si>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</si>
  <si>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</si>
  <si>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</si>
  <si>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</si>
  <si>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</si>
  <si>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</si>
  <si>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</si>
  <si>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</si>
  <si>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</si>
  <si>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</si>
  <si>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</si>
  <si>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</si>
  <si>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</si>
  <si>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</si>
  <si>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</si>
  <si>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</si>
  <si>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</si>
  <si>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</si>
  <si>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</si>
  <si>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</si>
  <si>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</si>
  <si>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</si>
  <si>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</si>
  <si>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</si>
  <si>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</si>
  <si>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</si>
  <si>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</si>
  <si>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</si>
  <si>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</si>
  <si>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</si>
  <si>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</si>
  <si>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</si>
  <si>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</si>
  <si>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</si>
  <si>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</si>
  <si>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</si>
  <si>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</si>
  <si>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</si>
  <si>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</si>
  <si>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</si>
  <si>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</si>
  <si>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</si>
  <si>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</si>
  <si>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</si>
  <si>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</si>
  <si>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</si>
  <si>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</si>
  <si>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</si>
  <si>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</si>
  <si>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</si>
  <si>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</si>
  <si>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</si>
  <si>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</si>
  <si>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</si>
  <si>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</si>
  <si>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</si>
  <si>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</si>
  <si>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</si>
  <si>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</si>
  <si>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</si>
  <si>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</si>
  <si>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</si>
  <si>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</si>
  <si>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</si>
  <si>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</si>
  <si>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</si>
  <si>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</si>
  <si>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</si>
  <si>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</si>
  <si>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</si>
  <si>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</si>
  <si>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</si>
  <si>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</si>
  <si>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</si>
  <si>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</si>
  <si>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</si>
  <si>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</si>
  <si>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</si>
  <si>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</si>
  <si>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</si>
  <si>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</si>
  <si>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</si>
  <si>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</si>
  <si>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</si>
  <si>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</si>
  <si>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</si>
  <si>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</si>
  <si>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</si>
  <si>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</si>
  <si>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</si>
  <si>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</si>
  <si>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</si>
  <si>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</si>
  <si>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</si>
  <si>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</si>
  <si>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</si>
  <si>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</si>
  <si>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</si>
  <si>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</si>
  <si>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</si>
  <si>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</si>
  <si>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</si>
  <si>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</si>
  <si>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</si>
  <si>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</si>
  <si>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</si>
  <si>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</si>
  <si>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</si>
  <si>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</si>
  <si>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</si>
  <si>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</si>
  <si>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</si>
  <si>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</si>
  <si>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</si>
  <si>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</si>
  <si>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</si>
  <si>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</si>
  <si>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</si>
  <si>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</si>
  <si>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</si>
  <si>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</si>
  <si>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</si>
  <si>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</si>
  <si>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</si>
  <si>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</si>
  <si>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</si>
  <si>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</si>
  <si>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</si>
  <si>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</si>
  <si>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</si>
  <si>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</si>
  <si>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</si>
  <si>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</si>
  <si>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</si>
  <si>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</si>
  <si>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</si>
  <si>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</si>
  <si>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</si>
  <si>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</si>
  <si>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</si>
  <si>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</si>
  <si>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</si>
  <si>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</si>
  <si>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</si>
  <si>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</si>
  <si>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</si>
  <si>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</si>
  <si>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</si>
  <si>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</si>
  <si>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</si>
  <si>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</si>
  <si>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</si>
  <si>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</si>
  <si>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</si>
  <si>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</si>
  <si>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</si>
  <si>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</si>
  <si>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</si>
  <si>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</si>
  <si>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</si>
  <si>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</si>
  <si>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</si>
  <si>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</si>
  <si>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</si>
  <si>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</si>
  <si>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</si>
  <si>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</si>
  <si>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</si>
  <si>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</si>
  <si>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</si>
  <si>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</si>
  <si>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</si>
  <si>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</si>
  <si>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</si>
  <si>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</si>
  <si>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</si>
  <si>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</si>
  <si>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</si>
  <si>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</si>
  <si>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</si>
  <si>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</si>
  <si>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</si>
  <si>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</si>
  <si>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</si>
  <si>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</si>
  <si>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</si>
  <si>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</si>
  <si>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</si>
  <si>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</si>
  <si>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</si>
  <si>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</si>
  <si>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</si>
  <si>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</si>
  <si>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</si>
  <si>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</si>
  <si>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</si>
  <si>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</si>
  <si>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</si>
  <si>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</si>
  <si>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</si>
  <si>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</si>
  <si>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</si>
  <si>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</si>
  <si>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</si>
  <si>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</si>
  <si>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</si>
  <si>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</si>
  <si>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</si>
  <si>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</si>
  <si>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</si>
  <si>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</si>
  <si>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</si>
  <si>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</si>
  <si>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</si>
  <si>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</si>
  <si>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</si>
  <si>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</si>
  <si>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</si>
  <si>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</si>
  <si>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</si>
  <si>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</si>
  <si>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</si>
  <si>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</si>
  <si>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</si>
  <si>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</si>
  <si>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</si>
  <si>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</si>
  <si>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</si>
  <si>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</si>
  <si>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</si>
  <si>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</si>
  <si>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</si>
  <si>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</si>
  <si>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</si>
  <si>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</si>
  <si>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</si>
  <si>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</si>
  <si>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</si>
  <si>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</si>
  <si>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</si>
  <si>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</si>
  <si>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</si>
  <si>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</si>
  <si>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</si>
  <si>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</si>
  <si>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</si>
  <si>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</si>
  <si>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</si>
  <si>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</si>
  <si>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</si>
  <si>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</si>
  <si>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</si>
  <si>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</si>
  <si>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</si>
  <si>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</si>
  <si>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</si>
  <si>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</si>
  <si>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</si>
  <si>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</si>
  <si>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</si>
  <si>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</si>
  <si>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</si>
  <si>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</si>
  <si>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</si>
  <si>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</si>
  <si>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</si>
  <si>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</si>
  <si>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</si>
  <si>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</si>
  <si>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</si>
  <si>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</si>
  <si>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</si>
  <si>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</si>
  <si>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</si>
  <si>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</si>
  <si>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</si>
  <si>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</si>
  <si>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</si>
  <si>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</si>
  <si>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</si>
  <si>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</si>
  <si>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</si>
  <si>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</si>
  <si>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</si>
  <si>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</si>
  <si>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</si>
  <si>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</si>
  <si>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</si>
  <si>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</si>
  <si>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</si>
  <si>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</si>
  <si>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</si>
  <si>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</si>
  <si>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</si>
  <si>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</si>
  <si>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</si>
  <si>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</si>
  <si>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</si>
  <si>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</si>
  <si>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</si>
  <si>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</si>
  <si>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</si>
  <si>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</si>
  <si>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</si>
  <si>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</si>
  <si>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</si>
  <si>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</si>
  <si>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</si>
  <si>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</si>
  <si>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</si>
  <si>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</si>
  <si>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</si>
  <si>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</si>
  <si>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</si>
  <si>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</si>
  <si>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</si>
  <si>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</si>
  <si>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</si>
  <si>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</si>
  <si>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</si>
  <si>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</si>
  <si>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</si>
  <si>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</si>
  <si>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</si>
  <si>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</si>
  <si>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</si>
  <si>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</si>
  <si>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</si>
  <si>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</si>
  <si>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</si>
  <si>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</si>
  <si>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</si>
  <si>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</si>
  <si>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</si>
  <si>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</si>
  <si>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</si>
  <si>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</si>
  <si>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</si>
  <si>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</si>
  <si>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</si>
  <si>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</si>
  <si>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</si>
  <si>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</si>
  <si>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</si>
  <si>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</si>
  <si>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</si>
  <si>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</si>
  <si>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</si>
  <si>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</si>
  <si>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</si>
  <si>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</si>
  <si>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</si>
  <si>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</si>
  <si>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</si>
  <si>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</si>
  <si>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</si>
  <si>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</si>
  <si>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</si>
  <si>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</si>
  <si>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</si>
  <si>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</si>
  <si>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</si>
  <si>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</si>
  <si>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</si>
  <si>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</si>
  <si>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</si>
  <si>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</si>
  <si>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</si>
  <si>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</si>
  <si>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</si>
  <si>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</si>
  <si>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</si>
  <si>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</si>
  <si>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</si>
  <si>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</si>
  <si>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</si>
  <si>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</si>
  <si>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</si>
  <si>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</si>
  <si>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</si>
  <si>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</si>
  <si>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</si>
  <si>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</si>
  <si>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</si>
  <si>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</si>
  <si>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</si>
  <si>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</si>
  <si>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</si>
  <si>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</si>
  <si>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</si>
  <si>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</si>
  <si>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</si>
  <si>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</si>
  <si>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</si>
  <si>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</si>
  <si>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</si>
  <si>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</si>
  <si>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</si>
  <si>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</si>
  <si>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</si>
  <si>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</si>
  <si>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</si>
  <si>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</si>
  <si>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</si>
  <si>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</si>
  <si>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</si>
  <si>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</si>
  <si>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</si>
  <si>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</si>
  <si>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</si>
  <si>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</si>
  <si>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</si>
  <si>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</si>
  <si>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</si>
  <si>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</si>
  <si>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</si>
  <si>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</si>
  <si>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</si>
  <si>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</si>
  <si>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</si>
  <si>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</si>
  <si>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</si>
  <si>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</si>
  <si>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</si>
  <si>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</si>
  <si>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</si>
  <si>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</si>
  <si>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</si>
  <si>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</si>
  <si>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</si>
  <si>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</si>
  <si>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</si>
  <si>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</si>
  <si>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</si>
  <si>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</si>
  <si>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</si>
  <si>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</si>
  <si>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</si>
  <si>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</si>
  <si>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</si>
  <si>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</si>
  <si>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</si>
  <si>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</si>
  <si>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</si>
  <si>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</si>
  <si>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</si>
  <si>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</si>
  <si>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</si>
  <si>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</si>
  <si>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</si>
  <si>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</si>
  <si>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</si>
  <si>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</si>
  <si>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</si>
  <si>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</si>
  <si>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</si>
  <si>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</si>
  <si>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</si>
  <si>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</si>
  <si>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</si>
  <si>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</si>
  <si>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</si>
  <si>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</si>
  <si>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</si>
  <si>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</si>
  <si>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</si>
  <si>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</si>
  <si>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</si>
  <si>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</si>
  <si>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</si>
  <si>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</si>
  <si>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</si>
  <si>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</si>
  <si>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</si>
  <si>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</si>
  <si>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</si>
  <si>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</si>
  <si>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</si>
  <si>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</si>
  <si>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</si>
  <si>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</si>
  <si>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</si>
  <si>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</si>
  <si>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</si>
  <si>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</si>
  <si>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</si>
  <si>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</si>
  <si>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</si>
  <si>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</si>
  <si>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</si>
  <si>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</si>
  <si>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</si>
  <si>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</si>
  <si>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</si>
  <si>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</si>
  <si>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</si>
  <si>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</si>
  <si>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</si>
  <si>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</si>
  <si>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</si>
  <si>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</si>
  <si>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</si>
  <si>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</si>
  <si>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</si>
  <si>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</si>
  <si>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</si>
  <si>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</si>
  <si>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</si>
  <si>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</si>
  <si>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</si>
  <si>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</si>
  <si>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</si>
  <si>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</si>
  <si>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</si>
  <si>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</si>
  <si>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</si>
  <si>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</si>
  <si>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</si>
  <si>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</si>
  <si>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</si>
  <si>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</si>
  <si>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</si>
  <si>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</si>
  <si>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</si>
  <si>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</si>
  <si>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</si>
  <si>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</si>
  <si>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</si>
  <si>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</si>
  <si>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</si>
  <si>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</si>
  <si>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</si>
  <si>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</si>
  <si>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</si>
  <si>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</si>
  <si>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</si>
  <si>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</si>
  <si>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</si>
  <si>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</si>
  <si>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</si>
  <si>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</si>
  <si>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</si>
  <si>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</si>
  <si>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</si>
  <si>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</si>
  <si>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</si>
  <si>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</si>
  <si>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</si>
  <si>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</si>
  <si>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</si>
  <si>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</si>
  <si>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</si>
  <si>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</si>
  <si>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</si>
  <si>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</si>
  <si>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</si>
  <si>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</si>
  <si>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</si>
  <si>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</si>
  <si>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</si>
  <si>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</si>
  <si>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</si>
  <si>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</si>
  <si>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</si>
  <si>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</si>
  <si>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</si>
  <si>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</si>
  <si>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</si>
  <si>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</si>
  <si>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</si>
  <si>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</si>
  <si>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</si>
  <si>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</si>
  <si>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</si>
  <si>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</si>
  <si>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</si>
  <si>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</si>
  <si>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</si>
  <si>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</si>
  <si>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</si>
  <si>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</si>
  <si>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</si>
  <si>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</si>
  <si>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</si>
  <si>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</si>
  <si>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</si>
  <si>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</si>
  <si>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</si>
  <si>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</si>
  <si>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</si>
  <si>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</si>
  <si>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</si>
  <si>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</si>
  <si>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</si>
  <si>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</si>
  <si>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</si>
  <si>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</si>
  <si>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</si>
  <si>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</si>
  <si>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</si>
  <si>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</si>
  <si>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</si>
  <si>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</si>
  <si>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</si>
  <si>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</si>
  <si>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</si>
  <si>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</si>
  <si>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</si>
  <si>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</si>
  <si>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</si>
  <si>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</si>
  <si>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</si>
  <si>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</si>
  <si>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</si>
  <si>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</si>
  <si>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</si>
  <si>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</si>
  <si>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</si>
  <si>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</si>
  <si>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</si>
  <si>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</si>
  <si>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</si>
  <si>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</si>
  <si>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</si>
  <si>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</si>
  <si>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</si>
  <si>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</si>
  <si>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</si>
  <si>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</si>
  <si>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</si>
  <si>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</si>
  <si>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</si>
  <si>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</si>
  <si>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</si>
  <si>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</si>
  <si>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</si>
  <si>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</si>
  <si>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</si>
  <si>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</si>
  <si>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</si>
  <si>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</si>
  <si>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</si>
  <si>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</si>
  <si>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</si>
  <si>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</si>
  <si>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</si>
  <si>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</si>
  <si>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</si>
  <si>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</si>
  <si>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</si>
  <si>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</si>
  <si>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</si>
  <si>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</si>
  <si>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</si>
  <si>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</si>
  <si>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</si>
  <si>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</si>
  <si>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</si>
  <si>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</si>
  <si>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</si>
  <si>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</si>
  <si>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</si>
  <si>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</si>
  <si>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</si>
  <si>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</si>
  <si>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</si>
  <si>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</si>
  <si>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</si>
  <si>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</si>
  <si>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</si>
  <si>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</si>
  <si>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</si>
  <si>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</si>
  <si>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</si>
  <si>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</si>
  <si>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</si>
  <si>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</si>
  <si>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</si>
  <si>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</si>
  <si>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</si>
  <si>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</si>
  <si>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</si>
  <si>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</si>
  <si>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</si>
  <si>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</si>
  <si>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</si>
  <si>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</si>
  <si>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</si>
  <si>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</si>
  <si>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</si>
  <si>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</si>
  <si>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</si>
  <si>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</si>
  <si>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</si>
  <si>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</si>
  <si>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</si>
  <si>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</si>
  <si>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</si>
  <si>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</si>
  <si>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</si>
  <si>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</si>
  <si>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</si>
  <si>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</si>
  <si>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</si>
  <si>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</si>
  <si>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</si>
  <si>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</si>
  <si>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</si>
  <si>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</si>
  <si>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</si>
  <si>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</si>
  <si>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</si>
  <si>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</si>
  <si>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</si>
  <si>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</si>
  <si>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</si>
  <si>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</si>
  <si>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</si>
  <si>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</si>
  <si>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</si>
  <si>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</si>
  <si>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</si>
  <si>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</si>
  <si>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</si>
  <si>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</si>
  <si>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</si>
  <si>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</si>
  <si>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</si>
  <si>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</si>
  <si>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</si>
  <si>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</si>
  <si>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</si>
  <si>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</si>
  <si>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</si>
  <si>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</si>
  <si>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</si>
  <si>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</si>
  <si>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</si>
  <si>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</si>
  <si>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</si>
  <si>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</si>
  <si>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</si>
  <si>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</si>
  <si>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</si>
  <si>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</si>
  <si>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</si>
  <si>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</si>
  <si>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</si>
  <si>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</si>
  <si>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</si>
  <si>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</si>
  <si>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</si>
  <si>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</si>
  <si>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</si>
  <si>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</si>
  <si>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</si>
  <si>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</si>
  <si>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</si>
  <si>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</si>
  <si>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</si>
  <si>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</si>
  <si>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</si>
  <si>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</si>
  <si>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</si>
  <si>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</si>
  <si>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</si>
  <si>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</si>
  <si>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</si>
  <si>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</si>
  <si>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</si>
  <si>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</si>
  <si>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</si>
  <si>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</si>
  <si>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</si>
  <si>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</si>
  <si>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</si>
  <si>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</si>
  <si>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</si>
  <si>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</si>
  <si>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</si>
  <si>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</si>
  <si>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</si>
  <si>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</si>
  <si>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</si>
  <si>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</si>
  <si>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</si>
  <si>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</si>
  <si>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</si>
  <si>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</si>
  <si>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</si>
  <si>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</si>
  <si>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</si>
  <si>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</si>
  <si>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</si>
  <si>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</si>
  <si>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</si>
  <si>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</si>
  <si>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</si>
  <si>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</si>
  <si>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</si>
  <si>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</si>
  <si>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</si>
  <si>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</si>
  <si>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</si>
  <si>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</si>
  <si>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</si>
  <si>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</si>
  <si>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</si>
  <si>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</si>
  <si>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</si>
  <si>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</si>
  <si>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</si>
  <si>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</si>
  <si>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</si>
  <si>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</si>
  <si>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</si>
  <si>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</si>
  <si>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</si>
  <si>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</si>
  <si>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</si>
  <si>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</si>
  <si>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</si>
  <si>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</si>
  <si>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</si>
  <si>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</si>
  <si>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</si>
  <si>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</si>
  <si>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</si>
  <si>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</si>
  <si>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</si>
  <si>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</si>
  <si>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</si>
  <si>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</si>
  <si>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</si>
  <si>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</si>
  <si>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</si>
  <si>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</si>
  <si>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</si>
  <si>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</si>
  <si>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</si>
  <si>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</si>
  <si>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</si>
  <si>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</si>
  <si>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</si>
  <si>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</si>
  <si>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</si>
  <si>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</si>
  <si>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</si>
  <si>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</si>
  <si>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</si>
  <si>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</si>
  <si>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</si>
  <si>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</si>
  <si>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</si>
  <si>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</si>
  <si>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</si>
  <si>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</si>
  <si>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</si>
  <si>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</si>
  <si>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</si>
  <si>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</si>
  <si>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</si>
  <si>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</si>
  <si>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</si>
  <si>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</si>
  <si>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</si>
  <si>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</si>
  <si>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</si>
  <si>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</si>
  <si>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</si>
  <si>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</si>
  <si>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</si>
  <si>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</si>
  <si>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</si>
  <si>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</si>
  <si>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</si>
  <si>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</si>
  <si>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</si>
  <si>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</si>
  <si>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</si>
  <si>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</si>
  <si>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</si>
  <si>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</si>
  <si>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</si>
  <si>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</si>
  <si>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</si>
  <si>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</si>
  <si>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</si>
  <si>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</si>
  <si>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</si>
  <si>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</si>
  <si>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</si>
  <si>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</si>
  <si>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</si>
  <si>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</si>
  <si>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</si>
  <si>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</si>
  <si>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</si>
  <si>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</si>
  <si>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</si>
  <si>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</si>
  <si>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</si>
  <si>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</si>
  <si>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</si>
  <si>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</si>
  <si>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</si>
  <si>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</si>
  <si>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</si>
  <si>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</si>
  <si>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</si>
  <si>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</si>
  <si>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</si>
  <si>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</si>
  <si>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</si>
  <si>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</si>
  <si>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</si>
  <si>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</si>
  <si>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</si>
  <si>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</si>
  <si>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</si>
  <si>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</si>
  <si>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</si>
  <si>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</si>
  <si>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</si>
  <si>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</si>
  <si>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</si>
  <si>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</si>
  <si>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</si>
  <si>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</si>
  <si>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</si>
  <si>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</si>
  <si>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</si>
  <si>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</si>
  <si>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</si>
  <si>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</si>
  <si>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</si>
  <si>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</si>
  <si>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</si>
  <si>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</si>
  <si>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</si>
  <si>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</si>
  <si>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</si>
  <si>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</si>
  <si>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</si>
  <si>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</si>
  <si>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</si>
  <si>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</si>
  <si>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</si>
  <si>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</si>
  <si>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</si>
  <si>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</si>
  <si>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</si>
  <si>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</si>
  <si>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</si>
  <si>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</si>
  <si>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</si>
  <si>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</si>
  <si>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</si>
  <si>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</si>
  <si>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</si>
  <si>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</si>
  <si>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</si>
  <si>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</si>
  <si>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</si>
  <si>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</si>
  <si>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</si>
  <si>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</si>
  <si>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</si>
  <si>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</si>
  <si>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</si>
  <si>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</si>
  <si>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</si>
  <si>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</si>
  <si>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</si>
  <si>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</si>
  <si>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</si>
  <si>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</si>
  <si>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</si>
  <si>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</si>
  <si>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</si>
  <si>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</si>
  <si>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</si>
  <si>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</si>
  <si>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</si>
  <si>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</si>
  <si>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</si>
  <si>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</si>
  <si>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</si>
  <si>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</si>
  <si>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</si>
  <si>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</si>
  <si>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</si>
  <si>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</si>
  <si>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</si>
  <si>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</si>
  <si>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</si>
  <si>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</si>
  <si>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</si>
  <si>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</si>
  <si>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</si>
  <si>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</si>
  <si>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</si>
  <si>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</si>
  <si>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</si>
  <si>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</si>
  <si>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</si>
  <si>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</si>
  <si>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</si>
  <si>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</si>
  <si>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</si>
  <si>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</si>
  <si>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</si>
  <si>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</si>
  <si>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</si>
  <si>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</si>
  <si>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</si>
  <si>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</si>
  <si>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</si>
  <si>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</si>
  <si>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</si>
  <si>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</si>
  <si>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</si>
  <si>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</si>
  <si>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</si>
  <si>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</si>
  <si>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</si>
  <si>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</si>
  <si>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</si>
  <si>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</si>
  <si>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</si>
  <si>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</si>
  <si>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</si>
  <si>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</si>
  <si>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</si>
  <si>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</si>
  <si>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</si>
  <si>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</si>
  <si>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</si>
  <si>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</si>
  <si>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</si>
  <si>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</si>
  <si>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</si>
  <si>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</si>
  <si>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</si>
  <si>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</si>
  <si>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</si>
  <si>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</si>
  <si>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</si>
  <si>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</si>
  <si>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</si>
  <si>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</si>
  <si>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</si>
  <si>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</si>
  <si>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</si>
  <si>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</si>
  <si>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</si>
  <si>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</si>
  <si>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</si>
  <si>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</si>
  <si>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</si>
  <si>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</si>
  <si>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</si>
  <si>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</si>
  <si>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</si>
  <si>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</si>
  <si>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</si>
  <si>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</si>
  <si>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</si>
  <si>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</si>
  <si>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</si>
  <si>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</si>
  <si>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</si>
  <si>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</si>
  <si>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</si>
  <si>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</si>
  <si>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</si>
  <si>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</si>
  <si>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</si>
  <si>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</si>
  <si>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</si>
  <si>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</si>
  <si>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</si>
  <si>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</si>
  <si>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</si>
  <si>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</si>
  <si>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</si>
  <si>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</si>
  <si>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</si>
  <si>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</si>
  <si>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</si>
  <si>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</si>
  <si>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</si>
  <si>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</si>
  <si>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</si>
  <si>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</si>
  <si>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</si>
  <si>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</si>
  <si>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</si>
  <si>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</si>
  <si>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</si>
  <si>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</si>
  <si>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</si>
  <si>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</si>
  <si>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</si>
  <si>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</si>
  <si>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</si>
  <si>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</si>
  <si>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</si>
  <si>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</si>
  <si>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</si>
  <si>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</si>
  <si>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</si>
  <si>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</si>
  <si>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</si>
  <si>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</si>
  <si>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</si>
  <si>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</si>
  <si>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</si>
  <si>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</si>
  <si>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</si>
  <si>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</si>
  <si>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</si>
  <si>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</si>
  <si>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</si>
  <si>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</si>
  <si>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</si>
  <si>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</si>
  <si>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</si>
  <si>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</si>
  <si>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</si>
  <si>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</si>
  <si>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</si>
  <si>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</si>
  <si>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</si>
  <si>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</si>
  <si>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</si>
  <si>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</si>
  <si>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</si>
  <si>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</si>
  <si>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</si>
  <si>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</si>
  <si>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</si>
  <si>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</si>
  <si>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</si>
  <si>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</si>
  <si>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</si>
  <si>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</si>
  <si>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</si>
  <si>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</si>
  <si>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</si>
  <si>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</si>
  <si>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</si>
  <si>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</si>
  <si>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</si>
  <si>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</si>
  <si>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</si>
  <si>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</si>
  <si>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</si>
  <si>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</si>
  <si>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</si>
  <si>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</si>
  <si>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</si>
  <si>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</si>
  <si>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</si>
  <si>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</si>
  <si>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</si>
  <si>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</si>
  <si>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</si>
  <si>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</si>
  <si>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</si>
  <si>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</si>
  <si>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</si>
  <si>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</si>
  <si>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</si>
  <si>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</si>
  <si>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</si>
  <si>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</si>
  <si>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</si>
  <si>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</si>
  <si>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</si>
  <si>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</si>
  <si>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</si>
  <si>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</si>
  <si>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</si>
  <si>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</si>
  <si>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</si>
  <si>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</si>
  <si>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</si>
  <si>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</si>
  <si>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</si>
  <si>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</si>
  <si>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</si>
  <si>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</si>
  <si>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</si>
  <si>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</si>
  <si>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</si>
  <si>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</si>
  <si>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</si>
  <si>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</si>
  <si>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</si>
  <si>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</si>
  <si>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</si>
  <si>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</si>
  <si>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</si>
  <si>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</si>
  <si>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</si>
  <si>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</si>
  <si>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</si>
  <si>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</si>
  <si>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</si>
  <si>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</si>
  <si>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</si>
  <si>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</si>
  <si>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</si>
  <si>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</si>
  <si>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</si>
  <si>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</si>
  <si>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</si>
  <si>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</si>
  <si>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</si>
  <si>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</si>
  <si>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</si>
  <si>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</si>
  <si>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</si>
  <si>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</si>
  <si>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</si>
  <si>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</si>
  <si>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</si>
  <si>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</si>
  <si>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</si>
  <si>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</si>
  <si>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</si>
  <si>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</si>
  <si>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</si>
  <si>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</si>
  <si>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</si>
  <si>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</si>
  <si>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</si>
  <si>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</si>
  <si>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</si>
  <si>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</si>
  <si>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</si>
  <si>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</si>
  <si>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</si>
  <si>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</si>
  <si>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</si>
  <si>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</si>
  <si>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</si>
  <si>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</si>
  <si>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</si>
  <si>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</si>
  <si>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</si>
  <si>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</si>
  <si>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</si>
  <si>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</si>
  <si>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</si>
  <si>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</si>
  <si>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</si>
  <si>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</si>
  <si>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</si>
  <si>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</si>
  <si>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</si>
  <si>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</si>
  <si>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</si>
  <si>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</si>
  <si>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</si>
  <si>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</si>
  <si>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</si>
  <si>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</si>
  <si>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</si>
  <si>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</si>
  <si>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</si>
  <si>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</si>
  <si>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</si>
  <si>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</si>
  <si>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</si>
  <si>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</si>
  <si>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</si>
  <si>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</si>
  <si>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</si>
  <si>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</si>
  <si>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</si>
  <si>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</si>
  <si>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</si>
  <si>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</si>
  <si>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</si>
  <si>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</si>
  <si>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</si>
  <si>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</si>
  <si>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</si>
  <si>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</si>
  <si>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</si>
  <si>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</si>
  <si>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</si>
  <si>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</si>
  <si>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</si>
  <si>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</si>
  <si>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</si>
  <si>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</si>
  <si>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</si>
  <si>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</si>
  <si>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</si>
  <si>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</si>
  <si>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</si>
  <si>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</si>
  <si>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</si>
  <si>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</si>
  <si>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</si>
  <si>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</si>
  <si>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</si>
  <si>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</si>
  <si>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</si>
  <si>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</si>
  <si>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</si>
  <si>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</si>
  <si>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</si>
  <si>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</si>
  <si>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</si>
  <si>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</si>
  <si>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</si>
  <si>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</si>
  <si>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</si>
  <si>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</si>
  <si>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</si>
  <si>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</si>
  <si>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</si>
  <si>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</si>
  <si>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</si>
  <si>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</si>
  <si>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</si>
  <si>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</si>
  <si>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</si>
  <si>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</si>
  <si>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</si>
  <si>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</si>
  <si>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</si>
  <si>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</si>
  <si>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</si>
  <si>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</si>
  <si>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</si>
  <si>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</si>
  <si>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</si>
  <si>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</si>
  <si>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</si>
  <si>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</si>
  <si>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</si>
  <si>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</si>
  <si>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</si>
  <si>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</si>
  <si>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</si>
  <si>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</si>
  <si>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</si>
  <si>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</si>
  <si>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</si>
  <si>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</si>
  <si>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</si>
  <si>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</si>
  <si>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</si>
  <si>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</si>
  <si>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</si>
  <si>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</si>
  <si>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</si>
  <si>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</si>
  <si>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</si>
  <si>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</si>
  <si>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</si>
  <si>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</si>
  <si>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</si>
  <si>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</si>
  <si>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</si>
  <si>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</si>
  <si>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</si>
  <si>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</si>
  <si>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</si>
  <si>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</si>
  <si>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</si>
  <si>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</si>
  <si>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</si>
  <si>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</si>
  <si>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</si>
  <si>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</si>
  <si>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</si>
  <si>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</si>
  <si>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</si>
  <si>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</si>
  <si>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</si>
  <si>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</si>
  <si>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</si>
  <si>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</si>
  <si>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</si>
  <si>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</si>
  <si>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</si>
  <si>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</si>
  <si>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</si>
  <si>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</si>
  <si>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</si>
  <si>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</si>
  <si>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</si>
  <si>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</si>
  <si>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</si>
  <si>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</si>
  <si>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</si>
  <si>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</si>
  <si>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</si>
  <si>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</si>
  <si>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</si>
  <si>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</si>
  <si>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</si>
  <si>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</si>
  <si>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</si>
  <si>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</si>
  <si>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</si>
  <si>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</si>
  <si>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</si>
  <si>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</si>
  <si>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</si>
  <si>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</si>
  <si>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</si>
  <si>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</si>
  <si>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</si>
  <si>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</si>
  <si>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</si>
  <si>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</si>
  <si>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</si>
  <si>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</si>
  <si>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</si>
  <si>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</si>
  <si>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</si>
  <si>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</si>
  <si>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</si>
  <si>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</si>
  <si>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</si>
  <si>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</si>
  <si>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</si>
  <si>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</si>
  <si>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</si>
  <si>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</si>
  <si>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</si>
  <si>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</si>
  <si>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</si>
  <si>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</si>
  <si>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</si>
  <si>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</si>
  <si>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</si>
  <si>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</si>
  <si>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</si>
  <si>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</si>
  <si>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</si>
  <si>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</si>
  <si>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</si>
  <si>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</si>
  <si>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</si>
  <si>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</si>
  <si>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</si>
  <si>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</si>
  <si>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</si>
  <si>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</si>
  <si>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</si>
  <si>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</si>
  <si>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</si>
  <si>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</si>
  <si>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</si>
  <si>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</si>
  <si>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</si>
  <si>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</si>
  <si>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</si>
  <si>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</si>
  <si>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</si>
  <si>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</si>
  <si>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</si>
  <si>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</si>
  <si>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</si>
  <si>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</si>
  <si>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</si>
  <si>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</si>
  <si>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</si>
  <si>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</si>
  <si>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</si>
  <si>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</si>
  <si>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</si>
  <si>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</si>
  <si>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</si>
  <si>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</si>
  <si>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</si>
  <si>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</si>
  <si>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</si>
  <si>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</si>
  <si>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</si>
  <si>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</si>
  <si>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</si>
  <si>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</si>
  <si>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</si>
  <si>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</si>
  <si>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</si>
  <si>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</si>
  <si>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</si>
  <si>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</si>
  <si>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</si>
  <si>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</si>
  <si>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</si>
  <si>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</si>
  <si>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</si>
  <si>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</si>
  <si>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</si>
  <si>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</si>
  <si>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</si>
  <si>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</si>
  <si>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</si>
  <si>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</si>
  <si>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</si>
  <si>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</si>
  <si>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</si>
  <si>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</si>
  <si>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</si>
  <si>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</si>
  <si>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</si>
  <si>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</si>
  <si>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</si>
  <si>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</si>
  <si>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</si>
  <si>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</si>
  <si>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</si>
  <si>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</si>
  <si>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</si>
  <si>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</si>
  <si>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</si>
  <si>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</si>
  <si>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</si>
  <si>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</si>
  <si>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</si>
  <si>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</si>
  <si>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</si>
  <si>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</si>
  <si>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</si>
  <si>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</si>
  <si>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</si>
  <si>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</si>
  <si>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SEE SEFA20 TAB</t>
  </si>
  <si>
    <t>28-037-2290-26</t>
  </si>
  <si>
    <t>Henry</t>
  </si>
  <si>
    <t>Kewanee Community Unit School District No. 229</t>
  </si>
  <si>
    <t>1001 N. Main</t>
  </si>
  <si>
    <t>Kewanee</t>
  </si>
  <si>
    <t>csullens@kcusd229.org</t>
  </si>
  <si>
    <t>Dr. Chris Sullens</t>
  </si>
  <si>
    <t>309-853-3341</t>
  </si>
  <si>
    <t>309-852-5504</t>
  </si>
  <si>
    <t>Russell J. Rumbold II, CPA</t>
  </si>
  <si>
    <t>rrumbold@gorenzcpa.com</t>
  </si>
  <si>
    <t>x</t>
  </si>
  <si>
    <r>
      <t xml:space="preserve">The accompanying Schedule of Expenditures of Federal Awards includes the federal grant activity of </t>
    </r>
    <r>
      <rPr>
        <b/>
        <sz val="9"/>
        <rFont val="Calibri"/>
        <family val="2"/>
        <scheme val="minor"/>
      </rPr>
      <t>Kewanee CUSD No. 229</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</si>
  <si>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Kewanee CUSD No. 229</t>
    </r>
    <r>
      <rPr>
        <sz val="9"/>
        <rFont val="Calibri"/>
        <family val="2"/>
        <scheme val="minor"/>
      </rPr>
      <t xml:space="preserve"> provided federal awards to subrecipients as follows:</t>
    </r>
  </si>
  <si>
    <t>No subrecipients during FY20.</t>
  </si>
  <si>
    <t>Note 6:  Other Information</t>
  </si>
  <si>
    <t>Note 5: Relationship to the Basic Financial Statements and Program Financial Reports</t>
  </si>
  <si>
    <t>Unmodified Special Purpose Framework Reg. Basis</t>
  </si>
  <si>
    <t>Unmodified</t>
  </si>
  <si>
    <t>10.553, 10.555, 10.559</t>
  </si>
  <si>
    <t>Child Nutrition Cluster</t>
  </si>
  <si>
    <t>2019-001</t>
  </si>
  <si>
    <t>Resolved</t>
  </si>
  <si>
    <t>2019-002</t>
  </si>
  <si>
    <t>Monitoring Cash in the Food Service Program</t>
  </si>
  <si>
    <t>Disbarred/Suspended Vendors</t>
  </si>
  <si>
    <t>20-4998-ER</t>
  </si>
  <si>
    <t>COVID-19 Education Stabilization</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</si>
  <si>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</si>
  <si>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</si>
  <si>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</si>
  <si>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</si>
  <si>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</si>
  <si>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</si>
  <si>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</si>
  <si>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Dr. Chris Sullens, Superintendent</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</si>
  <si>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</si>
  <si>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</si>
  <si>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2020-</t>
  </si>
  <si>
    <t>July, 2020</t>
  </si>
  <si>
    <t>The District will monitor cash and investment balances more closely and gain</t>
  </si>
  <si>
    <t>approval from the Board of Education before making interfund loans.</t>
  </si>
  <si>
    <t>Year Ended June 30, 2020</t>
  </si>
  <si>
    <t>ISBE</t>
  </si>
  <si>
    <t xml:space="preserve">          Receipts/Revenues          </t>
  </si>
  <si>
    <t xml:space="preserve">  Expenditures/Disbursements  </t>
  </si>
  <si>
    <t>Project</t>
  </si>
  <si>
    <t>Prior to</t>
  </si>
  <si>
    <t>7/01/19-</t>
  </si>
  <si>
    <t>Final</t>
  </si>
  <si>
    <t>Federal Grantor/Pass-Through Grantor,</t>
  </si>
  <si>
    <t>Number</t>
  </si>
  <si>
    <t>6/30/19</t>
  </si>
  <si>
    <t>6/30/20</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</si>
  <si>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</si>
  <si>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</si>
  <si>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</si>
  <si>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</si>
  <si>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</si>
  <si>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</si>
  <si>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</si>
  <si>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</si>
  <si>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</si>
  <si>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t>
  </si>
  <si>
    <t xml:space="preserve">         (H)         </t>
  </si>
  <si>
    <t xml:space="preserve">         (I)         </t>
  </si>
  <si>
    <t xml:space="preserve">U.S. Department of Agriculture - </t>
  </si>
  <si>
    <t xml:space="preserve">   Pass-through program from</t>
  </si>
  <si>
    <t xml:space="preserve">   Illinois State Board of Education</t>
  </si>
  <si>
    <t>School Lunch - Regular, Free &amp; Reduced</t>
  </si>
  <si>
    <t>10.555</t>
  </si>
  <si>
    <t>19-4210-00</t>
  </si>
  <si>
    <t>N/A</t>
  </si>
  <si>
    <t>20-4210-00</t>
  </si>
  <si>
    <t>(2)</t>
  </si>
  <si>
    <t>Food Donation</t>
  </si>
  <si>
    <t>FY19</t>
  </si>
  <si>
    <t>FY20</t>
  </si>
  <si>
    <t>DOD - Fresh Fruits &amp; Vegetables</t>
  </si>
  <si>
    <t>Total CFDA 10.555</t>
  </si>
  <si>
    <t>19-4220-00</t>
  </si>
  <si>
    <t>20-4220-00</t>
  </si>
  <si>
    <t>19-4225-00</t>
  </si>
  <si>
    <t>20-4225-00</t>
  </si>
  <si>
    <t>NSLP Equipment Assistance</t>
  </si>
  <si>
    <t>19-4260-16</t>
  </si>
  <si>
    <t xml:space="preserve">(M) </t>
  </si>
  <si>
    <t>Fresh Fruits and Vegetables</t>
  </si>
  <si>
    <t>14-4240-12</t>
  </si>
  <si>
    <t>14-4240-13</t>
  </si>
  <si>
    <t xml:space="preserve">Total U.S. Department of Agriculture - Pass-through programs  </t>
  </si>
  <si>
    <t xml:space="preserve">U.S . Department of Education - </t>
  </si>
  <si>
    <t>Title V - Rural Education Initiative</t>
  </si>
  <si>
    <t>84.358B</t>
  </si>
  <si>
    <t>19-4107-00</t>
  </si>
  <si>
    <t>20-4107-00</t>
  </si>
  <si>
    <t>84.010</t>
  </si>
  <si>
    <t>19-4300-00</t>
  </si>
  <si>
    <t>20-4300-00</t>
  </si>
  <si>
    <t>Title I - School Imp and Accountability</t>
  </si>
  <si>
    <t>19-4331-19</t>
  </si>
  <si>
    <t>20-4331-20</t>
  </si>
  <si>
    <t>Total CFDA 84.010</t>
  </si>
  <si>
    <t>Sp. Ed. Pre-School Flow Through</t>
  </si>
  <si>
    <t>20-4600-00</t>
  </si>
  <si>
    <t>21-4600-00</t>
  </si>
  <si>
    <t>Sp. Ed. - IDEA - Flow Through</t>
  </si>
  <si>
    <t>20-4620-00</t>
  </si>
  <si>
    <t>21-4620-00</t>
  </si>
  <si>
    <t>IDEA - Room &amp; Board</t>
  </si>
  <si>
    <t>19-4625-00</t>
  </si>
  <si>
    <t>20-4625-00</t>
  </si>
  <si>
    <t>Total CFDA 84.027</t>
  </si>
  <si>
    <t>12-4625-XC</t>
  </si>
  <si>
    <t>13-4625-XC</t>
  </si>
  <si>
    <t>Title II - Teacher Qualtity</t>
  </si>
  <si>
    <t>19-4932-00</t>
  </si>
  <si>
    <t>20-4932-00</t>
  </si>
  <si>
    <t>84.425D</t>
  </si>
  <si>
    <t>Title III - Lang Inst. Program - Ltd English</t>
  </si>
  <si>
    <t>19-4909-00</t>
  </si>
  <si>
    <t>20-4909-00</t>
  </si>
  <si>
    <t>Total U.S. Department of Education - Pass-through programs from ISBE</t>
  </si>
  <si>
    <t xml:space="preserve">   Flow-through program from</t>
  </si>
  <si>
    <t>Henry-Stark Special Education Cooperative</t>
  </si>
  <si>
    <t>IDEA Flow Through</t>
  </si>
  <si>
    <t>16-4620-00</t>
  </si>
  <si>
    <t>17-4620-00</t>
  </si>
  <si>
    <t>Total U.S. Department of Education - Pass-through programs from Henry Stark SEA</t>
  </si>
  <si>
    <t>Direct grant to Neponset CCSD 307 -</t>
  </si>
  <si>
    <t>Small Rural School Acheivement Grant</t>
  </si>
  <si>
    <t>S358A112779</t>
  </si>
  <si>
    <t>Total U.S. Department of Education - Direct</t>
  </si>
  <si>
    <t xml:space="preserve">   Quad City Career and Technicl Education Consortium</t>
  </si>
  <si>
    <t>Title II - Perkins Secondary</t>
  </si>
  <si>
    <t>84.048A</t>
  </si>
  <si>
    <t>06-4745-00</t>
  </si>
  <si>
    <t>07-4745-00</t>
  </si>
  <si>
    <t>Title III E- Tech Prep</t>
  </si>
  <si>
    <t>11-4770-00</t>
  </si>
  <si>
    <t>Total U.S. Department of Education - Pass-through programs from QCCTEC</t>
  </si>
  <si>
    <t>Total U.S. Department of Education</t>
  </si>
  <si>
    <t xml:space="preserve">U.S . Department of Health and Human Services - </t>
  </si>
  <si>
    <t xml:space="preserve">   Illinois Department of Healthcare &amp; Family Services</t>
  </si>
  <si>
    <t>Medicaid-Administrative Outreach</t>
  </si>
  <si>
    <t>19-4991-00</t>
  </si>
  <si>
    <t>20-4991-00</t>
  </si>
  <si>
    <t>Total U. S. Department of Health and Human Services - Pass-through program</t>
  </si>
  <si>
    <t>Total Federal Awards</t>
  </si>
  <si>
    <t>Total Federal Awards Passed Through Illinois State Board of Education</t>
  </si>
  <si>
    <t>Total Federal Awards Passed Through Other Entites</t>
  </si>
  <si>
    <t>(M) Indicates Major Federal Financial Assistance Program.</t>
  </si>
  <si>
    <t>(1) Carryover from prior year project per ISBE.</t>
  </si>
  <si>
    <t>(2) Project not complete as of June 30, 2020</t>
  </si>
  <si>
    <t>(3) Nonmonetary assistance is reported in the schedule at the fair market value of the commodities received and disbursed</t>
  </si>
  <si>
    <t>*** - No Subrecipients</t>
  </si>
  <si>
    <r>
      <t xml:space="preserve">4  </t>
    </r>
    <r>
      <rPr>
        <sz val="8"/>
        <rFont val="Arial"/>
        <family val="2"/>
      </rPr>
      <t xml:space="preserve">Circular A-133 requires that the value of federal awards expended in the form of non-cash assistance, the amount of insurance in effect during the year, and loans or loan guarantees </t>
    </r>
  </si>
  <si>
    <t xml:space="preserve">    outstanding at year end be included in either the schedule or a note to the schedule.  Although it is not required, Circular A-133 states that it is preferable to present this information in</t>
  </si>
  <si>
    <t xml:space="preserve">    the schedule (versus the notes to the schedule).  If the auditee presents non-cash assistance in the notes to the schedule, the auditor should be aware that such amounts must</t>
  </si>
  <si>
    <t xml:space="preserve">    still be included in part III of the data collection form.</t>
  </si>
  <si>
    <t>D</t>
  </si>
  <si>
    <t>Total CFDA 10.553</t>
  </si>
  <si>
    <t>Total CFDA 84.358B</t>
  </si>
  <si>
    <t>Total IDEA Cluster</t>
  </si>
  <si>
    <t>Total CFDA 84.367</t>
  </si>
  <si>
    <t>Federal awards received are reflected in the District's financial statements within the Educational Fund and Operations and Maintenance Fund as receipts from federal sources. Amounts reported in the accompanying Schedule of Federal Awards agree with the amounts in the Program Financial Reports for programs which have filed reports as of June 30, 2020 with ISBE.</t>
  </si>
  <si>
    <t>Qzab Bonds</t>
  </si>
  <si>
    <t>2015 G.O. Bond</t>
  </si>
  <si>
    <t>2018 Alternate Revenue Bond</t>
  </si>
  <si>
    <t>2013 Alternate Revenue Bond</t>
  </si>
  <si>
    <t>2019 Working Cash Bond</t>
  </si>
  <si>
    <t>Alternate Revenue Bond</t>
  </si>
  <si>
    <t>QZAB Bond</t>
  </si>
  <si>
    <t>Ed-Instruction-Purchased Services</t>
  </si>
  <si>
    <t>Northern Illinois Academy</t>
  </si>
  <si>
    <t>The Hope Institute</t>
  </si>
  <si>
    <t>Ed-Instruction-Other</t>
  </si>
  <si>
    <t>The Hope School</t>
  </si>
  <si>
    <t>Kewanee Park District</t>
  </si>
  <si>
    <t>Oper. &amp; Maint.-Plant Services-Purchased Services</t>
  </si>
  <si>
    <t>Johnson Controls</t>
  </si>
  <si>
    <t>Cunningham Children's Home</t>
  </si>
  <si>
    <t>Kemmerer Village</t>
  </si>
  <si>
    <t>Allendale Association</t>
  </si>
  <si>
    <t>ABCD with Wethersfield Schools and the Stepladder After School Tutoring Program</t>
  </si>
  <si>
    <t>Visitation Catholic/YMCA/Headstart/Geneseo &amp; Other School Districts</t>
  </si>
  <si>
    <t>Illinois Association of School Boards</t>
  </si>
  <si>
    <t>Bureau Henry Stark Regional Office of Education/WIU</t>
  </si>
  <si>
    <t>BHS ROE</t>
  </si>
  <si>
    <t>Henry-Stark Special Education Association</t>
  </si>
  <si>
    <t>Bureau Henry Stark ROE (Copy Paper)</t>
  </si>
  <si>
    <t>Annawan &amp; Wethersfield College for Kids Transportation</t>
  </si>
  <si>
    <t>QCCTEC- East Moline, IL</t>
  </si>
  <si>
    <t>Visitation TIT &amp; II</t>
  </si>
  <si>
    <t>YMCA/Field Trips and Blackhawk College/Bridgeway Counseling</t>
  </si>
  <si>
    <t>Page 9, Line 17 - Payments in Lieu of Real Estate Taxes - All Funds</t>
  </si>
  <si>
    <t>Page 10, Line 72 - Milk Sales - $9,893</t>
  </si>
  <si>
    <t>Page 10, Line 74 - Food Sales - $55,760</t>
  </si>
  <si>
    <t>Page 13, Line 203 - Title I School Improvement Revenue - $61,199</t>
  </si>
  <si>
    <t>Page 14, Line 265 - CARES Act Revenue $639,714 &amp; $41,054 - Both Funds</t>
  </si>
  <si>
    <t>Page 16, Line 73 - Title I Supplies - $26</t>
  </si>
  <si>
    <t>Commodities</t>
  </si>
  <si>
    <t>Total CFDA 10.559</t>
  </si>
  <si>
    <t>(M)</t>
  </si>
  <si>
    <t>Title I Cluster</t>
  </si>
  <si>
    <t>84.173, 84.027</t>
  </si>
  <si>
    <t>IDEA Cluster</t>
  </si>
  <si>
    <t>U.S. Department of Agriculture</t>
  </si>
  <si>
    <t>Eligibility - Meal benefits can be issued based on Categorical Eligibility using the Electronic Direct Certification System, Categorical Eligibility using listing from Coordinator(s) such as homeless, migrant, head start, etc. or Household Eligibility Application.</t>
  </si>
  <si>
    <t>In reviewing internal controls and compliance with the program eligibility requirements it was determined that there were meals claimed in which none of the aforementioned eligibility requirements were documented.</t>
  </si>
  <si>
    <t>When the data base of eligible applicants was "rolled" from the previous year to the current year not all of the applicants required to be purged from the from the data base were.  No formal review of the data base was conducted to ensure that ineligible students were  purged from the system.</t>
  </si>
  <si>
    <t>Procedures need to be implemented to ensure all applications included in the eligible applicant data base have supporting documentation as to one of the methods of certification identified in section 8.</t>
  </si>
  <si>
    <t>There is no disagreement with this finding and internal controls will be developed to ensure all free and reduced applications are kept on file.  The Illinois State Board of Education will be contacted regarding the overclaimed meals (lunch and breakfast).</t>
  </si>
  <si>
    <t>A sample of 60 applicants were selected to determine if eligibility requirements had been met.  Of this sample 5 applicants did not have supporting eligibility documentation.  An additional 30 applicants were chosen in which each applicant had supporting eligibility documentation.  Five applicants out of the 90 tested did not have eligibility documentation.</t>
  </si>
  <si>
    <t xml:space="preserve">The district overclaimed the meal count.  See item10. Questioned Costs for the number of meals and reimbursement.  </t>
  </si>
  <si>
    <t>The Tort fund incurred negative cash and investment balances during March, April and May.</t>
  </si>
  <si>
    <t>The negative cash and investment balances incurred created unapproved loans to the Tort fund.</t>
  </si>
  <si>
    <t>Consideration will be given to the recommendation.</t>
  </si>
  <si>
    <t>Inter-fund loans made pursuant to Illinois School Code [105 ILCS 5/10-22.33] are to be approved by the school board prior to the funds being transferred.</t>
  </si>
  <si>
    <t>The common bank account provided the cash flow for the Tort Fund to expend more resources than the fund had on hand during the three months mentioned in section 6.</t>
  </si>
  <si>
    <t>The District maintains a common checking account for the funds of the District, including the Educational, Operations and Maintenance, Debt Services, Transportation, Municipal Retirement/Social Security, Capital Projects, Working Cash, Tort, and Fire Prevention and Safety Funds.  This allows for funds to incur negative cash and investment balances.</t>
  </si>
  <si>
    <t>Management should monitor the cash and investment balances, the board of education should formally approve any required interfund loans, and the treasurer should process the approved loans, as needed.</t>
  </si>
  <si>
    <t>Management will monitor the cash and investment balances, the board of education will formally approve any required interfund loans, and the treasurer will process the approved loans, as needed.</t>
  </si>
  <si>
    <t>Review of the current process will be conducted and any required changes made.</t>
  </si>
  <si>
    <t>We will implement internal controls to further monitor program eligibility requirements.</t>
  </si>
  <si>
    <t>Free lunch meals overclaimed; 276 meals X $3.50 rate = $966                                                                                                                                          Free breakfast meals overclaimed; 124 meals X $2.20 rate = $273</t>
  </si>
  <si>
    <t>Part A, question 9 - See Finding 2020-001; Part C, question 20 - See Finding 2020-002.</t>
  </si>
  <si>
    <t>School Lunch &amp; School Breakfast - 2020</t>
  </si>
  <si>
    <t>19 &amp; 20-4210, 4220</t>
  </si>
  <si>
    <t>10.553 &amp; 10.555</t>
  </si>
  <si>
    <r>
      <t xml:space="preserve">The following amounts were expended in the form of non-cash assistance by </t>
    </r>
    <r>
      <rPr>
        <b/>
        <sz val="9"/>
        <rFont val="Calibri"/>
        <family val="2"/>
        <scheme val="minor"/>
      </rPr>
      <t>Kewanee CUSD No. 229</t>
    </r>
    <r>
      <rPr>
        <sz val="9"/>
        <rFont val="Calibri"/>
        <family val="2"/>
        <scheme val="minor"/>
      </rPr>
      <t xml:space="preserve"> and are included in the Schedule of Expenditures of Federal Awards:</t>
    </r>
  </si>
  <si>
    <t>See PDF Version</t>
  </si>
  <si>
    <t xml:space="preserve">   Kewanee CUSD 229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</si>
</sst>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000_)"/>
    <numFmt numFmtId="186" formatCode="_(* #,##0_);_(* \(#,##0\);_(* &quot; &quot;_);_(@_)"/>
    <numFmt numFmtId="187" formatCode="_(* #,##0_);_(* \(#,##0\);_(* &quot;-&quot;??_);_(@_)"/>
    <numFmt numFmtId="188" formatCode="_(* #,##0_);_(* \(#,##0\);_(* &quot;0&quot;_);_(@_)"/>
    <numFmt numFmtId="189" formatCode="#,##0.000_);\(#,##0.000\)"/>
  </numFmts>
  <fonts count="1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
      <sz val="10"/>
      <name val="Courier"/>
    </font>
    <font>
      <b/>
      <sz val="12"/>
      <name val="Times New Roman"/>
      <family val="1"/>
    </font>
    <font>
      <sz val="11"/>
      <name val="Times New Roman"/>
      <family val="1"/>
    </font>
    <font>
      <b/>
      <sz val="10"/>
      <name val="Times New Roman"/>
      <family val="1"/>
    </font>
    <font>
      <b/>
      <sz val="11"/>
      <name val="Times New Roman"/>
      <family val="1"/>
    </font>
    <font>
      <u/>
      <sz val="10"/>
      <name val="Times New Roman"/>
      <family val="1"/>
    </font>
    <font>
      <u val="singleAccounting"/>
      <sz val="10"/>
      <name val="Times New Roman"/>
      <family val="1"/>
    </font>
    <font>
      <u val="doubleAccounting"/>
      <sz val="10"/>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37" fontId="147" fillId="0" borderId="0"/>
    <xf numFmtId="43" fontId="45" fillId="0" borderId="0" applyFont="0" applyFill="0" applyBorder="0" applyAlignment="0" applyProtection="0"/>
    <xf numFmtId="9" fontId="45" fillId="0" borderId="0" applyFont="0" applyFill="0" applyBorder="0" applyAlignment="0" applyProtection="0"/>
  </cellStyleXfs>
  <cellXfs count="274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5" fontId="55" fillId="0" borderId="0" xfId="3" applyNumberFormat="1" applyFont="1" applyBorder="1" applyAlignment="1" applyProtection="1">
      <protection locked="0"/>
    </xf>
    <xf numFmtId="5" fontId="65" fillId="0" borderId="0" xfId="3" applyNumberFormat="1" applyFont="1" applyBorder="1" applyAlignment="1" applyProtection="1">
      <protection locked="0"/>
    </xf>
    <xf numFmtId="0" fontId="65" fillId="0" borderId="0" xfId="3" applyFont="1" applyBorder="1" applyAlignment="1" applyProtection="1">
      <protection locked="0"/>
    </xf>
    <xf numFmtId="169" fontId="62" fillId="0" borderId="77" xfId="3" applyNumberFormat="1" applyFont="1" applyFill="1" applyBorder="1" applyAlignment="1" applyProtection="1">
      <alignment horizontal="center"/>
      <protection locked="0"/>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44"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5" fillId="0" borderId="0" xfId="3" applyFont="1" applyAlignment="1">
      <alignment horizontal="left"/>
    </xf>
    <xf numFmtId="14" fontId="10" fillId="0" borderId="0" xfId="3" applyNumberFormat="1" applyAlignment="1" applyProtection="1">
      <alignment horizontal="left" indent="2"/>
      <protection locked="0"/>
    </xf>
    <xf numFmtId="0" fontId="10" fillId="0" borderId="0" xfId="3" applyProtection="1">
      <protection locked="0"/>
    </xf>
    <xf numFmtId="0" fontId="10" fillId="0" borderId="0" xfId="3" applyAlignment="1">
      <alignment horizontal="left"/>
    </xf>
    <xf numFmtId="0" fontId="10" fillId="0" borderId="78" xfId="3" applyBorder="1"/>
    <xf numFmtId="0" fontId="146" fillId="0" borderId="0" xfId="3" applyFont="1" applyAlignment="1">
      <alignment horizontal="left"/>
    </xf>
    <xf numFmtId="0" fontId="11" fillId="0" borderId="0" xfId="3" applyFont="1" applyAlignment="1">
      <alignment horizontal="left"/>
    </xf>
    <xf numFmtId="0" fontId="36" fillId="0" borderId="0" xfId="3" applyFont="1"/>
    <xf numFmtId="0" fontId="146" fillId="0" borderId="0" xfId="3" applyFont="1"/>
    <xf numFmtId="37" fontId="45" fillId="0" borderId="0" xfId="21" applyFont="1" applyAlignment="1">
      <alignment horizontal="center"/>
    </xf>
    <xf numFmtId="37" fontId="45" fillId="0" borderId="0" xfId="21" applyFont="1"/>
    <xf numFmtId="37" fontId="45" fillId="0" borderId="0" xfId="21" applyFont="1" applyAlignment="1">
      <alignment horizontal="right"/>
    </xf>
    <xf numFmtId="37" fontId="147" fillId="0" borderId="0" xfId="21"/>
    <xf numFmtId="37" fontId="45" fillId="0" borderId="0" xfId="21" applyFont="1" applyAlignment="1">
      <alignment horizontal="centerContinuous" vertical="center"/>
    </xf>
    <xf numFmtId="37" fontId="148" fillId="0" borderId="0" xfId="21" applyFont="1" applyAlignment="1">
      <alignment horizontal="centerContinuous" vertical="center"/>
    </xf>
    <xf numFmtId="37" fontId="45" fillId="0" borderId="0" xfId="21" applyFont="1" applyAlignment="1">
      <alignment vertical="center"/>
    </xf>
    <xf numFmtId="37" fontId="45" fillId="0" borderId="0" xfId="21" applyFont="1" applyAlignment="1">
      <alignment horizontal="center" vertical="center"/>
    </xf>
    <xf numFmtId="37" fontId="147" fillId="0" borderId="0" xfId="21" applyAlignment="1">
      <alignment vertical="center"/>
    </xf>
    <xf numFmtId="37" fontId="149" fillId="0" borderId="0" xfId="21" applyFont="1" applyAlignment="1">
      <alignment vertical="center"/>
    </xf>
    <xf numFmtId="37" fontId="149" fillId="0" borderId="0" xfId="21" applyFont="1" applyAlignment="1">
      <alignment horizontal="centerContinuous" vertical="center"/>
    </xf>
    <xf numFmtId="37" fontId="150" fillId="0" borderId="0" xfId="21" applyFont="1" applyAlignment="1">
      <alignment vertical="center"/>
    </xf>
    <xf numFmtId="37" fontId="45" fillId="0" borderId="0" xfId="21" applyFont="1" applyAlignment="1">
      <alignment horizontal="left" vertical="center"/>
    </xf>
    <xf numFmtId="37" fontId="45" fillId="0" borderId="139" xfId="21" applyFont="1" applyBorder="1" applyAlignment="1">
      <alignment horizontal="centerContinuous" vertical="center"/>
    </xf>
    <xf numFmtId="37" fontId="45" fillId="0" borderId="139" xfId="21" applyFont="1" applyBorder="1" applyAlignment="1">
      <alignment horizontal="left" vertical="center"/>
    </xf>
    <xf numFmtId="37" fontId="45" fillId="0" borderId="139" xfId="21" applyFont="1" applyBorder="1" applyAlignment="1">
      <alignment vertical="center"/>
    </xf>
    <xf numFmtId="37" fontId="45" fillId="0" borderId="139" xfId="21" applyFont="1" applyBorder="1" applyAlignment="1">
      <alignment horizontal="center" vertical="center"/>
    </xf>
    <xf numFmtId="37" fontId="152" fillId="0" borderId="0" xfId="21" applyFont="1" applyAlignment="1">
      <alignment horizontal="centerContinuous" vertical="center"/>
    </xf>
    <xf numFmtId="37" fontId="45" fillId="0" borderId="0" xfId="21" quotePrefix="1" applyFont="1" applyAlignment="1">
      <alignment horizontal="center" vertical="center"/>
    </xf>
    <xf numFmtId="14" fontId="45" fillId="0" borderId="0" xfId="21" quotePrefix="1" applyNumberFormat="1" applyFont="1" applyAlignment="1">
      <alignment horizontal="center" vertical="center"/>
    </xf>
    <xf numFmtId="14" fontId="45" fillId="0" borderId="0" xfId="21" applyNumberFormat="1" applyFont="1" applyAlignment="1">
      <alignment horizontal="center" vertical="center"/>
    </xf>
    <xf numFmtId="37" fontId="152" fillId="0" borderId="0" xfId="21" applyFont="1" applyAlignment="1">
      <alignment horizontal="left" vertical="center"/>
    </xf>
    <xf numFmtId="37" fontId="152" fillId="0" borderId="0" xfId="21" applyFont="1" applyAlignment="1">
      <alignment horizontal="center" vertical="center"/>
    </xf>
    <xf numFmtId="37" fontId="150" fillId="0" borderId="0" xfId="21" applyFont="1" applyAlignment="1">
      <alignment horizontal="left" vertical="center"/>
    </xf>
    <xf numFmtId="37" fontId="45" fillId="0" borderId="0" xfId="21" applyFont="1" applyAlignment="1">
      <alignment horizontal="right" vertical="center"/>
    </xf>
    <xf numFmtId="185" fontId="45" fillId="0" borderId="0" xfId="21" applyNumberFormat="1" applyFont="1" applyAlignment="1">
      <alignment horizontal="center" vertical="center"/>
    </xf>
    <xf numFmtId="186" fontId="45" fillId="0" borderId="0" xfId="21" applyNumberFormat="1" applyFont="1" applyAlignment="1">
      <alignment vertical="center"/>
    </xf>
    <xf numFmtId="186" fontId="45" fillId="0" borderId="0" xfId="21" applyNumberFormat="1" applyFont="1" applyAlignment="1">
      <alignment horizontal="center" vertical="center"/>
    </xf>
    <xf numFmtId="187" fontId="45" fillId="0" borderId="0" xfId="21" applyNumberFormat="1" applyFont="1" applyAlignment="1">
      <alignment vertical="center"/>
    </xf>
    <xf numFmtId="186" fontId="45" fillId="0" borderId="0" xfId="21" applyNumberFormat="1" applyFont="1" applyAlignment="1">
      <alignment horizontal="right" vertical="center"/>
    </xf>
    <xf numFmtId="186" fontId="45" fillId="0" borderId="0" xfId="21" quotePrefix="1" applyNumberFormat="1" applyFont="1" applyAlignment="1">
      <alignment horizontal="center" vertical="center"/>
    </xf>
    <xf numFmtId="186" fontId="45" fillId="0" borderId="76" xfId="21" applyNumberFormat="1" applyFont="1" applyBorder="1" applyAlignment="1">
      <alignment vertical="center"/>
    </xf>
    <xf numFmtId="187" fontId="45" fillId="0" borderId="76" xfId="21" applyNumberFormat="1" applyFont="1" applyBorder="1" applyAlignment="1">
      <alignment vertical="center"/>
    </xf>
    <xf numFmtId="187" fontId="45" fillId="0" borderId="78" xfId="21" applyNumberFormat="1" applyFont="1" applyBorder="1" applyAlignment="1">
      <alignment vertical="center"/>
    </xf>
    <xf numFmtId="186" fontId="45" fillId="0" borderId="0" xfId="21" quotePrefix="1" applyNumberFormat="1" applyFont="1" applyAlignment="1">
      <alignment vertical="center"/>
    </xf>
    <xf numFmtId="186" fontId="45" fillId="0" borderId="78" xfId="21" applyNumberFormat="1" applyFont="1" applyBorder="1" applyAlignment="1">
      <alignment vertical="center"/>
    </xf>
    <xf numFmtId="187" fontId="153" fillId="0" borderId="0" xfId="21" applyNumberFormat="1" applyFont="1" applyAlignment="1">
      <alignment vertical="center"/>
    </xf>
    <xf numFmtId="186" fontId="153" fillId="0" borderId="0" xfId="21" applyNumberFormat="1" applyFont="1" applyAlignment="1">
      <alignment vertical="center"/>
    </xf>
    <xf numFmtId="186" fontId="152" fillId="0" borderId="0" xfId="21" applyNumberFormat="1" applyFont="1" applyAlignment="1">
      <alignment vertical="center"/>
    </xf>
    <xf numFmtId="187" fontId="152" fillId="0" borderId="0" xfId="21" applyNumberFormat="1" applyFont="1" applyAlignment="1">
      <alignment vertical="center"/>
    </xf>
    <xf numFmtId="37" fontId="147" fillId="0" borderId="0" xfId="21" applyAlignment="1">
      <alignment horizontal="center" vertical="center"/>
    </xf>
    <xf numFmtId="37" fontId="149" fillId="0" borderId="0" xfId="21" applyFont="1"/>
    <xf numFmtId="37" fontId="149" fillId="0" borderId="0" xfId="21" quotePrefix="1" applyFont="1" applyAlignment="1">
      <alignment horizontal="left"/>
    </xf>
    <xf numFmtId="185" fontId="149" fillId="0" borderId="0" xfId="21" applyNumberFormat="1" applyFont="1" applyAlignment="1">
      <alignment horizontal="center"/>
    </xf>
    <xf numFmtId="37" fontId="149" fillId="0" borderId="0" xfId="21" applyFont="1" applyAlignment="1">
      <alignment horizontal="center"/>
    </xf>
    <xf numFmtId="37" fontId="149" fillId="0" borderId="0" xfId="21" quotePrefix="1" applyFont="1" applyAlignment="1">
      <alignment horizontal="left" vertical="center"/>
    </xf>
    <xf numFmtId="37" fontId="149" fillId="0" borderId="0" xfId="21" applyFont="1" applyAlignment="1">
      <alignment horizontal="center" vertical="center"/>
    </xf>
    <xf numFmtId="188" fontId="45" fillId="0" borderId="0" xfId="21" applyNumberFormat="1" applyFont="1" applyAlignment="1">
      <alignment vertical="center"/>
    </xf>
    <xf numFmtId="188" fontId="45" fillId="0" borderId="76" xfId="21" applyNumberFormat="1" applyFont="1" applyBorder="1" applyAlignment="1">
      <alignment vertical="center"/>
    </xf>
    <xf numFmtId="186" fontId="45" fillId="20" borderId="0" xfId="21" applyNumberFormat="1" applyFont="1" applyFill="1" applyAlignment="1">
      <alignment horizontal="center" vertical="center"/>
    </xf>
    <xf numFmtId="186" fontId="45" fillId="20" borderId="0" xfId="21" applyNumberFormat="1" applyFont="1" applyFill="1" applyAlignment="1">
      <alignment vertical="center"/>
    </xf>
    <xf numFmtId="188" fontId="45" fillId="20" borderId="0" xfId="21" applyNumberFormat="1" applyFont="1" applyFill="1" applyAlignment="1">
      <alignment vertical="center"/>
    </xf>
    <xf numFmtId="186" fontId="45" fillId="0" borderId="0" xfId="21" applyNumberFormat="1" applyFont="1" applyAlignment="1">
      <alignment horizontal="left" vertical="center"/>
    </xf>
    <xf numFmtId="189" fontId="45" fillId="0" borderId="0" xfId="21" applyNumberFormat="1" applyFont="1" applyAlignment="1">
      <alignment vertical="center"/>
    </xf>
    <xf numFmtId="187" fontId="153" fillId="0" borderId="78" xfId="21" applyNumberFormat="1" applyFont="1" applyBorder="1" applyAlignment="1">
      <alignment vertical="center"/>
    </xf>
    <xf numFmtId="186" fontId="153" fillId="21" borderId="0" xfId="21" applyNumberFormat="1" applyFont="1" applyFill="1" applyAlignment="1">
      <alignment vertical="center"/>
    </xf>
    <xf numFmtId="186" fontId="45" fillId="8" borderId="0" xfId="21" applyNumberFormat="1" applyFont="1" applyFill="1" applyAlignment="1">
      <alignment vertical="center"/>
    </xf>
    <xf numFmtId="186" fontId="153" fillId="0" borderId="78" xfId="21" applyNumberFormat="1" applyFont="1" applyBorder="1" applyAlignment="1">
      <alignment vertical="center"/>
    </xf>
    <xf numFmtId="186" fontId="45" fillId="0" borderId="78" xfId="21" applyNumberFormat="1" applyFont="1" applyBorder="1" applyAlignment="1">
      <alignment horizontal="center" vertical="center"/>
    </xf>
    <xf numFmtId="185" fontId="45" fillId="0" borderId="0" xfId="21" applyNumberFormat="1" applyFont="1" applyAlignment="1">
      <alignment vertical="center"/>
    </xf>
    <xf numFmtId="187" fontId="154" fillId="0" borderId="0" xfId="21" applyNumberFormat="1" applyFont="1" applyAlignment="1">
      <alignment vertical="center"/>
    </xf>
    <xf numFmtId="186" fontId="154" fillId="0" borderId="0" xfId="21" applyNumberFormat="1" applyFont="1" applyAlignment="1">
      <alignment vertical="center"/>
    </xf>
    <xf numFmtId="186" fontId="45" fillId="0" borderId="0" xfId="21" applyNumberFormat="1" applyFont="1" applyAlignment="1">
      <alignment horizontal="fill" vertical="center"/>
    </xf>
    <xf numFmtId="37" fontId="147" fillId="0" borderId="78" xfId="21" applyBorder="1" applyAlignment="1">
      <alignment vertical="center"/>
    </xf>
    <xf numFmtId="37" fontId="147" fillId="0" borderId="0" xfId="21" applyAlignment="1">
      <alignment horizontal="left"/>
    </xf>
    <xf numFmtId="37" fontId="45" fillId="0" borderId="0" xfId="21" quotePrefix="1" applyFont="1" applyAlignment="1">
      <alignment horizontal="left" vertical="center"/>
    </xf>
    <xf numFmtId="37" fontId="45" fillId="0" borderId="0" xfId="21" applyFont="1" applyAlignment="1">
      <alignment horizontal="left"/>
    </xf>
    <xf numFmtId="186" fontId="45" fillId="0" borderId="0" xfId="21" applyNumberFormat="1" applyFont="1"/>
    <xf numFmtId="186" fontId="45" fillId="0" borderId="0" xfId="21" applyNumberFormat="1" applyFont="1" applyAlignment="1">
      <alignment horizontal="center"/>
    </xf>
    <xf numFmtId="37" fontId="146" fillId="0" borderId="0" xfId="21" applyFont="1" applyAlignment="1">
      <alignment horizontal="left"/>
    </xf>
    <xf numFmtId="169" fontId="11" fillId="0" borderId="0" xfId="21" applyNumberFormat="1" applyFont="1" applyAlignment="1">
      <alignment horizontal="left"/>
    </xf>
    <xf numFmtId="1" fontId="11" fillId="0" borderId="0" xfId="21" applyNumberFormat="1" applyFont="1" applyAlignment="1">
      <alignment horizontal="left"/>
    </xf>
    <xf numFmtId="37" fontId="11" fillId="0" borderId="0" xfId="21" applyFont="1" applyAlignment="1">
      <alignment horizontal="left"/>
    </xf>
    <xf numFmtId="169" fontId="147" fillId="0" borderId="0" xfId="21" applyNumberFormat="1" applyAlignment="1">
      <alignment horizontal="left"/>
    </xf>
    <xf numFmtId="1" fontId="147" fillId="0" borderId="0" xfId="21" applyNumberFormat="1" applyAlignment="1">
      <alignment horizontal="left"/>
    </xf>
    <xf numFmtId="37" fontId="147" fillId="0" borderId="0" xfId="21" applyProtection="1">
      <protection locked="0"/>
    </xf>
    <xf numFmtId="169" fontId="147" fillId="0" borderId="0" xfId="21" applyNumberFormat="1" applyProtection="1">
      <protection locked="0"/>
    </xf>
    <xf numFmtId="1" fontId="147" fillId="0" borderId="0" xfId="21" applyNumberFormat="1" applyProtection="1">
      <protection locked="0"/>
    </xf>
    <xf numFmtId="37" fontId="147" fillId="0" borderId="0" xfId="21" applyAlignment="1" applyProtection="1">
      <alignment horizontal="center"/>
      <protection locked="0"/>
    </xf>
    <xf numFmtId="37" fontId="13" fillId="0" borderId="0" xfId="21" applyFont="1" applyAlignment="1">
      <alignment vertical="center"/>
    </xf>
    <xf numFmtId="185" fontId="45" fillId="0" borderId="0" xfId="21" applyNumberFormat="1" applyFont="1" applyAlignment="1">
      <alignment horizontal="center"/>
    </xf>
    <xf numFmtId="37" fontId="45" fillId="0" borderId="0" xfId="21" quotePrefix="1" applyFont="1" applyAlignment="1">
      <alignment horizontal="center"/>
    </xf>
    <xf numFmtId="187" fontId="45" fillId="0" borderId="0" xfId="21" applyNumberFormat="1" applyFont="1"/>
    <xf numFmtId="188" fontId="45" fillId="0" borderId="0" xfId="21" applyNumberFormat="1" applyFont="1" applyFill="1" applyAlignment="1">
      <alignment vertical="center"/>
    </xf>
    <xf numFmtId="186" fontId="45" fillId="0" borderId="0" xfId="21" applyNumberFormat="1" applyFont="1" applyBorder="1" applyAlignment="1">
      <alignment vertical="center"/>
    </xf>
    <xf numFmtId="188" fontId="45" fillId="0" borderId="0" xfId="21" applyNumberFormat="1" applyFont="1" applyBorder="1" applyAlignment="1">
      <alignment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37" fontId="148" fillId="0" borderId="0" xfId="21" applyFont="1" applyAlignment="1">
      <alignment horizontal="center" vertical="center"/>
    </xf>
    <xf numFmtId="37" fontId="151" fillId="0" borderId="0" xfId="21" applyFont="1" applyAlignment="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5" fillId="0" borderId="0" xfId="3" applyFont="1" applyBorder="1" applyAlignment="1" applyProtection="1">
      <alignment horizontal="left" vertical="top" wrapText="1"/>
    </xf>
    <xf numFmtId="0" fontId="62" fillId="0" borderId="147" xfId="3" applyFont="1" applyFill="1" applyBorder="1" applyAlignment="1" applyProtection="1">
      <alignment horizontal="left" vertical="center"/>
      <protection locked="0"/>
    </xf>
    <xf numFmtId="0" fontId="62" fillId="0" borderId="76" xfId="3" applyFont="1" applyFill="1" applyBorder="1" applyAlignment="1" applyProtection="1">
      <alignment horizontal="left" vertical="center"/>
      <protection locked="0"/>
    </xf>
    <xf numFmtId="0" fontId="62" fillId="0" borderId="148" xfId="3" applyFont="1" applyFill="1" applyBorder="1" applyAlignment="1" applyProtection="1">
      <alignment horizontal="left" vertical="center"/>
      <protection locked="0"/>
    </xf>
    <xf numFmtId="38" fontId="62" fillId="0" borderId="77" xfId="3" applyNumberFormat="1" applyFont="1" applyFill="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5"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147" xfId="3" applyNumberFormat="1" applyFont="1" applyFill="1" applyBorder="1" applyAlignment="1" applyProtection="1">
      <alignment horizontal="right" vertical="center"/>
      <protection locked="0"/>
    </xf>
    <xf numFmtId="38" fontId="62" fillId="0" borderId="76" xfId="3" applyNumberFormat="1" applyFont="1" applyFill="1" applyBorder="1" applyAlignment="1" applyProtection="1">
      <alignment horizontal="right" vertical="center"/>
      <protection locked="0"/>
    </xf>
    <xf numFmtId="38" fontId="62" fillId="0" borderId="148" xfId="3" applyNumberFormat="1" applyFont="1" applyFill="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Fill="1" applyBorder="1" applyProtection="1">
      <protection locked="0"/>
    </xf>
    <xf numFmtId="6" fontId="62" fillId="0" borderId="148" xfId="3" applyNumberFormat="1" applyFont="1" applyFill="1" applyBorder="1" applyProtection="1">
      <protection locked="0"/>
    </xf>
    <xf numFmtId="170" fontId="57" fillId="0" borderId="9" xfId="3" applyNumberFormat="1" applyFont="1" applyBorder="1" applyAlignment="1" applyProtection="1">
      <alignment horizontal="center"/>
      <protection locked="0"/>
    </xf>
    <xf numFmtId="38" fontId="62" fillId="0" borderId="77"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Font="1" applyBorder="1" applyAlignment="1" applyProtection="1">
      <alignment horizont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24">
    <cellStyle name="Comma" xfId="1" builtinId="3"/>
    <cellStyle name="Comma 2" xfId="22" xr:uid="{26C08476-81C2-41A3-99B8-BDCD8BEED99B}"/>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BF36E083-7216-4018-9BBD-2F53EEE4CFAC}"/>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 name="Percent 2" xfId="23" xr:uid="{09383F84-E4D2-45D4-982D-A905F7CCE06C}"/>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0</xdr:colOff>
      <xdr:row>29</xdr:row>
      <xdr:rowOff>0</xdr:rowOff>
    </xdr:from>
    <xdr:to>
      <xdr:col>4</xdr:col>
      <xdr:colOff>85725</xdr:colOff>
      <xdr:row>30</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699260" y="8389620"/>
          <a:ext cx="85725"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29</xdr:row>
      <xdr:rowOff>0</xdr:rowOff>
    </xdr:from>
    <xdr:to>
      <xdr:col>3</xdr:col>
      <xdr:colOff>0</xdr:colOff>
      <xdr:row>29</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325880" y="838962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82550</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29</xdr:row>
      <xdr:rowOff>0</xdr:rowOff>
    </xdr:from>
    <xdr:to>
      <xdr:col>4</xdr:col>
      <xdr:colOff>85725</xdr:colOff>
      <xdr:row>30</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29</xdr:row>
      <xdr:rowOff>0</xdr:rowOff>
    </xdr:from>
    <xdr:to>
      <xdr:col>3</xdr:col>
      <xdr:colOff>0</xdr:colOff>
      <xdr:row>29</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231">
        <f>+'AFR20'!E4</f>
        <v>44119</v>
      </c>
      <c r="C1" s="2231"/>
      <c r="D1" s="2232"/>
      <c r="I1" s="2190" t="s">
        <v>402</v>
      </c>
      <c r="J1" s="2191"/>
      <c r="K1" s="2191"/>
      <c r="L1" s="2191"/>
      <c r="M1" s="2191"/>
      <c r="N1" s="2191"/>
      <c r="O1" s="2191"/>
      <c r="P1" s="2191"/>
      <c r="Q1" s="2191"/>
      <c r="R1" s="2191"/>
      <c r="S1" s="2191"/>
    </row>
    <row r="2" spans="1:32" ht="12" customHeight="1" x14ac:dyDescent="0.2">
      <c r="A2" s="1831" t="str">
        <f>"Due to ISBE on "</f>
        <v xml:space="preserve">Due to ISBE on </v>
      </c>
      <c r="B2" s="2233">
        <f>+'AFR20'!F4</f>
        <v>44151</v>
      </c>
      <c r="C2" s="2233"/>
      <c r="D2" s="2234"/>
      <c r="I2" s="2192" t="s">
        <v>1998</v>
      </c>
      <c r="J2" s="2191"/>
      <c r="K2" s="2191"/>
      <c r="L2" s="2191"/>
      <c r="M2" s="2191"/>
      <c r="N2" s="2191"/>
      <c r="O2" s="2191"/>
      <c r="P2" s="2191"/>
      <c r="Q2" s="2191"/>
      <c r="R2" s="2191"/>
      <c r="S2" s="2191"/>
    </row>
    <row r="3" spans="1:32" ht="12" customHeight="1" x14ac:dyDescent="0.2">
      <c r="A3" s="1834" t="str">
        <f>"SD/JA"&amp;MID('AFR20'!E2,3,2)</f>
        <v>SD/JA20</v>
      </c>
      <c r="B3" s="151"/>
      <c r="C3" s="151"/>
      <c r="D3" s="152"/>
      <c r="I3" s="2192" t="s">
        <v>52</v>
      </c>
      <c r="J3" s="2191"/>
      <c r="K3" s="2191"/>
      <c r="L3" s="2191"/>
      <c r="M3" s="2191"/>
      <c r="N3" s="2191"/>
      <c r="O3" s="2191"/>
      <c r="P3" s="2191"/>
      <c r="Q3" s="2191"/>
      <c r="R3" s="2191"/>
      <c r="S3" s="2191"/>
    </row>
    <row r="4" spans="1:32" ht="12" customHeight="1" x14ac:dyDescent="0.2">
      <c r="A4" s="37"/>
      <c r="I4" s="2192" t="s">
        <v>521</v>
      </c>
      <c r="J4" s="2191"/>
      <c r="K4" s="2191"/>
      <c r="L4" s="2191"/>
      <c r="M4" s="2191"/>
      <c r="N4" s="2191"/>
      <c r="O4" s="2191"/>
      <c r="P4" s="2191"/>
      <c r="Q4" s="2191"/>
      <c r="R4" s="2191"/>
      <c r="S4" s="2191"/>
    </row>
    <row r="5" spans="1:32" ht="14.1" customHeight="1" x14ac:dyDescent="0.2">
      <c r="B5" s="101" t="s">
        <v>2046</v>
      </c>
      <c r="C5" s="26" t="s">
        <v>904</v>
      </c>
      <c r="D5" s="81"/>
      <c r="E5" s="81"/>
      <c r="H5" s="38"/>
      <c r="I5" s="2200" t="s">
        <v>675</v>
      </c>
      <c r="J5" s="2199"/>
      <c r="K5" s="2199"/>
      <c r="L5" s="2199"/>
      <c r="M5" s="2199"/>
      <c r="N5" s="2199"/>
      <c r="O5" s="2199"/>
      <c r="P5" s="2199"/>
      <c r="Q5" s="2199"/>
      <c r="R5" s="2199"/>
      <c r="S5" s="2199"/>
      <c r="AF5" s="1827"/>
    </row>
    <row r="6" spans="1:32" ht="14.1" customHeight="1" x14ac:dyDescent="0.2">
      <c r="B6" s="101"/>
      <c r="C6" s="26" t="s">
        <v>905</v>
      </c>
      <c r="D6" s="81"/>
      <c r="E6" s="81"/>
      <c r="I6" s="2198" t="s">
        <v>877</v>
      </c>
      <c r="J6" s="2199"/>
      <c r="K6" s="2199"/>
      <c r="L6" s="2199"/>
      <c r="M6" s="2199"/>
      <c r="N6" s="2199"/>
      <c r="O6" s="2199"/>
      <c r="P6" s="2199"/>
      <c r="Q6" s="2199"/>
      <c r="R6" s="2199"/>
      <c r="S6" s="2199"/>
    </row>
    <row r="7" spans="1:32" ht="12.2" customHeight="1" x14ac:dyDescent="0.2">
      <c r="I7" s="2193" t="str">
        <f>"June 30, "&amp;'AFR20'!E2</f>
        <v>June 30, 2020</v>
      </c>
      <c r="J7" s="2194"/>
      <c r="K7" s="2194"/>
      <c r="L7" s="2194"/>
      <c r="M7" s="2194"/>
      <c r="N7" s="2194"/>
      <c r="O7" s="2194"/>
      <c r="P7" s="2194"/>
      <c r="Q7" s="2194"/>
      <c r="R7" s="2194"/>
      <c r="S7" s="219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5" t="s">
        <v>669</v>
      </c>
      <c r="J9" s="2196"/>
      <c r="K9" s="2196"/>
      <c r="L9" s="2196"/>
      <c r="M9" s="2196"/>
      <c r="N9" s="2196"/>
      <c r="O9" s="2196"/>
      <c r="P9" s="2196"/>
      <c r="Q9" s="2196"/>
      <c r="R9" s="2196"/>
      <c r="S9" s="2197"/>
      <c r="T9" s="2248" t="s">
        <v>530</v>
      </c>
      <c r="U9" s="2249"/>
      <c r="V9" s="2249"/>
      <c r="W9" s="2249"/>
      <c r="X9" s="2249"/>
      <c r="Y9" s="2249"/>
      <c r="Z9" s="2249"/>
      <c r="AA9" s="2250"/>
    </row>
    <row r="10" spans="1:32" ht="13.5" customHeight="1" x14ac:dyDescent="0.2">
      <c r="A10" s="2255" t="s">
        <v>670</v>
      </c>
      <c r="B10" s="2256"/>
      <c r="C10" s="2256"/>
      <c r="D10" s="2256"/>
      <c r="E10" s="2256"/>
      <c r="F10" s="2256"/>
      <c r="G10" s="2256"/>
      <c r="H10" s="2257"/>
      <c r="I10" s="29"/>
      <c r="J10" s="30"/>
      <c r="K10" s="28"/>
      <c r="R10" s="30"/>
      <c r="S10" s="30"/>
      <c r="T10" s="2251"/>
      <c r="U10" s="2199"/>
      <c r="V10" s="2199"/>
      <c r="W10" s="2199"/>
      <c r="X10" s="2199"/>
      <c r="Y10" s="2199"/>
      <c r="Z10" s="2199"/>
      <c r="AA10" s="2205"/>
    </row>
    <row r="11" spans="1:32" ht="14.25" customHeight="1" x14ac:dyDescent="0.2">
      <c r="A11" s="2258" t="s">
        <v>949</v>
      </c>
      <c r="B11" s="2259"/>
      <c r="C11" s="2259"/>
      <c r="D11" s="2259"/>
      <c r="E11" s="2259"/>
      <c r="F11" s="2259"/>
      <c r="G11" s="2259"/>
      <c r="H11" s="2260"/>
      <c r="I11" s="27"/>
      <c r="J11" s="71"/>
      <c r="K11" s="27"/>
      <c r="O11" s="144" t="s">
        <v>2046</v>
      </c>
      <c r="P11" s="97" t="s">
        <v>199</v>
      </c>
      <c r="Q11" s="30"/>
      <c r="R11" s="28"/>
      <c r="S11" s="27"/>
      <c r="T11" s="2252"/>
      <c r="U11" s="2253"/>
      <c r="V11" s="2253"/>
      <c r="W11" s="2253"/>
      <c r="X11" s="2253"/>
      <c r="Y11" s="2253"/>
      <c r="Z11" s="2253"/>
      <c r="AA11" s="225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211">
        <v>28037229026</v>
      </c>
      <c r="B13" s="2212"/>
      <c r="C13" s="2212"/>
      <c r="D13" s="2212"/>
      <c r="E13" s="2212"/>
      <c r="F13" s="2212"/>
      <c r="G13" s="2212"/>
      <c r="H13" s="2213"/>
      <c r="I13" s="31"/>
      <c r="J13" s="30"/>
      <c r="K13" s="28"/>
      <c r="L13" s="30"/>
      <c r="M13" s="30"/>
      <c r="N13" s="30"/>
      <c r="O13" s="30"/>
      <c r="P13" s="30"/>
      <c r="Q13" s="30"/>
      <c r="R13" s="30"/>
      <c r="S13" s="30"/>
      <c r="T13" s="2217" t="s">
        <v>2047</v>
      </c>
      <c r="U13" s="2218"/>
      <c r="V13" s="2218"/>
      <c r="W13" s="2218"/>
      <c r="X13" s="2218"/>
      <c r="Y13" s="2219"/>
      <c r="Z13" s="2219"/>
      <c r="AA13" s="222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214" t="s">
        <v>2056</v>
      </c>
      <c r="B15" s="2215"/>
      <c r="C15" s="2215"/>
      <c r="D15" s="2215"/>
      <c r="E15" s="2215"/>
      <c r="F15" s="2215"/>
      <c r="G15" s="2215"/>
      <c r="H15" s="2216"/>
      <c r="T15" s="2221" t="s">
        <v>2064</v>
      </c>
      <c r="U15" s="2178"/>
      <c r="V15" s="2178"/>
      <c r="W15" s="2178"/>
      <c r="X15" s="2178"/>
      <c r="Y15" s="2222"/>
      <c r="Z15" s="2222"/>
      <c r="AA15" s="222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84" t="s">
        <v>2287</v>
      </c>
      <c r="B17" s="2185"/>
      <c r="C17" s="2185"/>
      <c r="D17" s="2185"/>
      <c r="E17" s="2185"/>
      <c r="F17" s="2185"/>
      <c r="G17" s="2185"/>
      <c r="H17" s="2210"/>
      <c r="T17" s="2228" t="s">
        <v>2048</v>
      </c>
      <c r="U17" s="2229"/>
      <c r="V17" s="2229"/>
      <c r="W17" s="2229"/>
      <c r="X17" s="2229"/>
      <c r="Y17" s="2229"/>
      <c r="Z17" s="2229"/>
      <c r="AA17" s="2230"/>
    </row>
    <row r="18" spans="1:27" ht="13.5" customHeight="1" x14ac:dyDescent="0.2">
      <c r="A18" s="82" t="s">
        <v>527</v>
      </c>
      <c r="B18" s="73"/>
      <c r="C18" s="69"/>
      <c r="D18" s="73"/>
      <c r="E18" s="73"/>
      <c r="F18" s="73"/>
      <c r="G18" s="73"/>
      <c r="H18" s="53"/>
      <c r="I18" s="2209" t="s">
        <v>671</v>
      </c>
      <c r="J18" s="2160"/>
      <c r="K18" s="2160"/>
      <c r="L18" s="2160"/>
      <c r="M18" s="2160"/>
      <c r="N18" s="2160"/>
      <c r="O18" s="2160"/>
      <c r="P18" s="2160"/>
      <c r="Q18" s="2160"/>
      <c r="R18" s="2160"/>
      <c r="S18" s="2161"/>
      <c r="T18" s="82" t="s">
        <v>706</v>
      </c>
      <c r="U18" s="48"/>
      <c r="V18" s="69"/>
      <c r="W18" s="47"/>
      <c r="X18" s="82" t="s">
        <v>264</v>
      </c>
      <c r="Y18" s="78"/>
      <c r="Z18" s="154" t="s">
        <v>672</v>
      </c>
      <c r="AA18" s="44"/>
    </row>
    <row r="19" spans="1:27" ht="13.5" customHeight="1" x14ac:dyDescent="0.2">
      <c r="A19" s="2214" t="s">
        <v>2058</v>
      </c>
      <c r="B19" s="2170"/>
      <c r="C19" s="2170"/>
      <c r="D19" s="2170"/>
      <c r="E19" s="2170"/>
      <c r="F19" s="2170"/>
      <c r="G19" s="2170"/>
      <c r="H19" s="2150"/>
      <c r="I19" s="30"/>
      <c r="J19" s="96"/>
      <c r="K19" s="40"/>
      <c r="L19" s="38"/>
      <c r="M19" s="109" t="s">
        <v>312</v>
      </c>
      <c r="P19" s="27"/>
      <c r="Q19" s="27"/>
      <c r="R19" s="27"/>
      <c r="S19" s="31"/>
      <c r="T19" s="2214" t="s">
        <v>2049</v>
      </c>
      <c r="U19" s="2149"/>
      <c r="V19" s="2149"/>
      <c r="W19" s="2150"/>
      <c r="X19" s="2226" t="s">
        <v>2050</v>
      </c>
      <c r="Y19" s="2227"/>
      <c r="Z19" s="2224">
        <v>61614</v>
      </c>
      <c r="AA19" s="222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48" t="s">
        <v>2059</v>
      </c>
      <c r="B21" s="2149"/>
      <c r="C21" s="2149"/>
      <c r="D21" s="2149"/>
      <c r="E21" s="2149"/>
      <c r="F21" s="2149"/>
      <c r="G21" s="2149"/>
      <c r="H21" s="2150"/>
      <c r="I21" s="2204" t="s">
        <v>673</v>
      </c>
      <c r="J21" s="2199"/>
      <c r="K21" s="2199"/>
      <c r="L21" s="2199"/>
      <c r="M21" s="2199"/>
      <c r="N21" s="2199"/>
      <c r="O21" s="2199"/>
      <c r="P21" s="2199"/>
      <c r="Q21" s="2199"/>
      <c r="R21" s="2199"/>
      <c r="S21" s="2205"/>
      <c r="T21" s="2239" t="s">
        <v>2051</v>
      </c>
      <c r="U21" s="2240"/>
      <c r="V21" s="2240"/>
      <c r="W21" s="2240"/>
      <c r="X21" s="2245" t="s">
        <v>2052</v>
      </c>
      <c r="Y21" s="2246"/>
      <c r="Z21" s="2246"/>
      <c r="AA21" s="2247"/>
    </row>
    <row r="22" spans="1:27" ht="13.5" customHeight="1" x14ac:dyDescent="0.2">
      <c r="A22" s="84" t="s">
        <v>528</v>
      </c>
      <c r="B22" s="56"/>
      <c r="C22" s="56"/>
      <c r="D22" s="56"/>
      <c r="E22" s="56"/>
      <c r="F22" s="56"/>
      <c r="G22" s="56"/>
      <c r="H22" s="57"/>
      <c r="I22" s="2206" t="s">
        <v>1412</v>
      </c>
      <c r="J22" s="2207"/>
      <c r="K22" s="2207"/>
      <c r="L22" s="2207"/>
      <c r="M22" s="2207"/>
      <c r="N22" s="2207"/>
      <c r="O22" s="2207"/>
      <c r="P22" s="2207"/>
      <c r="Q22" s="2207"/>
      <c r="R22" s="2207"/>
      <c r="S22" s="2208"/>
      <c r="T22" s="82" t="s">
        <v>1499</v>
      </c>
      <c r="U22" s="48"/>
      <c r="V22" s="69"/>
      <c r="W22" s="48"/>
      <c r="X22" s="155" t="s">
        <v>1307</v>
      </c>
      <c r="Z22" s="43"/>
      <c r="AA22" s="44"/>
    </row>
    <row r="23" spans="1:27" ht="13.5" customHeight="1" x14ac:dyDescent="0.2">
      <c r="A23" s="2201" t="s">
        <v>2060</v>
      </c>
      <c r="B23" s="2202"/>
      <c r="C23" s="2202"/>
      <c r="D23" s="2202"/>
      <c r="E23" s="2202"/>
      <c r="F23" s="2202"/>
      <c r="G23" s="2202"/>
      <c r="H23" s="2203"/>
      <c r="T23" s="2184" t="s">
        <v>2053</v>
      </c>
      <c r="U23" s="2238"/>
      <c r="V23" s="2238"/>
      <c r="W23" s="2238"/>
      <c r="X23" s="2242">
        <v>44501</v>
      </c>
      <c r="Y23" s="2243"/>
      <c r="Z23" s="2243"/>
      <c r="AA23" s="2244"/>
    </row>
    <row r="24" spans="1:27" ht="14.1" customHeight="1" x14ac:dyDescent="0.2">
      <c r="A24" s="85" t="s">
        <v>672</v>
      </c>
      <c r="B24" s="46"/>
      <c r="C24" s="46"/>
      <c r="D24" s="46"/>
      <c r="E24" s="46"/>
      <c r="F24" s="46"/>
      <c r="G24" s="46"/>
      <c r="H24" s="58"/>
      <c r="J24" s="2171">
        <f>IF(B5="x",IF(AUDITCHECK!D29="AFR form Incomplete.","",IF(AUDITCHECK!D29="Deficit reduction plan is required.","School District must complete a deficit reduction plan in the 2020-2021 Budget",)),"")</f>
        <v>0</v>
      </c>
      <c r="K24" s="2171"/>
      <c r="L24" s="2171"/>
      <c r="M24" s="2171"/>
      <c r="N24" s="2171"/>
      <c r="O24" s="2171"/>
      <c r="P24" s="2171"/>
      <c r="Q24" s="2171"/>
      <c r="R24" s="2171"/>
      <c r="S24" s="2172"/>
      <c r="T24" s="102" t="s">
        <v>528</v>
      </c>
      <c r="U24" s="103"/>
      <c r="V24" s="103"/>
      <c r="W24" s="103"/>
      <c r="X24" s="104"/>
      <c r="Y24" s="104"/>
      <c r="Z24" s="104"/>
      <c r="AA24" s="105"/>
    </row>
    <row r="25" spans="1:27" ht="14.1" customHeight="1" x14ac:dyDescent="0.2">
      <c r="A25" s="2148">
        <v>61443</v>
      </c>
      <c r="B25" s="2149"/>
      <c r="C25" s="2149"/>
      <c r="D25" s="2149"/>
      <c r="E25" s="2149"/>
      <c r="F25" s="2149"/>
      <c r="G25" s="2149"/>
      <c r="H25" s="2150"/>
      <c r="I25" s="110"/>
      <c r="J25" s="2173"/>
      <c r="K25" s="2173"/>
      <c r="L25" s="2173"/>
      <c r="M25" s="2173"/>
      <c r="N25" s="2173"/>
      <c r="O25" s="2173"/>
      <c r="P25" s="2173"/>
      <c r="Q25" s="2173"/>
      <c r="R25" s="2173"/>
      <c r="S25" s="2174"/>
      <c r="T25" s="2235" t="s">
        <v>2065</v>
      </c>
      <c r="U25" s="2236"/>
      <c r="V25" s="2236"/>
      <c r="W25" s="2236"/>
      <c r="X25" s="2236"/>
      <c r="Y25" s="2236"/>
      <c r="Z25" s="2236"/>
      <c r="AA25" s="223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59" t="s">
        <v>1494</v>
      </c>
      <c r="J27" s="2160"/>
      <c r="K27" s="2160"/>
      <c r="L27" s="2160"/>
      <c r="M27" s="2160"/>
      <c r="N27" s="2160"/>
      <c r="O27" s="2160"/>
      <c r="P27" s="2160"/>
      <c r="Q27" s="2160"/>
      <c r="R27" s="2160"/>
      <c r="S27" s="216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2046</v>
      </c>
      <c r="F29" s="137" t="s">
        <v>1305</v>
      </c>
      <c r="G29" s="111"/>
      <c r="I29" s="51"/>
      <c r="J29" s="144" t="s">
        <v>2046</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2046</v>
      </c>
      <c r="C30" s="121" t="s">
        <v>1154</v>
      </c>
      <c r="D30" s="28"/>
      <c r="E30" s="28"/>
      <c r="F30" s="136"/>
      <c r="G30" s="111"/>
      <c r="H30" s="111"/>
      <c r="I30" s="51"/>
      <c r="J30" s="144" t="s">
        <v>2046</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2046</v>
      </c>
      <c r="K31" s="40" t="s">
        <v>879</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70"/>
      <c r="Q35" s="2149"/>
      <c r="R35" s="214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84" t="s">
        <v>2061</v>
      </c>
      <c r="B38" s="2185"/>
      <c r="C38" s="2185"/>
      <c r="D38" s="2185"/>
      <c r="E38" s="2185"/>
      <c r="F38" s="2149"/>
      <c r="G38" s="2149"/>
      <c r="H38" s="2150"/>
      <c r="I38" s="2177"/>
      <c r="J38" s="2178"/>
      <c r="K38" s="2178"/>
      <c r="L38" s="2178"/>
      <c r="M38" s="2178"/>
      <c r="N38" s="2178"/>
      <c r="O38" s="2178"/>
      <c r="P38" s="2179"/>
      <c r="Q38" s="2179"/>
      <c r="R38" s="2179"/>
      <c r="S38" s="2180"/>
      <c r="T38" s="2221"/>
      <c r="U38" s="2178"/>
      <c r="V38" s="2178"/>
      <c r="W38" s="2178"/>
      <c r="X38" s="2179"/>
      <c r="Y38" s="2179"/>
      <c r="Z38" s="2179"/>
      <c r="AA38" s="2180"/>
    </row>
    <row r="39" spans="1:27" ht="12" customHeight="1" x14ac:dyDescent="0.2">
      <c r="A39" s="2154" t="s">
        <v>528</v>
      </c>
      <c r="B39" s="2155"/>
      <c r="C39" s="69"/>
      <c r="D39" s="66"/>
      <c r="E39" s="66"/>
      <c r="F39" s="76"/>
      <c r="G39" s="66"/>
      <c r="H39" s="53"/>
      <c r="I39" s="2154" t="s">
        <v>528</v>
      </c>
      <c r="J39" s="2155"/>
      <c r="K39" s="2155"/>
      <c r="L39" s="2155"/>
      <c r="M39" s="2155"/>
      <c r="N39" s="64"/>
      <c r="O39" s="69"/>
      <c r="P39" s="69"/>
      <c r="Q39" s="75"/>
      <c r="R39" s="69"/>
      <c r="S39" s="53"/>
      <c r="T39" s="69" t="s">
        <v>528</v>
      </c>
      <c r="U39" s="48"/>
      <c r="V39" s="69"/>
      <c r="W39" s="47"/>
      <c r="X39" s="75"/>
      <c r="Y39" s="43"/>
      <c r="Z39" s="43"/>
      <c r="AA39" s="44"/>
    </row>
    <row r="40" spans="1:27" ht="13.5" customHeight="1" x14ac:dyDescent="0.2">
      <c r="A40" s="2162" t="s">
        <v>2060</v>
      </c>
      <c r="B40" s="2163"/>
      <c r="C40" s="2164"/>
      <c r="D40" s="2164"/>
      <c r="E40" s="2164"/>
      <c r="F40" s="2165"/>
      <c r="G40" s="2165"/>
      <c r="H40" s="2166"/>
      <c r="I40" s="2187"/>
      <c r="J40" s="2188"/>
      <c r="K40" s="2188"/>
      <c r="L40" s="2188"/>
      <c r="M40" s="2188"/>
      <c r="N40" s="2188"/>
      <c r="O40" s="2188"/>
      <c r="P40" s="2188"/>
      <c r="Q40" s="2188"/>
      <c r="R40" s="2188"/>
      <c r="S40" s="2189"/>
      <c r="T40" s="2187"/>
      <c r="U40" s="2241"/>
      <c r="V40" s="2188"/>
      <c r="W40" s="2188"/>
      <c r="X40" s="2188"/>
      <c r="Y40" s="2188"/>
      <c r="Z40" s="2188"/>
      <c r="AA40" s="218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76" t="s">
        <v>2062</v>
      </c>
      <c r="B42" s="2168"/>
      <c r="C42" s="2169"/>
      <c r="D42" s="2167" t="s">
        <v>2063</v>
      </c>
      <c r="E42" s="2168"/>
      <c r="F42" s="2168"/>
      <c r="G42" s="2168"/>
      <c r="H42" s="2169"/>
      <c r="I42" s="2151"/>
      <c r="J42" s="2152"/>
      <c r="K42" s="2152"/>
      <c r="L42" s="2152"/>
      <c r="M42" s="2152"/>
      <c r="N42" s="2152"/>
      <c r="O42" s="2153"/>
      <c r="P42" s="2186"/>
      <c r="Q42" s="2152"/>
      <c r="R42" s="2152"/>
      <c r="S42" s="2153"/>
      <c r="T42" s="2151"/>
      <c r="U42" s="2152"/>
      <c r="V42" s="2152"/>
      <c r="W42" s="2153"/>
      <c r="X42" s="2186"/>
      <c r="Y42" s="2152"/>
      <c r="Z42" s="2152"/>
      <c r="AA42" s="215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81"/>
      <c r="B44" s="2182"/>
      <c r="C44" s="2182"/>
      <c r="D44" s="2182"/>
      <c r="E44" s="2182"/>
      <c r="F44" s="2182"/>
      <c r="G44" s="2182"/>
      <c r="H44" s="2183"/>
      <c r="I44" s="2156"/>
      <c r="J44" s="2157"/>
      <c r="K44" s="2157"/>
      <c r="L44" s="2157"/>
      <c r="M44" s="2157"/>
      <c r="N44" s="2157"/>
      <c r="O44" s="2157"/>
      <c r="P44" s="2157"/>
      <c r="Q44" s="2157"/>
      <c r="R44" s="2157"/>
      <c r="S44" s="2158"/>
      <c r="T44" s="2156"/>
      <c r="U44" s="2175"/>
      <c r="V44" s="2175"/>
      <c r="W44" s="2175"/>
      <c r="X44" s="2175"/>
      <c r="Y44" s="2175"/>
      <c r="Z44" s="2157"/>
      <c r="AA44" s="215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1886</v>
      </c>
      <c r="R47" s="41"/>
      <c r="S47" s="41"/>
      <c r="T47" s="41"/>
      <c r="U47" s="41"/>
      <c r="V47" s="41"/>
      <c r="W47" s="41"/>
      <c r="X47" s="41"/>
      <c r="Y47" s="41"/>
      <c r="Z47" s="41"/>
      <c r="AA47" s="41"/>
    </row>
    <row r="48" spans="1:27" x14ac:dyDescent="0.2">
      <c r="Q48" s="41" t="s">
        <v>1887</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99" t="s">
        <v>1774</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400"/>
      <c r="B3" s="1294"/>
      <c r="C3" s="1295"/>
      <c r="D3" s="1296" t="s">
        <v>254</v>
      </c>
      <c r="E3" s="1295"/>
      <c r="F3" s="1296" t="s">
        <v>255</v>
      </c>
    </row>
    <row r="4" spans="1:8" ht="13.7" customHeight="1" x14ac:dyDescent="0.2">
      <c r="A4" s="579" t="s">
        <v>1145</v>
      </c>
      <c r="B4" s="1721">
        <f>'Revenues 9-14'!C5</f>
        <v>1466121</v>
      </c>
      <c r="C4" s="1722">
        <v>642265</v>
      </c>
      <c r="D4" s="1723">
        <f>B4-C4</f>
        <v>823856</v>
      </c>
      <c r="E4" s="1722">
        <v>1513429</v>
      </c>
      <c r="F4" s="1723">
        <f>E4-C4</f>
        <v>871164</v>
      </c>
    </row>
    <row r="5" spans="1:8" ht="13.7" customHeight="1" x14ac:dyDescent="0.2">
      <c r="A5" s="579" t="s">
        <v>865</v>
      </c>
      <c r="B5" s="1724">
        <f>'Revenues 9-14'!D5</f>
        <v>398404</v>
      </c>
      <c r="C5" s="1664">
        <v>174530</v>
      </c>
      <c r="D5" s="1725">
        <f t="shared" ref="D5:D18" si="0">B5-C5</f>
        <v>223874</v>
      </c>
      <c r="E5" s="1664">
        <v>411261</v>
      </c>
      <c r="F5" s="1725">
        <f>E5-C5</f>
        <v>236731</v>
      </c>
    </row>
    <row r="6" spans="1:8" ht="13.7" customHeight="1" x14ac:dyDescent="0.2">
      <c r="A6" s="579" t="s">
        <v>408</v>
      </c>
      <c r="B6" s="1724">
        <f>'Revenues 9-14'!E5</f>
        <v>180519</v>
      </c>
      <c r="C6" s="1664">
        <v>78020</v>
      </c>
      <c r="D6" s="1725">
        <f t="shared" si="0"/>
        <v>102499</v>
      </c>
      <c r="E6" s="1664">
        <v>183846</v>
      </c>
      <c r="F6" s="1725">
        <f t="shared" ref="F6:F18" si="1">E6-C6</f>
        <v>105826</v>
      </c>
    </row>
    <row r="7" spans="1:8" ht="13.7" customHeight="1" x14ac:dyDescent="0.2">
      <c r="A7" s="579" t="s">
        <v>154</v>
      </c>
      <c r="B7" s="1724">
        <f>'Revenues 9-14'!F5</f>
        <v>159375</v>
      </c>
      <c r="C7" s="1664">
        <v>69826</v>
      </c>
      <c r="D7" s="1725">
        <f t="shared" si="0"/>
        <v>89549</v>
      </c>
      <c r="E7" s="1664">
        <v>164537</v>
      </c>
      <c r="F7" s="1725">
        <f t="shared" si="1"/>
        <v>94711</v>
      </c>
    </row>
    <row r="8" spans="1:8" ht="13.7" customHeight="1" x14ac:dyDescent="0.2">
      <c r="A8" s="579" t="s">
        <v>1169</v>
      </c>
      <c r="B8" s="1724">
        <f>'Revenues 9-14'!G5</f>
        <v>312958</v>
      </c>
      <c r="C8" s="1664">
        <v>135835</v>
      </c>
      <c r="D8" s="1725">
        <f t="shared" si="0"/>
        <v>177123</v>
      </c>
      <c r="E8" s="1664">
        <v>320080</v>
      </c>
      <c r="F8" s="1725">
        <f t="shared" si="1"/>
        <v>184245</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39861</v>
      </c>
      <c r="C10" s="1664">
        <v>17474</v>
      </c>
      <c r="D10" s="1725">
        <f t="shared" si="0"/>
        <v>22387</v>
      </c>
      <c r="E10" s="1664">
        <v>41176</v>
      </c>
      <c r="F10" s="1725">
        <f t="shared" si="1"/>
        <v>23702</v>
      </c>
    </row>
    <row r="11" spans="1:8" x14ac:dyDescent="0.2">
      <c r="A11" s="579" t="s">
        <v>406</v>
      </c>
      <c r="B11" s="1724">
        <f>'Revenues 9-14'!J5</f>
        <v>595996</v>
      </c>
      <c r="C11" s="1664">
        <v>258888</v>
      </c>
      <c r="D11" s="1725">
        <f t="shared" si="0"/>
        <v>337108</v>
      </c>
      <c r="E11" s="1664">
        <v>610042</v>
      </c>
      <c r="F11" s="1725">
        <f t="shared" si="1"/>
        <v>351154</v>
      </c>
    </row>
    <row r="12" spans="1:8" ht="13.7" customHeight="1" x14ac:dyDescent="0.2">
      <c r="A12" s="579" t="s">
        <v>156</v>
      </c>
      <c r="B12" s="1724">
        <f>'Revenues 9-14'!K5</f>
        <v>39861</v>
      </c>
      <c r="C12" s="1664">
        <v>17474</v>
      </c>
      <c r="D12" s="1725">
        <f t="shared" si="0"/>
        <v>22387</v>
      </c>
      <c r="E12" s="1664">
        <v>41176</v>
      </c>
      <c r="F12" s="1725">
        <f t="shared" si="1"/>
        <v>23702</v>
      </c>
    </row>
    <row r="13" spans="1:8" ht="13.7" customHeight="1" x14ac:dyDescent="0.2">
      <c r="A13" s="579" t="s">
        <v>930</v>
      </c>
      <c r="B13" s="1724">
        <f>SUM('Revenues 9-14'!C6:D6)</f>
        <v>39861</v>
      </c>
      <c r="C13" s="1664">
        <v>17474</v>
      </c>
      <c r="D13" s="1725">
        <f t="shared" si="0"/>
        <v>22387</v>
      </c>
      <c r="E13" s="1664">
        <v>41176</v>
      </c>
      <c r="F13" s="1725">
        <f t="shared" si="1"/>
        <v>23702</v>
      </c>
    </row>
    <row r="14" spans="1:8" ht="13.7" customHeight="1" x14ac:dyDescent="0.2">
      <c r="A14" s="579" t="s">
        <v>407</v>
      </c>
      <c r="B14" s="1724">
        <f>SUM('Revenues 9-14'!C7:D7,'Revenues 9-14'!F7:H7)</f>
        <v>31882</v>
      </c>
      <c r="C14" s="1664">
        <v>13972</v>
      </c>
      <c r="D14" s="1725">
        <f t="shared" si="0"/>
        <v>17910</v>
      </c>
      <c r="E14" s="1664">
        <v>32924</v>
      </c>
      <c r="F14" s="1725">
        <f t="shared" si="1"/>
        <v>18952</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382675</v>
      </c>
      <c r="C16" s="1664">
        <v>165530</v>
      </c>
      <c r="D16" s="1725">
        <f t="shared" si="0"/>
        <v>217145</v>
      </c>
      <c r="E16" s="1664">
        <v>390054</v>
      </c>
      <c r="F16" s="1725">
        <f t="shared" si="1"/>
        <v>224524</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3647513</v>
      </c>
      <c r="C19" s="1726">
        <f>SUM(C4:C18)</f>
        <v>1591288</v>
      </c>
      <c r="D19" s="1726">
        <f>SUM(D4:D18)</f>
        <v>2056225</v>
      </c>
      <c r="E19" s="1726">
        <f>SUM(E4:E18)</f>
        <v>3749701</v>
      </c>
      <c r="F19" s="1726">
        <f>SUM(F4:F18)</f>
        <v>2158413</v>
      </c>
    </row>
    <row r="20" spans="1:6" ht="13.5" thickTop="1" x14ac:dyDescent="0.2">
      <c r="B20" s="578"/>
      <c r="F20" s="580"/>
    </row>
    <row r="21" spans="1:6" x14ac:dyDescent="0.2">
      <c r="A21" s="581" t="s">
        <v>1780</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21" t="s">
        <v>625</v>
      </c>
      <c r="B1" s="2419"/>
      <c r="C1" s="585"/>
    </row>
    <row r="2" spans="1:7" ht="33.75" x14ac:dyDescent="0.2">
      <c r="A2" s="2426" t="s">
        <v>1774</v>
      </c>
      <c r="B2" s="242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428" t="s">
        <v>1104</v>
      </c>
      <c r="B3" s="2429"/>
      <c r="C3" s="2422"/>
      <c r="D3" s="2423"/>
      <c r="E3" s="2423"/>
      <c r="F3" s="2424"/>
    </row>
    <row r="4" spans="1:7" ht="12.75" customHeight="1" thickBot="1" x14ac:dyDescent="0.25">
      <c r="A4" s="2416" t="s">
        <v>626</v>
      </c>
      <c r="B4" s="2417"/>
      <c r="C4" s="1656"/>
      <c r="D4" s="1656"/>
      <c r="E4" s="1656"/>
      <c r="F4" s="1732">
        <f>SUM(C4+D4)-E4</f>
        <v>0</v>
      </c>
    </row>
    <row r="5" spans="1:7" ht="15.75" customHeight="1" thickTop="1" x14ac:dyDescent="0.2">
      <c r="A5" s="2420" t="s">
        <v>1101</v>
      </c>
      <c r="B5" s="2415"/>
      <c r="C5" s="2409"/>
      <c r="D5" s="2410"/>
      <c r="E5" s="2410"/>
      <c r="F5" s="241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412" t="s">
        <v>627</v>
      </c>
      <c r="B15" s="2413"/>
      <c r="C15" s="1732">
        <f>SUM(C6:C14)</f>
        <v>0</v>
      </c>
      <c r="D15" s="1732">
        <f>SUM(D6:D14)</f>
        <v>0</v>
      </c>
      <c r="E15" s="1732">
        <f>SUM(E6:E14)</f>
        <v>0</v>
      </c>
      <c r="F15" s="1732">
        <f>SUM(F6:F14)</f>
        <v>0</v>
      </c>
      <c r="G15" s="473"/>
    </row>
    <row r="16" spans="1:7" s="197" customFormat="1" ht="15.75" customHeight="1" thickTop="1" x14ac:dyDescent="0.2">
      <c r="A16" s="2425" t="s">
        <v>1102</v>
      </c>
      <c r="B16" s="2415"/>
      <c r="C16" s="2409"/>
      <c r="D16" s="2410"/>
      <c r="E16" s="2410"/>
      <c r="F16" s="2411"/>
    </row>
    <row r="17" spans="1:11" ht="12.75" customHeight="1" thickBot="1" x14ac:dyDescent="0.25">
      <c r="A17" s="2407" t="s">
        <v>64</v>
      </c>
      <c r="B17" s="2408"/>
      <c r="C17" s="1733"/>
      <c r="D17" s="1664"/>
      <c r="E17" s="1733"/>
      <c r="F17" s="1732">
        <f>SUM(C17+D17)-E17</f>
        <v>0</v>
      </c>
    </row>
    <row r="18" spans="1:11" ht="12.75" customHeight="1" thickTop="1" thickBot="1" x14ac:dyDescent="0.25">
      <c r="A18" s="2407" t="s">
        <v>6</v>
      </c>
      <c r="B18" s="2408"/>
      <c r="C18" s="1733"/>
      <c r="D18" s="1664"/>
      <c r="E18" s="1733"/>
      <c r="F18" s="1732">
        <f>SUM(C18+D18)-E18</f>
        <v>0</v>
      </c>
    </row>
    <row r="19" spans="1:11" ht="12.75" customHeight="1" thickTop="1" thickBot="1" x14ac:dyDescent="0.25">
      <c r="A19" s="2407" t="s">
        <v>385</v>
      </c>
      <c r="B19" s="2408"/>
      <c r="C19" s="1733"/>
      <c r="D19" s="1664"/>
      <c r="E19" s="1733"/>
      <c r="F19" s="1732">
        <f>SUM(C19+D19)-E19</f>
        <v>0</v>
      </c>
    </row>
    <row r="20" spans="1:11" ht="12.75" customHeight="1" thickTop="1" thickBot="1" x14ac:dyDescent="0.25">
      <c r="A20" s="2407" t="s">
        <v>445</v>
      </c>
      <c r="B20" s="2408"/>
      <c r="C20" s="1733"/>
      <c r="D20" s="1664"/>
      <c r="E20" s="1733"/>
      <c r="F20" s="1732">
        <f>SUM(C20+D20)-E20</f>
        <v>0</v>
      </c>
    </row>
    <row r="21" spans="1:11" ht="14.25" thickTop="1" thickBot="1" x14ac:dyDescent="0.25">
      <c r="A21" s="2412" t="s">
        <v>628</v>
      </c>
      <c r="B21" s="2413"/>
      <c r="C21" s="1732">
        <f>SUM(C17:C20)</f>
        <v>0</v>
      </c>
      <c r="D21" s="1732">
        <f>SUM(D17:D20)</f>
        <v>0</v>
      </c>
      <c r="E21" s="1732">
        <f>SUM(E17:E20)</f>
        <v>0</v>
      </c>
      <c r="F21" s="1732">
        <f>SUM(F17:F20)</f>
        <v>0</v>
      </c>
      <c r="G21" s="473"/>
    </row>
    <row r="22" spans="1:11" ht="15.75" customHeight="1" thickTop="1" x14ac:dyDescent="0.2">
      <c r="A22" s="2414" t="s">
        <v>1103</v>
      </c>
      <c r="B22" s="2415"/>
      <c r="C22" s="2409"/>
      <c r="D22" s="2410"/>
      <c r="E22" s="2410"/>
      <c r="F22" s="2411"/>
    </row>
    <row r="23" spans="1:11" ht="13.5" thickBot="1" x14ac:dyDescent="0.25">
      <c r="A23" s="2416" t="s">
        <v>629</v>
      </c>
      <c r="B23" s="2417"/>
      <c r="C23" s="1656"/>
      <c r="D23" s="1656"/>
      <c r="E23" s="1656"/>
      <c r="F23" s="1732">
        <f>SUM(C23+D23)-E23</f>
        <v>0</v>
      </c>
      <c r="G23" s="473"/>
    </row>
    <row r="24" spans="1:11" ht="15.75" customHeight="1" thickTop="1" x14ac:dyDescent="0.2">
      <c r="A24" s="2414" t="s">
        <v>2001</v>
      </c>
      <c r="B24" s="2415"/>
      <c r="C24" s="2409"/>
      <c r="D24" s="2410"/>
      <c r="E24" s="2410"/>
      <c r="F24" s="2411"/>
    </row>
    <row r="25" spans="1:11" ht="13.5" thickBot="1" x14ac:dyDescent="0.25">
      <c r="A25" s="2416" t="s">
        <v>2002</v>
      </c>
      <c r="B25" s="2417"/>
      <c r="C25" s="1656"/>
      <c r="D25" s="1656"/>
      <c r="E25" s="1656"/>
      <c r="F25" s="1732">
        <f>SUM(C25+D25)-E25</f>
        <v>0</v>
      </c>
      <c r="G25" s="473"/>
    </row>
    <row r="26" spans="1:11" ht="15.75" customHeight="1" thickTop="1" x14ac:dyDescent="0.2">
      <c r="A26" s="2420" t="s">
        <v>652</v>
      </c>
      <c r="B26" s="2415"/>
      <c r="C26" s="589"/>
      <c r="D26" s="589"/>
      <c r="E26" s="589"/>
      <c r="F26" s="590"/>
    </row>
    <row r="27" spans="1:11" ht="13.5" thickBot="1" x14ac:dyDescent="0.25">
      <c r="A27" s="2412" t="s">
        <v>1061</v>
      </c>
      <c r="B27" s="2413"/>
      <c r="C27" s="1664"/>
      <c r="D27" s="1664"/>
      <c r="E27" s="1664"/>
      <c r="F27" s="1732">
        <f>SUM(C27+D27)-E27</f>
        <v>0</v>
      </c>
      <c r="G27" s="473"/>
    </row>
    <row r="28" spans="1:11" ht="7.5" customHeight="1" thickTop="1" x14ac:dyDescent="0.2">
      <c r="A28" s="489"/>
    </row>
    <row r="29" spans="1:11" ht="23.25" customHeight="1" x14ac:dyDescent="0.2">
      <c r="A29" s="2418" t="s">
        <v>578</v>
      </c>
      <c r="B29" s="2419"/>
      <c r="C29" s="591"/>
      <c r="D29" s="591"/>
      <c r="E29" s="591"/>
      <c r="F29" s="591"/>
      <c r="G29" s="591"/>
      <c r="H29" s="591"/>
      <c r="I29" s="591"/>
      <c r="J29" s="591"/>
    </row>
    <row r="30" spans="1:11" ht="33.75" x14ac:dyDescent="0.2">
      <c r="A30" s="1297" t="s">
        <v>1062</v>
      </c>
      <c r="B30" s="592" t="s">
        <v>1114</v>
      </c>
      <c r="C30" s="592" t="s">
        <v>579</v>
      </c>
      <c r="D30" s="592" t="s">
        <v>1653</v>
      </c>
      <c r="E30" s="1845" t="str">
        <f>"Outstanding        Beginning July 1, "&amp;'AFR20'!$E$2-1</f>
        <v>Outstanding        Beginning July 1, 2019</v>
      </c>
      <c r="F30" s="1845" t="str">
        <f>"Issued                                        July 1, "&amp;'AFR20'!$E$2-1&amp;" thru           June 30, "&amp;'AFR20'!$E$2</f>
        <v>Issued                                        July 1, 2019 thru           June 30, 2020</v>
      </c>
      <c r="G30" s="592" t="s">
        <v>1872</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2221</v>
      </c>
      <c r="B31" s="595">
        <v>39387</v>
      </c>
      <c r="C31" s="1734">
        <v>1000000</v>
      </c>
      <c r="D31" s="1735">
        <v>8</v>
      </c>
      <c r="E31" s="1734">
        <v>1000000</v>
      </c>
      <c r="F31" s="1734"/>
      <c r="G31" s="1734"/>
      <c r="H31" s="1734"/>
      <c r="I31" s="1736">
        <f>((E31+F31)-H31)+G31</f>
        <v>1000000</v>
      </c>
      <c r="J31" s="1734">
        <f>I31-1056050</f>
        <v>-56050</v>
      </c>
      <c r="K31" s="596"/>
    </row>
    <row r="32" spans="1:11" ht="12" customHeight="1" x14ac:dyDescent="0.2">
      <c r="A32" s="594" t="s">
        <v>2224</v>
      </c>
      <c r="B32" s="595">
        <v>41609</v>
      </c>
      <c r="C32" s="1734">
        <v>3400000</v>
      </c>
      <c r="D32" s="1735">
        <v>7</v>
      </c>
      <c r="E32" s="1734">
        <v>2305000</v>
      </c>
      <c r="F32" s="1734"/>
      <c r="G32" s="1734"/>
      <c r="H32" s="1734">
        <v>340000</v>
      </c>
      <c r="I32" s="1736">
        <f>((E32+F32)-H32)+G32</f>
        <v>1965000</v>
      </c>
      <c r="J32" s="1734">
        <f>I32-638613</f>
        <v>1326387</v>
      </c>
      <c r="K32" s="596"/>
    </row>
    <row r="33" spans="1:11" ht="12" customHeight="1" x14ac:dyDescent="0.2">
      <c r="A33" s="594" t="s">
        <v>2222</v>
      </c>
      <c r="B33" s="595">
        <v>42217</v>
      </c>
      <c r="C33" s="1734">
        <v>650000</v>
      </c>
      <c r="D33" s="1735">
        <v>1</v>
      </c>
      <c r="E33" s="1734">
        <v>175000</v>
      </c>
      <c r="F33" s="1734"/>
      <c r="G33" s="1734"/>
      <c r="H33" s="1734">
        <v>175000</v>
      </c>
      <c r="I33" s="1736">
        <f t="shared" ref="I33:I48" si="1">((E33+F33)-H33)+G33</f>
        <v>0</v>
      </c>
      <c r="J33" s="1734"/>
      <c r="K33" s="596"/>
    </row>
    <row r="34" spans="1:11" ht="12" customHeight="1" x14ac:dyDescent="0.2">
      <c r="A34" s="594" t="s">
        <v>2223</v>
      </c>
      <c r="B34" s="595">
        <v>43160</v>
      </c>
      <c r="C34" s="1734">
        <v>2465000</v>
      </c>
      <c r="D34" s="1735">
        <v>7</v>
      </c>
      <c r="E34" s="1734">
        <v>2465000</v>
      </c>
      <c r="F34" s="1734"/>
      <c r="G34" s="1734"/>
      <c r="H34" s="1734">
        <v>20000</v>
      </c>
      <c r="I34" s="1736">
        <f t="shared" si="1"/>
        <v>2445000</v>
      </c>
      <c r="J34" s="1734">
        <f>I34-166918</f>
        <v>2278082</v>
      </c>
      <c r="K34" s="597"/>
    </row>
    <row r="35" spans="1:11" ht="12" customHeight="1" x14ac:dyDescent="0.2">
      <c r="A35" s="594" t="s">
        <v>2225</v>
      </c>
      <c r="B35" s="595">
        <v>43590</v>
      </c>
      <c r="C35" s="1737">
        <v>650000</v>
      </c>
      <c r="D35" s="1735">
        <v>1</v>
      </c>
      <c r="E35" s="1737">
        <v>650000</v>
      </c>
      <c r="F35" s="1737"/>
      <c r="G35" s="1737"/>
      <c r="H35" s="1737"/>
      <c r="I35" s="1736">
        <f t="shared" si="1"/>
        <v>650000</v>
      </c>
      <c r="J35" s="1737">
        <f>I35-117033</f>
        <v>532967</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8165000</v>
      </c>
      <c r="D49" s="1742"/>
      <c r="E49" s="1736">
        <f t="shared" ref="E49:J49" si="2">SUM(E31:E48)</f>
        <v>6595000</v>
      </c>
      <c r="F49" s="1736">
        <f t="shared" si="2"/>
        <v>0</v>
      </c>
      <c r="G49" s="1736">
        <f t="shared" si="2"/>
        <v>0</v>
      </c>
      <c r="H49" s="1736">
        <f t="shared" si="2"/>
        <v>535000</v>
      </c>
      <c r="I49" s="1736">
        <f t="shared" si="2"/>
        <v>6060000</v>
      </c>
      <c r="J49" s="1736">
        <f t="shared" si="2"/>
        <v>4081386</v>
      </c>
      <c r="K49" s="597"/>
    </row>
    <row r="50" spans="1:11" ht="6" customHeight="1" x14ac:dyDescent="0.2">
      <c r="A50" s="600"/>
      <c r="B50" s="596"/>
      <c r="C50" s="596"/>
      <c r="D50" s="596"/>
      <c r="E50" s="596"/>
      <c r="F50" s="596"/>
      <c r="G50" s="596"/>
      <c r="H50" s="596"/>
      <c r="I50" s="596"/>
      <c r="J50" s="600"/>
    </row>
    <row r="51" spans="1:11" x14ac:dyDescent="0.2">
      <c r="A51" s="601" t="s">
        <v>1779</v>
      </c>
      <c r="B51" s="600"/>
      <c r="C51" s="597"/>
      <c r="D51" s="597"/>
      <c r="E51" s="597"/>
      <c r="F51" s="597"/>
      <c r="G51" s="597"/>
      <c r="H51" s="596"/>
      <c r="I51" s="596"/>
      <c r="J51" s="600"/>
    </row>
    <row r="52" spans="1:11" ht="11.25" customHeight="1" x14ac:dyDescent="0.2">
      <c r="A52" s="602" t="s">
        <v>906</v>
      </c>
      <c r="B52" s="2401" t="s">
        <v>580</v>
      </c>
      <c r="C52" s="2402"/>
      <c r="D52" s="2402"/>
      <c r="E52" s="603" t="s">
        <v>840</v>
      </c>
      <c r="F52" s="2403" t="s">
        <v>2226</v>
      </c>
      <c r="G52" s="2404"/>
      <c r="H52" s="596"/>
      <c r="I52" s="596"/>
      <c r="J52" s="600"/>
    </row>
    <row r="53" spans="1:11" ht="11.25" customHeight="1" x14ac:dyDescent="0.2">
      <c r="A53" s="604" t="s">
        <v>907</v>
      </c>
      <c r="B53" s="605" t="s">
        <v>945</v>
      </c>
      <c r="C53" s="600"/>
      <c r="D53" s="597"/>
      <c r="E53" s="603" t="s">
        <v>494</v>
      </c>
      <c r="F53" s="2405" t="s">
        <v>2227</v>
      </c>
      <c r="G53" s="2406"/>
      <c r="H53" s="596"/>
      <c r="I53" s="596"/>
      <c r="J53" s="600"/>
    </row>
    <row r="54" spans="1:11" ht="11.25" customHeight="1" x14ac:dyDescent="0.2">
      <c r="A54" s="606" t="s">
        <v>908</v>
      </c>
      <c r="B54" s="601" t="s">
        <v>946</v>
      </c>
      <c r="C54" s="600"/>
      <c r="D54" s="597"/>
      <c r="E54" s="603" t="s">
        <v>495</v>
      </c>
      <c r="F54" s="2405"/>
      <c r="G54" s="240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30" t="s">
        <v>851</v>
      </c>
      <c r="B1" s="2431"/>
      <c r="C1" s="2431"/>
      <c r="D1" s="2431"/>
      <c r="E1" s="2431"/>
      <c r="F1" s="2431"/>
      <c r="G1" s="2432"/>
      <c r="H1" s="1298"/>
      <c r="I1" s="614"/>
      <c r="J1" s="400"/>
    </row>
    <row r="2" spans="1:11" ht="26.25" x14ac:dyDescent="0.2">
      <c r="A2" s="2449" t="s">
        <v>1657</v>
      </c>
      <c r="B2" s="2450"/>
      <c r="C2" s="2450"/>
      <c r="D2" s="2450"/>
      <c r="E2" s="2451"/>
      <c r="F2" s="615" t="s">
        <v>898</v>
      </c>
      <c r="G2" s="616" t="s">
        <v>1654</v>
      </c>
      <c r="H2" s="616" t="s">
        <v>407</v>
      </c>
      <c r="I2" s="616" t="s">
        <v>1148</v>
      </c>
      <c r="J2" s="616" t="s">
        <v>1784</v>
      </c>
      <c r="K2" s="616" t="s">
        <v>137</v>
      </c>
    </row>
    <row r="3" spans="1:11" x14ac:dyDescent="0.2">
      <c r="A3" s="2452" t="str">
        <f>"Cash Basis Fund Balance as of July 1, "&amp;'AFR20'!E2-1</f>
        <v>Cash Basis Fund Balance as of July 1, 2019</v>
      </c>
      <c r="B3" s="2453"/>
      <c r="C3" s="2453"/>
      <c r="D3" s="2453"/>
      <c r="E3" s="2454"/>
      <c r="F3" s="617"/>
      <c r="G3" s="1744"/>
      <c r="H3" s="1744"/>
      <c r="I3" s="1744"/>
      <c r="J3" s="1745">
        <v>774619</v>
      </c>
      <c r="K3" s="1745"/>
    </row>
    <row r="4" spans="1:11" x14ac:dyDescent="0.2">
      <c r="A4" s="2455" t="s">
        <v>366</v>
      </c>
      <c r="B4" s="2456"/>
      <c r="C4" s="2456"/>
      <c r="D4" s="2456"/>
      <c r="E4" s="2402"/>
      <c r="F4" s="620"/>
      <c r="G4" s="1746"/>
      <c r="H4" s="1747"/>
      <c r="I4" s="1746"/>
      <c r="J4" s="1748"/>
      <c r="K4" s="1748"/>
    </row>
    <row r="5" spans="1:11" x14ac:dyDescent="0.2">
      <c r="A5" s="2433" t="s">
        <v>1060</v>
      </c>
      <c r="B5" s="2434"/>
      <c r="C5" s="2434"/>
      <c r="D5" s="2434"/>
      <c r="E5" s="2435"/>
      <c r="F5" s="622" t="s">
        <v>843</v>
      </c>
      <c r="G5" s="1749"/>
      <c r="H5" s="1744">
        <v>31882</v>
      </c>
      <c r="I5" s="1750"/>
      <c r="J5" s="1751"/>
      <c r="K5" s="1751"/>
    </row>
    <row r="6" spans="1:11" x14ac:dyDescent="0.2">
      <c r="A6" s="625" t="s">
        <v>715</v>
      </c>
      <c r="B6" s="626"/>
      <c r="C6" s="626"/>
      <c r="D6" s="626"/>
      <c r="E6" s="627"/>
      <c r="F6" s="628" t="s">
        <v>844</v>
      </c>
      <c r="G6" s="1744"/>
      <c r="H6" s="1744">
        <v>9</v>
      </c>
      <c r="I6" s="1744"/>
      <c r="J6" s="1745">
        <v>14516</v>
      </c>
      <c r="K6" s="1745"/>
    </row>
    <row r="7" spans="1:11" x14ac:dyDescent="0.2">
      <c r="A7" s="629" t="s">
        <v>244</v>
      </c>
      <c r="B7" s="630"/>
      <c r="C7" s="630"/>
      <c r="D7" s="630"/>
      <c r="E7" s="631"/>
      <c r="F7" s="622" t="s">
        <v>845</v>
      </c>
      <c r="G7" s="1746"/>
      <c r="H7" s="1746"/>
      <c r="I7" s="1746"/>
      <c r="J7" s="1752"/>
      <c r="K7" s="1745">
        <v>14398</v>
      </c>
    </row>
    <row r="8" spans="1:11" x14ac:dyDescent="0.2">
      <c r="A8" s="629" t="s">
        <v>342</v>
      </c>
      <c r="B8" s="630"/>
      <c r="C8" s="630"/>
      <c r="D8" s="630"/>
      <c r="E8" s="631"/>
      <c r="F8" s="622" t="s">
        <v>846</v>
      </c>
      <c r="G8" s="1753"/>
      <c r="H8" s="1753"/>
      <c r="I8" s="1753"/>
      <c r="J8" s="1745">
        <f>549984+188435</f>
        <v>738419</v>
      </c>
      <c r="K8" s="1748"/>
    </row>
    <row r="9" spans="1:11" x14ac:dyDescent="0.2">
      <c r="A9" s="629" t="s">
        <v>137</v>
      </c>
      <c r="B9" s="630"/>
      <c r="C9" s="630"/>
      <c r="D9" s="630"/>
      <c r="E9" s="631"/>
      <c r="F9" s="628" t="s">
        <v>848</v>
      </c>
      <c r="G9" s="1753"/>
      <c r="H9" s="1749"/>
      <c r="I9" s="1749"/>
      <c r="J9" s="1752"/>
      <c r="K9" s="1745"/>
    </row>
    <row r="10" spans="1:11" x14ac:dyDescent="0.2">
      <c r="A10" s="2433" t="s">
        <v>1785</v>
      </c>
      <c r="B10" s="2434"/>
      <c r="C10" s="2434"/>
      <c r="D10" s="2434"/>
      <c r="E10" s="2436"/>
      <c r="F10" s="633" t="s">
        <v>857</v>
      </c>
      <c r="G10" s="1753"/>
      <c r="H10" s="1754"/>
      <c r="I10" s="1744"/>
      <c r="J10" s="1745"/>
      <c r="K10" s="1745"/>
    </row>
    <row r="11" spans="1:11" x14ac:dyDescent="0.2">
      <c r="A11" s="2433" t="s">
        <v>159</v>
      </c>
      <c r="B11" s="2434"/>
      <c r="C11" s="2434"/>
      <c r="D11" s="2434"/>
      <c r="E11" s="2435"/>
      <c r="F11" s="622" t="s">
        <v>847</v>
      </c>
      <c r="G11" s="1749"/>
      <c r="H11" s="1744"/>
      <c r="I11" s="1744"/>
      <c r="J11" s="1745"/>
      <c r="K11" s="1751"/>
    </row>
    <row r="12" spans="1:11" ht="13.5" thickBot="1" x14ac:dyDescent="0.25">
      <c r="A12" s="2460" t="s">
        <v>899</v>
      </c>
      <c r="B12" s="2461"/>
      <c r="C12" s="2461"/>
      <c r="D12" s="2461"/>
      <c r="E12" s="2462"/>
      <c r="F12" s="1433"/>
      <c r="G12" s="1755">
        <f>SUM(G5:G11)</f>
        <v>0</v>
      </c>
      <c r="H12" s="1755">
        <f>SUM(H5:H11)</f>
        <v>31891</v>
      </c>
      <c r="I12" s="1755">
        <f>SUM(I5:I11)</f>
        <v>0</v>
      </c>
      <c r="J12" s="1755">
        <f>SUM(J5:J11)</f>
        <v>752935</v>
      </c>
      <c r="K12" s="1755">
        <f>SUM(K5:K11)</f>
        <v>14398</v>
      </c>
    </row>
    <row r="13" spans="1:11" ht="13.5" thickTop="1" x14ac:dyDescent="0.2">
      <c r="A13" s="2457" t="s">
        <v>367</v>
      </c>
      <c r="B13" s="2458"/>
      <c r="C13" s="2458"/>
      <c r="D13" s="2458"/>
      <c r="E13" s="2459"/>
      <c r="F13" s="634"/>
      <c r="G13" s="1756"/>
      <c r="H13" s="1757"/>
      <c r="I13" s="1758"/>
      <c r="J13" s="1758"/>
      <c r="K13" s="1758"/>
    </row>
    <row r="14" spans="1:11" x14ac:dyDescent="0.2">
      <c r="A14" s="2440" t="s">
        <v>453</v>
      </c>
      <c r="B14" s="2440"/>
      <c r="C14" s="2440"/>
      <c r="D14" s="2440"/>
      <c r="E14" s="2441"/>
      <c r="F14" s="635" t="s">
        <v>849</v>
      </c>
      <c r="G14" s="1753"/>
      <c r="H14" s="1744">
        <v>31891</v>
      </c>
      <c r="I14" s="1749"/>
      <c r="J14" s="1751"/>
      <c r="K14" s="1745">
        <v>14398</v>
      </c>
    </row>
    <row r="15" spans="1:11" x14ac:dyDescent="0.2">
      <c r="A15" s="2434" t="s">
        <v>4</v>
      </c>
      <c r="B15" s="2434"/>
      <c r="C15" s="2434"/>
      <c r="D15" s="2434"/>
      <c r="E15" s="2435"/>
      <c r="F15" s="635" t="s">
        <v>850</v>
      </c>
      <c r="G15" s="1749"/>
      <c r="H15" s="1744"/>
      <c r="I15" s="1744"/>
      <c r="J15" s="1745">
        <v>188435</v>
      </c>
      <c r="K15" s="1745"/>
    </row>
    <row r="16" spans="1:11" x14ac:dyDescent="0.2">
      <c r="A16" s="2434" t="s">
        <v>295</v>
      </c>
      <c r="B16" s="2434"/>
      <c r="C16" s="2434"/>
      <c r="D16" s="2434"/>
      <c r="E16" s="2435"/>
      <c r="F16" s="635" t="s">
        <v>917</v>
      </c>
      <c r="G16" s="1750"/>
      <c r="H16" s="1746"/>
      <c r="I16" s="1746"/>
      <c r="J16" s="1748"/>
      <c r="K16" s="1748"/>
    </row>
    <row r="17" spans="1:15" x14ac:dyDescent="0.2">
      <c r="A17" s="2467" t="s">
        <v>929</v>
      </c>
      <c r="B17" s="2467"/>
      <c r="C17" s="2467"/>
      <c r="D17" s="2467"/>
      <c r="E17" s="2468"/>
      <c r="F17" s="636"/>
      <c r="G17" s="1759"/>
      <c r="H17" s="1760"/>
      <c r="I17" s="1760"/>
      <c r="J17" s="1761"/>
      <c r="K17" s="1762"/>
    </row>
    <row r="18" spans="1:15" x14ac:dyDescent="0.2">
      <c r="A18" s="2444" t="s">
        <v>365</v>
      </c>
      <c r="B18" s="2445"/>
      <c r="C18" s="2445"/>
      <c r="D18" s="2445"/>
      <c r="E18" s="2446"/>
      <c r="F18" s="635" t="s">
        <v>926</v>
      </c>
      <c r="G18" s="1753"/>
      <c r="H18" s="1753"/>
      <c r="I18" s="1753"/>
      <c r="J18" s="1745">
        <v>173587</v>
      </c>
      <c r="K18" s="1763"/>
    </row>
    <row r="19" spans="1:15" ht="21.75" customHeight="1" x14ac:dyDescent="0.2">
      <c r="A19" s="2442" t="s">
        <v>1781</v>
      </c>
      <c r="B19" s="2442"/>
      <c r="C19" s="2442"/>
      <c r="D19" s="2442"/>
      <c r="E19" s="2443"/>
      <c r="F19" s="635" t="s">
        <v>927</v>
      </c>
      <c r="G19" s="1753"/>
      <c r="H19" s="1753"/>
      <c r="I19" s="1753"/>
      <c r="J19" s="1745">
        <v>360000</v>
      </c>
      <c r="K19" s="1763"/>
    </row>
    <row r="20" spans="1:15" x14ac:dyDescent="0.2">
      <c r="A20" s="2444" t="s">
        <v>1786</v>
      </c>
      <c r="B20" s="2445"/>
      <c r="C20" s="2445"/>
      <c r="D20" s="2445"/>
      <c r="E20" s="2446"/>
      <c r="F20" s="635" t="s">
        <v>928</v>
      </c>
      <c r="G20" s="1753"/>
      <c r="H20" s="1753"/>
      <c r="I20" s="1753"/>
      <c r="J20" s="1745"/>
      <c r="K20" s="1763"/>
    </row>
    <row r="21" spans="1:15" ht="13.5" thickBot="1" x14ac:dyDescent="0.25">
      <c r="A21" s="2463" t="s">
        <v>633</v>
      </c>
      <c r="B21" s="2463"/>
      <c r="C21" s="2463"/>
      <c r="D21" s="2463"/>
      <c r="E21" s="2463"/>
      <c r="F21" s="1434"/>
      <c r="G21" s="1760"/>
      <c r="H21" s="1764"/>
      <c r="I21" s="1764"/>
      <c r="J21" s="1765">
        <f>SUM(J18:J20)</f>
        <v>533587</v>
      </c>
      <c r="K21" s="1761"/>
    </row>
    <row r="22" spans="1:15" ht="13.5" thickTop="1" x14ac:dyDescent="0.2">
      <c r="A22" s="2434" t="s">
        <v>1787</v>
      </c>
      <c r="B22" s="2434"/>
      <c r="C22" s="2434"/>
      <c r="D22" s="2434"/>
      <c r="E22" s="2435"/>
      <c r="F22" s="635" t="s">
        <v>857</v>
      </c>
      <c r="G22" s="1753"/>
      <c r="H22" s="1744"/>
      <c r="I22" s="1744"/>
      <c r="J22" s="1766"/>
      <c r="K22" s="1745"/>
    </row>
    <row r="23" spans="1:15" ht="13.5" thickBot="1" x14ac:dyDescent="0.25">
      <c r="A23" s="2464" t="s">
        <v>900</v>
      </c>
      <c r="B23" s="2463"/>
      <c r="C23" s="2463"/>
      <c r="D23" s="2463"/>
      <c r="E23" s="2463"/>
      <c r="F23" s="1436"/>
      <c r="G23" s="1755">
        <f>SUM(G14:G16,G21,G22)</f>
        <v>0</v>
      </c>
      <c r="H23" s="1755">
        <f>SUM(H14:H16,H21,H22)</f>
        <v>31891</v>
      </c>
      <c r="I23" s="1755">
        <f>SUM(I14:I16,I21,I22)</f>
        <v>0</v>
      </c>
      <c r="J23" s="1755">
        <f>SUM(J14:J16,J21,J22)</f>
        <v>722022</v>
      </c>
      <c r="K23" s="1755">
        <f>SUM(K14:K16,K21,K22)</f>
        <v>14398</v>
      </c>
      <c r="M23" s="1846"/>
      <c r="N23" s="1846"/>
      <c r="O23" s="1846"/>
    </row>
    <row r="24" spans="1:15" ht="14.25" thickTop="1" thickBot="1" x14ac:dyDescent="0.25">
      <c r="A24" s="2465" t="str">
        <f>"Ending Cash Basis Fund Balance as of June 30, "&amp;'AFR20'!E2</f>
        <v>Ending Cash Basis Fund Balance as of June 30, 2020</v>
      </c>
      <c r="B24" s="2466"/>
      <c r="C24" s="2466"/>
      <c r="D24" s="2466"/>
      <c r="E24" s="2466"/>
      <c r="F24" s="1437"/>
      <c r="G24" s="1767">
        <f>SUM(G3,G12)-G23</f>
        <v>0</v>
      </c>
      <c r="H24" s="1767">
        <f>SUM(H3,H12)-H23</f>
        <v>0</v>
      </c>
      <c r="I24" s="1767">
        <f>SUM(I3,I12)-I23</f>
        <v>0</v>
      </c>
      <c r="J24" s="1767">
        <f>SUM(J3,J12)-J23</f>
        <v>805532</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805532</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1871</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2046</v>
      </c>
      <c r="E30" s="648" t="s">
        <v>763</v>
      </c>
      <c r="F30" s="197"/>
      <c r="G30" s="645"/>
    </row>
    <row r="31" spans="1:15" x14ac:dyDescent="0.2">
      <c r="A31" s="649"/>
      <c r="D31" s="232"/>
      <c r="E31" s="650" t="s">
        <v>764</v>
      </c>
      <c r="F31" s="651" t="s">
        <v>536</v>
      </c>
      <c r="G31" s="618"/>
      <c r="H31" s="2437"/>
      <c r="I31" s="2438"/>
      <c r="J31" s="2438"/>
      <c r="K31" s="2438"/>
    </row>
    <row r="32" spans="1:15" x14ac:dyDescent="0.2">
      <c r="A32" s="649"/>
      <c r="B32" s="232"/>
      <c r="C32" s="232"/>
      <c r="D32" s="232"/>
      <c r="E32" s="645"/>
      <c r="F32" s="651" t="s">
        <v>537</v>
      </c>
      <c r="G32" s="618"/>
      <c r="H32" s="2439"/>
      <c r="I32" s="2438"/>
      <c r="J32" s="2438"/>
      <c r="K32" s="2438"/>
    </row>
    <row r="33" spans="1:11" ht="1.5" customHeight="1" x14ac:dyDescent="0.2">
      <c r="A33" s="652" t="s">
        <v>1159</v>
      </c>
      <c r="B33" s="341"/>
      <c r="C33" s="341"/>
      <c r="D33" s="341"/>
      <c r="E33" s="341"/>
      <c r="F33" s="341"/>
      <c r="G33" s="653"/>
      <c r="H33" s="2439"/>
      <c r="I33" s="2438"/>
      <c r="J33" s="2438"/>
      <c r="K33" s="2438"/>
    </row>
    <row r="34" spans="1:11" x14ac:dyDescent="0.2">
      <c r="A34" s="654" t="s">
        <v>1788</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34" t="s">
        <v>538</v>
      </c>
      <c r="B41" s="2447"/>
      <c r="C41" s="2447"/>
      <c r="D41" s="2447"/>
      <c r="E41" s="2447"/>
      <c r="F41" s="244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1782</v>
      </c>
      <c r="B46" s="382" t="s">
        <v>1655</v>
      </c>
    </row>
    <row r="47" spans="1:11" s="663" customFormat="1" ht="12.75" customHeight="1" x14ac:dyDescent="0.2">
      <c r="A47" s="661"/>
      <c r="B47" s="662" t="s">
        <v>1656</v>
      </c>
      <c r="E47" s="662"/>
      <c r="K47" s="664"/>
    </row>
    <row r="48" spans="1:11" ht="12.75" customHeight="1" x14ac:dyDescent="0.2">
      <c r="A48" s="1300" t="s">
        <v>1783</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71" t="s">
        <v>1870</v>
      </c>
      <c r="B1" s="2472"/>
      <c r="C1" s="2473"/>
      <c r="D1" s="666"/>
      <c r="E1" s="667"/>
      <c r="F1" s="667"/>
      <c r="G1" s="668"/>
      <c r="H1" s="669"/>
      <c r="I1" s="670"/>
      <c r="J1" s="2469"/>
      <c r="K1" s="2470"/>
      <c r="L1" s="2470"/>
    </row>
    <row r="2" spans="1:14" ht="69.75" customHeight="1" x14ac:dyDescent="0.2">
      <c r="A2" s="671" t="s">
        <v>1658</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425290</v>
      </c>
      <c r="D5" s="1770">
        <v>7636</v>
      </c>
      <c r="E5" s="1770"/>
      <c r="F5" s="1765">
        <f>(C5+D5)-E5</f>
        <v>432926</v>
      </c>
      <c r="G5" s="676"/>
      <c r="H5" s="680"/>
      <c r="I5" s="680"/>
      <c r="J5" s="680"/>
      <c r="K5" s="637"/>
      <c r="L5" s="1442">
        <f>F5-K5</f>
        <v>432926</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26499604</v>
      </c>
      <c r="D8" s="1771">
        <v>1187663</v>
      </c>
      <c r="E8" s="1771"/>
      <c r="F8" s="1765">
        <f>(C8+D8)-E8</f>
        <v>27687267</v>
      </c>
      <c r="G8" s="681">
        <v>50</v>
      </c>
      <c r="H8" s="619">
        <v>9963541</v>
      </c>
      <c r="I8" s="619">
        <v>471989</v>
      </c>
      <c r="J8" s="619"/>
      <c r="K8" s="1442">
        <f>(H8+I8)-J8</f>
        <v>10435530</v>
      </c>
      <c r="L8" s="1442">
        <f>F8-K8</f>
        <v>17251737</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3171205</v>
      </c>
      <c r="D10" s="1772">
        <v>333377</v>
      </c>
      <c r="E10" s="1772"/>
      <c r="F10" s="1773">
        <f>(C10+D10)-E10</f>
        <v>3504582</v>
      </c>
      <c r="G10" s="681">
        <v>20</v>
      </c>
      <c r="H10" s="683">
        <v>1255419</v>
      </c>
      <c r="I10" s="683">
        <v>169366</v>
      </c>
      <c r="J10" s="683"/>
      <c r="K10" s="1442">
        <f>(H10+I10)-J10</f>
        <v>1424785</v>
      </c>
      <c r="L10" s="1442">
        <f>F10-K10</f>
        <v>2079797</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4458240</v>
      </c>
      <c r="D12" s="1771">
        <v>984189</v>
      </c>
      <c r="E12" s="1771">
        <v>522487</v>
      </c>
      <c r="F12" s="1765">
        <f>(C12+D12)-E12</f>
        <v>4919942</v>
      </c>
      <c r="G12" s="681">
        <v>10</v>
      </c>
      <c r="H12" s="619">
        <v>2280081</v>
      </c>
      <c r="I12" s="619">
        <v>491995</v>
      </c>
      <c r="J12" s="619">
        <v>522487</v>
      </c>
      <c r="K12" s="1442">
        <f>(H12+I12)-J12</f>
        <v>2249589</v>
      </c>
      <c r="L12" s="1442">
        <f>F12-K12</f>
        <v>2670353</v>
      </c>
    </row>
    <row r="13" spans="1:14" ht="14.25" thickTop="1" thickBot="1" x14ac:dyDescent="0.25">
      <c r="A13" s="684" t="s">
        <v>1112</v>
      </c>
      <c r="B13" s="679">
        <v>252</v>
      </c>
      <c r="C13" s="1771">
        <v>1107302</v>
      </c>
      <c r="D13" s="1771">
        <v>85475</v>
      </c>
      <c r="E13" s="1771">
        <v>28750</v>
      </c>
      <c r="F13" s="1765">
        <f>(C13+D13)-E13</f>
        <v>1164027</v>
      </c>
      <c r="G13" s="681">
        <v>5</v>
      </c>
      <c r="H13" s="619">
        <v>1018212</v>
      </c>
      <c r="I13" s="619">
        <v>47588</v>
      </c>
      <c r="J13" s="619">
        <v>28750</v>
      </c>
      <c r="K13" s="1442">
        <f>(H13+I13)-J13</f>
        <v>1037050</v>
      </c>
      <c r="L13" s="1442">
        <f>F13-K13</f>
        <v>126977</v>
      </c>
    </row>
    <row r="14" spans="1:14" ht="14.25" thickTop="1" thickBot="1" x14ac:dyDescent="0.25">
      <c r="A14" s="684" t="s">
        <v>1113</v>
      </c>
      <c r="B14" s="679">
        <v>253</v>
      </c>
      <c r="C14" s="1745">
        <v>10486</v>
      </c>
      <c r="D14" s="1745"/>
      <c r="E14" s="1745"/>
      <c r="F14" s="1765">
        <f>(C14+D14)-E14</f>
        <v>10486</v>
      </c>
      <c r="G14" s="681">
        <v>3</v>
      </c>
      <c r="H14" s="619">
        <v>7294</v>
      </c>
      <c r="I14" s="619">
        <v>3192</v>
      </c>
      <c r="J14" s="619"/>
      <c r="K14" s="1442">
        <f>(H14+I14)-J14</f>
        <v>10486</v>
      </c>
      <c r="L14" s="1442">
        <f>F14-K14</f>
        <v>0</v>
      </c>
    </row>
    <row r="15" spans="1:14" ht="15" customHeight="1" thickTop="1" thickBot="1" x14ac:dyDescent="0.25">
      <c r="A15" s="1366" t="s">
        <v>525</v>
      </c>
      <c r="B15" s="1365">
        <v>260</v>
      </c>
      <c r="C15" s="1771"/>
      <c r="D15" s="1771">
        <v>24111</v>
      </c>
      <c r="E15" s="1771"/>
      <c r="F15" s="1765">
        <f>(C15+D15)-E15</f>
        <v>24111</v>
      </c>
      <c r="G15" s="685" t="s">
        <v>857</v>
      </c>
      <c r="H15" s="632"/>
      <c r="I15" s="632"/>
      <c r="J15" s="632"/>
      <c r="K15" s="632"/>
      <c r="L15" s="1442">
        <f>F15-K15</f>
        <v>24111</v>
      </c>
    </row>
    <row r="16" spans="1:14" ht="15" customHeight="1" thickTop="1" thickBot="1" x14ac:dyDescent="0.25">
      <c r="A16" s="1438" t="s">
        <v>638</v>
      </c>
      <c r="B16" s="1439">
        <v>200</v>
      </c>
      <c r="C16" s="1765">
        <f>SUM(C3,C5:C6,C8:C10,C12:C15)</f>
        <v>35672127</v>
      </c>
      <c r="D16" s="1765">
        <f>SUM(D3,D5:D6,D8:D10,D12:D15)</f>
        <v>2622451</v>
      </c>
      <c r="E16" s="1765">
        <f>SUM(E3,E5:E6,E8:E10,E12:E15)</f>
        <v>551237</v>
      </c>
      <c r="F16" s="1765">
        <f>SUM(F3,F5:F6,F8:F10,F12:F15)</f>
        <v>37743341</v>
      </c>
      <c r="G16" s="681"/>
      <c r="H16" s="1435">
        <f>SUM(H3,H6,H8:H10,H12:H14,)</f>
        <v>14524547</v>
      </c>
      <c r="I16" s="1435">
        <f>SUM(I3,I6,I8:I10,I12:I14,)</f>
        <v>1184130</v>
      </c>
      <c r="J16" s="1435">
        <f>SUM(J3,J6,J8:J10,J12:J14,)</f>
        <v>551237</v>
      </c>
      <c r="K16" s="1435">
        <f>(H16+I16)-J16</f>
        <v>15157440</v>
      </c>
      <c r="L16" s="1435">
        <f>F16-K16</f>
        <v>22585901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1184130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77" t="str">
        <f>"ESTIMATED OPERATING EXPENSE PER PUPIL (OEPP)/PER CAPITA TUITION CHARGE (PCTC) COMPUTATIONS ("&amp;'AFR20'!E2-1&amp;" - "&amp;'AFR20'!E2&amp;")"</f>
        <v>ESTIMATED OPERATING EXPENSE PER PUPIL (OEPP)/PER CAPITA TUITION CHARGE (PCTC) COMPUTATIONS (2019 - 2020)</v>
      </c>
      <c r="B1" s="2478"/>
      <c r="C1" s="2478"/>
      <c r="D1" s="2478"/>
      <c r="E1" s="2478"/>
      <c r="F1" s="2479"/>
      <c r="G1" s="691"/>
      <c r="I1" s="701"/>
    </row>
    <row r="2" spans="1:9" ht="15" customHeight="1" thickBot="1" x14ac:dyDescent="0.25">
      <c r="A2" s="2480" t="s">
        <v>474</v>
      </c>
      <c r="B2" s="2481"/>
      <c r="C2" s="2481"/>
      <c r="D2" s="2481"/>
      <c r="E2" s="2481"/>
      <c r="F2" s="248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83"/>
      <c r="B5" s="2484"/>
      <c r="C5" s="2484"/>
      <c r="D5" s="2484"/>
      <c r="E5" s="2484"/>
      <c r="F5" s="2484"/>
    </row>
    <row r="6" spans="1:9" ht="13.5" customHeight="1" thickBot="1" x14ac:dyDescent="0.25">
      <c r="A6" s="2474" t="s">
        <v>1095</v>
      </c>
      <c r="B6" s="2475"/>
      <c r="C6" s="2475"/>
      <c r="D6" s="2475"/>
      <c r="E6" s="2475"/>
      <c r="F6" s="247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17495733</v>
      </c>
      <c r="G8" s="701"/>
    </row>
    <row r="9" spans="1:9" x14ac:dyDescent="0.2">
      <c r="A9" s="705" t="s">
        <v>457</v>
      </c>
      <c r="B9" s="706" t="s">
        <v>1843</v>
      </c>
      <c r="C9" s="707"/>
      <c r="D9" s="705" t="s">
        <v>498</v>
      </c>
      <c r="E9" s="704"/>
      <c r="F9" s="1775">
        <f>'Expenditures 15-22'!K151</f>
        <v>2496188</v>
      </c>
      <c r="G9" s="708"/>
    </row>
    <row r="10" spans="1:9" x14ac:dyDescent="0.2">
      <c r="A10" s="705" t="s">
        <v>496</v>
      </c>
      <c r="B10" s="706" t="s">
        <v>1844</v>
      </c>
      <c r="C10" s="707"/>
      <c r="D10" s="705" t="s">
        <v>498</v>
      </c>
      <c r="E10" s="704"/>
      <c r="F10" s="1775">
        <f>'Expenditures 15-22'!K174</f>
        <v>711978</v>
      </c>
      <c r="G10" s="708"/>
    </row>
    <row r="11" spans="1:9" x14ac:dyDescent="0.2">
      <c r="A11" s="705" t="s">
        <v>458</v>
      </c>
      <c r="B11" s="706" t="s">
        <v>1845</v>
      </c>
      <c r="C11" s="707"/>
      <c r="D11" s="705" t="s">
        <v>498</v>
      </c>
      <c r="E11" s="704"/>
      <c r="F11" s="1775">
        <f>'Expenditures 15-22'!K210</f>
        <v>856525</v>
      </c>
      <c r="G11" s="708"/>
    </row>
    <row r="12" spans="1:9" x14ac:dyDescent="0.2">
      <c r="A12" s="705" t="s">
        <v>459</v>
      </c>
      <c r="B12" s="706" t="s">
        <v>1846</v>
      </c>
      <c r="C12" s="707"/>
      <c r="D12" s="705" t="s">
        <v>498</v>
      </c>
      <c r="E12" s="704"/>
      <c r="F12" s="1775">
        <f>'Expenditures 15-22'!K295</f>
        <v>759102</v>
      </c>
      <c r="G12" s="708"/>
    </row>
    <row r="13" spans="1:9" x14ac:dyDescent="0.2">
      <c r="A13" s="705" t="s">
        <v>106</v>
      </c>
      <c r="B13" s="706" t="s">
        <v>1847</v>
      </c>
      <c r="C13" s="707"/>
      <c r="D13" s="705" t="s">
        <v>498</v>
      </c>
      <c r="E13" s="704"/>
      <c r="F13" s="1775">
        <f>'Expenditures 15-22'!K342</f>
        <v>619590</v>
      </c>
      <c r="G13" s="709"/>
    </row>
    <row r="14" spans="1:9" ht="12" customHeight="1" thickBot="1" x14ac:dyDescent="0.25">
      <c r="A14" s="1443"/>
      <c r="B14" s="1444"/>
      <c r="C14" s="1445"/>
      <c r="D14" s="1446" t="s">
        <v>498</v>
      </c>
      <c r="E14" s="1447" t="s">
        <v>952</v>
      </c>
      <c r="F14" s="1776">
        <f>SUM(F8:F13)</f>
        <v>22939116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1901</v>
      </c>
      <c r="C30" s="716">
        <f>'Revenues 9-14'!B150</f>
        <v>3499</v>
      </c>
      <c r="D30" s="717" t="str">
        <f>'Revenues 9-14'!A150</f>
        <v>Adult Ed - Other (Describe &amp; Itemize)</v>
      </c>
      <c r="E30" s="704"/>
      <c r="F30" s="1783">
        <f>('Revenues 9-14'!D150+'Revenues 9-14'!F150)</f>
        <v>0</v>
      </c>
      <c r="G30" s="701"/>
    </row>
    <row r="31" spans="1:7" x14ac:dyDescent="0.2">
      <c r="A31" s="705" t="s">
        <v>1088</v>
      </c>
      <c r="B31" s="706" t="s">
        <v>1902</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1903</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1904</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326820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17945</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389809</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146291</v>
      </c>
      <c r="G52" s="701"/>
    </row>
    <row r="53" spans="1:7" x14ac:dyDescent="0.2">
      <c r="A53" s="705" t="s">
        <v>456</v>
      </c>
      <c r="B53" s="705" t="s">
        <v>1458</v>
      </c>
      <c r="C53" s="724">
        <f>'Expenditures 15-22'!B102</f>
        <v>4000</v>
      </c>
      <c r="D53" s="723" t="str">
        <f>'Expenditures 15-22'!A102</f>
        <v>Total Payments to Other Govt Units</v>
      </c>
      <c r="E53" s="704"/>
      <c r="F53" s="1782">
        <f>'Expenditures 15-22'!K102</f>
        <v>2312583</v>
      </c>
      <c r="G53" s="701"/>
    </row>
    <row r="54" spans="1:7" x14ac:dyDescent="0.2">
      <c r="A54" s="705" t="s">
        <v>456</v>
      </c>
      <c r="B54" s="705" t="s">
        <v>1459</v>
      </c>
      <c r="C54" s="724" t="s">
        <v>975</v>
      </c>
      <c r="D54" s="720" t="s">
        <v>1086</v>
      </c>
      <c r="E54" s="704"/>
      <c r="F54" s="1782">
        <f>'Expenditures 15-22'!G114</f>
        <v>723001</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1848</v>
      </c>
      <c r="C57" s="724">
        <f>'Expenditures 15-22'!B139</f>
        <v>4000</v>
      </c>
      <c r="D57" s="722" t="str">
        <f>'Expenditures 15-22'!A139</f>
        <v>Total Payments to Other Govt Units</v>
      </c>
      <c r="E57" s="704"/>
      <c r="F57" s="1782">
        <f>'Expenditures 15-22'!K139</f>
        <v>0</v>
      </c>
      <c r="G57" s="701"/>
    </row>
    <row r="58" spans="1:7" x14ac:dyDescent="0.2">
      <c r="A58" s="705" t="s">
        <v>457</v>
      </c>
      <c r="B58" s="705" t="s">
        <v>1849</v>
      </c>
      <c r="C58" s="721" t="s">
        <v>975</v>
      </c>
      <c r="D58" s="720" t="s">
        <v>1086</v>
      </c>
      <c r="E58" s="704"/>
      <c r="F58" s="1784">
        <f>'Expenditures 15-22'!G151</f>
        <v>817329</v>
      </c>
      <c r="G58" s="701"/>
    </row>
    <row r="59" spans="1:7" x14ac:dyDescent="0.2">
      <c r="A59" s="728" t="s">
        <v>457</v>
      </c>
      <c r="B59" s="692" t="s">
        <v>1850</v>
      </c>
      <c r="C59" s="729" t="s">
        <v>975</v>
      </c>
      <c r="D59" s="692" t="s">
        <v>288</v>
      </c>
      <c r="F59" s="1785">
        <f>'Expenditures 15-22'!I151</f>
        <v>0</v>
      </c>
      <c r="G59" s="701"/>
    </row>
    <row r="60" spans="1:7" x14ac:dyDescent="0.2">
      <c r="A60" s="728" t="s">
        <v>496</v>
      </c>
      <c r="B60" s="692" t="s">
        <v>1851</v>
      </c>
      <c r="C60" s="729">
        <v>4000</v>
      </c>
      <c r="D60" s="692" t="s">
        <v>309</v>
      </c>
      <c r="F60" s="1783">
        <f>'Expenditures 15-22'!K160</f>
        <v>0</v>
      </c>
      <c r="G60" s="701"/>
    </row>
    <row r="61" spans="1:7" x14ac:dyDescent="0.2">
      <c r="A61" s="730" t="s">
        <v>496</v>
      </c>
      <c r="B61" s="730" t="s">
        <v>1852</v>
      </c>
      <c r="C61" s="731" t="str">
        <f>'Expenditures 15-22'!B170</f>
        <v>5300</v>
      </c>
      <c r="D61" s="732" t="s">
        <v>308</v>
      </c>
      <c r="E61" s="715"/>
      <c r="F61" s="1782">
        <f>'Expenditures 15-22'!K170</f>
        <v>535000</v>
      </c>
      <c r="G61" s="701"/>
    </row>
    <row r="62" spans="1:7" x14ac:dyDescent="0.2">
      <c r="A62" s="705" t="s">
        <v>458</v>
      </c>
      <c r="B62" s="705" t="s">
        <v>1853</v>
      </c>
      <c r="C62" s="721">
        <f>'Expenditures 15-22'!B185</f>
        <v>3000</v>
      </c>
      <c r="D62" s="712" t="s">
        <v>446</v>
      </c>
      <c r="E62" s="704"/>
      <c r="F62" s="1782">
        <f>'Expenditures 15-22'!K185-SUM('Expenditures 15-22'!G185,'Expenditures 15-22'!I185)</f>
        <v>0</v>
      </c>
      <c r="G62" s="701"/>
    </row>
    <row r="63" spans="1:7" x14ac:dyDescent="0.2">
      <c r="A63" s="705" t="s">
        <v>458</v>
      </c>
      <c r="B63" s="705" t="s">
        <v>1854</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1855</v>
      </c>
      <c r="C64" s="731" t="str">
        <f>'Expenditures 15-22'!B206</f>
        <v>5300</v>
      </c>
      <c r="D64" s="727" t="s">
        <v>308</v>
      </c>
      <c r="E64" s="704"/>
      <c r="F64" s="1782">
        <f>'Expenditures 15-22'!K206</f>
        <v>0</v>
      </c>
      <c r="G64" s="701"/>
    </row>
    <row r="65" spans="1:9" x14ac:dyDescent="0.2">
      <c r="A65" s="705" t="s">
        <v>458</v>
      </c>
      <c r="B65" s="705" t="s">
        <v>1856</v>
      </c>
      <c r="C65" s="721" t="s">
        <v>975</v>
      </c>
      <c r="D65" s="720" t="s">
        <v>1086</v>
      </c>
      <c r="E65" s="704"/>
      <c r="F65" s="1782">
        <f>'Expenditures 15-22'!G210</f>
        <v>3950</v>
      </c>
      <c r="G65" s="701"/>
    </row>
    <row r="66" spans="1:9" x14ac:dyDescent="0.2">
      <c r="A66" s="705" t="s">
        <v>458</v>
      </c>
      <c r="B66" s="705" t="s">
        <v>1857</v>
      </c>
      <c r="C66" s="721" t="s">
        <v>975</v>
      </c>
      <c r="D66" s="720" t="s">
        <v>288</v>
      </c>
      <c r="E66" s="704"/>
      <c r="F66" s="1782">
        <f>'Expenditures 15-22'!I210</f>
        <v>0</v>
      </c>
      <c r="G66" s="701"/>
    </row>
    <row r="67" spans="1:9" x14ac:dyDescent="0.2">
      <c r="A67" s="705" t="s">
        <v>459</v>
      </c>
      <c r="B67" s="705" t="s">
        <v>1858</v>
      </c>
      <c r="C67" s="721" t="str">
        <f>'Expenditures 15-22'!B216</f>
        <v>1125</v>
      </c>
      <c r="D67" s="727" t="str">
        <f>'Expenditures 15-22'!A216</f>
        <v>Pre-K Programs</v>
      </c>
      <c r="E67" s="704"/>
      <c r="F67" s="1782">
        <f>'Expenditures 15-22'!K216</f>
        <v>18130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1859</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1860</v>
      </c>
      <c r="C70" s="721">
        <f>'Expenditures 15-22'!B221</f>
        <v>1300</v>
      </c>
      <c r="D70" s="722" t="str">
        <f>'Expenditures 15-22'!A221</f>
        <v>Adult/Continuing Education Programs</v>
      </c>
      <c r="E70" s="704"/>
      <c r="F70" s="1782">
        <f>'Expenditures 15-22'!K221</f>
        <v>0</v>
      </c>
      <c r="G70" s="701"/>
    </row>
    <row r="71" spans="1:9" x14ac:dyDescent="0.2">
      <c r="A71" s="705" t="s">
        <v>459</v>
      </c>
      <c r="B71" s="705" t="s">
        <v>1861</v>
      </c>
      <c r="C71" s="721">
        <f>'Expenditures 15-22'!B224</f>
        <v>1600</v>
      </c>
      <c r="D71" s="722" t="str">
        <f>'Expenditures 15-22'!A224</f>
        <v>Summer School Programs</v>
      </c>
      <c r="E71" s="704"/>
      <c r="F71" s="1782">
        <f>'Expenditures 15-22'!K224</f>
        <v>256</v>
      </c>
      <c r="G71" s="701"/>
    </row>
    <row r="72" spans="1:9" x14ac:dyDescent="0.2">
      <c r="A72" s="705" t="s">
        <v>459</v>
      </c>
      <c r="B72" s="705" t="s">
        <v>1862</v>
      </c>
      <c r="C72" s="721">
        <f>'Expenditures 15-22'!B280</f>
        <v>3000</v>
      </c>
      <c r="D72" s="712" t="s">
        <v>446</v>
      </c>
      <c r="E72" s="704"/>
      <c r="F72" s="1782">
        <f>'Expenditures 15-22'!K280</f>
        <v>7487</v>
      </c>
      <c r="G72" s="701"/>
    </row>
    <row r="73" spans="1:9" x14ac:dyDescent="0.2">
      <c r="A73" s="705" t="s">
        <v>459</v>
      </c>
      <c r="B73" s="705" t="s">
        <v>1863</v>
      </c>
      <c r="C73" s="721" t="str">
        <f>'Expenditures 15-22'!B285</f>
        <v>4000</v>
      </c>
      <c r="D73" s="722" t="str">
        <f>'Expenditures 15-22'!A285</f>
        <v>Total Payments to Other Govt Units</v>
      </c>
      <c r="E73" s="704"/>
      <c r="F73" s="1782">
        <f>'Expenditures 15-22'!K285</f>
        <v>56788</v>
      </c>
      <c r="G73" s="701"/>
    </row>
    <row r="74" spans="1:9" x14ac:dyDescent="0.2">
      <c r="A74" s="705" t="s">
        <v>433</v>
      </c>
      <c r="B74" s="705" t="s">
        <v>1864</v>
      </c>
      <c r="C74" s="721" t="s">
        <v>855</v>
      </c>
      <c r="D74" s="722" t="s">
        <v>1470</v>
      </c>
      <c r="E74" s="704"/>
      <c r="F74" s="1786">
        <f>'Expenditures 15-22'!K334</f>
        <v>0</v>
      </c>
      <c r="G74" s="701"/>
    </row>
    <row r="75" spans="1:9" x14ac:dyDescent="0.2">
      <c r="A75" s="705" t="s">
        <v>2003</v>
      </c>
      <c r="B75" s="705" t="s">
        <v>2004</v>
      </c>
      <c r="C75" s="721" t="s">
        <v>975</v>
      </c>
      <c r="D75" s="722" t="s">
        <v>1086</v>
      </c>
      <c r="E75" s="704"/>
      <c r="F75" s="1786">
        <f>'Expenditures 15-22'!G342</f>
        <v>0</v>
      </c>
      <c r="G75" s="701"/>
    </row>
    <row r="76" spans="1:9" ht="10.5" customHeight="1" x14ac:dyDescent="0.2">
      <c r="A76" s="701" t="s">
        <v>433</v>
      </c>
      <c r="B76" s="705" t="s">
        <v>2005</v>
      </c>
      <c r="C76" s="711" t="s">
        <v>975</v>
      </c>
      <c r="D76" s="701" t="s">
        <v>288</v>
      </c>
      <c r="E76" s="704"/>
      <c r="F76" s="1786">
        <f>'Expenditures 15-22'!I342</f>
        <v>0</v>
      </c>
      <c r="G76" s="703"/>
    </row>
    <row r="77" spans="1:9" ht="12" thickBot="1" x14ac:dyDescent="0.25">
      <c r="A77" s="1443"/>
      <c r="B77" s="1448"/>
      <c r="C77" s="1445"/>
      <c r="D77" s="1449" t="s">
        <v>2006</v>
      </c>
      <c r="E77" s="1447" t="s">
        <v>952</v>
      </c>
      <c r="F77" s="1787">
        <f>SUM(F18:F76)</f>
        <v>5355389</v>
      </c>
      <c r="G77" s="701"/>
    </row>
    <row r="78" spans="1:9" s="728" customFormat="1" ht="12" customHeight="1" thickTop="1" thickBot="1" x14ac:dyDescent="0.25">
      <c r="A78" s="1450"/>
      <c r="B78" s="1448"/>
      <c r="C78" s="1445"/>
      <c r="D78" s="1449" t="s">
        <v>2007</v>
      </c>
      <c r="E78" s="1447"/>
      <c r="F78" s="1788">
        <f>(F14-F77)</f>
        <v>17583727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1785.9</v>
      </c>
      <c r="G79" s="733"/>
      <c r="H79" s="705"/>
      <c r="I79" s="705"/>
    </row>
    <row r="80" spans="1:9" s="728" customFormat="1" ht="12" customHeight="1" thickBot="1" x14ac:dyDescent="0.25">
      <c r="A80" s="1452"/>
      <c r="B80" s="1448"/>
      <c r="C80" s="1445"/>
      <c r="D80" s="1449" t="s">
        <v>2008</v>
      </c>
      <c r="E80" s="1447" t="s">
        <v>952</v>
      </c>
      <c r="F80" s="1790">
        <f>IF(F79&gt;0,F78/F79," Complete Line 79")</f>
        <v>9845.8631502323751</v>
      </c>
      <c r="G80" s="705"/>
    </row>
    <row r="81" spans="1:7" s="728" customFormat="1" ht="8.25" customHeight="1" thickTop="1" x14ac:dyDescent="0.2">
      <c r="A81" s="734"/>
      <c r="B81" s="705"/>
      <c r="C81" s="707"/>
      <c r="D81" s="735"/>
      <c r="E81" s="704"/>
      <c r="F81" s="1791"/>
      <c r="G81" s="705"/>
    </row>
    <row r="82" spans="1:7" s="728" customFormat="1" ht="12" thickBot="1" x14ac:dyDescent="0.25">
      <c r="A82" s="2474" t="s">
        <v>1096</v>
      </c>
      <c r="B82" s="2475"/>
      <c r="C82" s="2475"/>
      <c r="D82" s="2475"/>
      <c r="E82" s="2475"/>
      <c r="F82" s="247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4078</v>
      </c>
      <c r="G85" s="745"/>
    </row>
    <row r="86" spans="1:7" x14ac:dyDescent="0.2">
      <c r="A86" s="741" t="s">
        <v>458</v>
      </c>
      <c r="B86" s="741" t="s">
        <v>182</v>
      </c>
      <c r="C86" s="746">
        <f>'Revenues 9-14'!B44</f>
        <v>1413</v>
      </c>
      <c r="D86" s="744" t="str">
        <f>'Revenues 9-14'!A44</f>
        <v>Regular - Transp Fees from Other Sources (In State)</v>
      </c>
      <c r="E86" s="739"/>
      <c r="F86" s="1793">
        <f>'Revenues 9-14'!F44</f>
        <v>1730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192493</v>
      </c>
      <c r="G95" s="745"/>
    </row>
    <row r="96" spans="1:7" x14ac:dyDescent="0.2">
      <c r="A96" s="741" t="s">
        <v>139</v>
      </c>
      <c r="B96" s="741" t="s">
        <v>174</v>
      </c>
      <c r="C96" s="743">
        <v>1700</v>
      </c>
      <c r="D96" s="751" t="str">
        <f>'Revenues 9-14'!A82</f>
        <v>Total District/School Activity Income</v>
      </c>
      <c r="E96" s="739"/>
      <c r="F96" s="1793">
        <f>SUM('Revenues 9-14'!C82,'Revenues 9-14'!D82)</f>
        <v>59218</v>
      </c>
      <c r="G96" s="745"/>
    </row>
    <row r="97" spans="1:7" x14ac:dyDescent="0.2">
      <c r="A97" s="741" t="s">
        <v>456</v>
      </c>
      <c r="B97" s="741" t="s">
        <v>175</v>
      </c>
      <c r="C97" s="743">
        <f>'Revenues 9-14'!B84</f>
        <v>1811</v>
      </c>
      <c r="D97" s="744" t="str">
        <f>'Revenues 9-14'!A84</f>
        <v>Rentals - Regular Textbooks</v>
      </c>
      <c r="E97" s="739"/>
      <c r="F97" s="1793">
        <f>'Revenues 9-14'!C84</f>
        <v>11465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4715</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468172</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1905</v>
      </c>
      <c r="C106" s="746">
        <v>3100</v>
      </c>
      <c r="D106" s="752" t="str">
        <f>'Revenues 9-14'!A132</f>
        <v>Total Special Education</v>
      </c>
      <c r="E106" s="739"/>
      <c r="F106" s="1793">
        <f>SUM('Revenues 9-14'!C132:D132,'Revenues 9-14'!F132)</f>
        <v>232139</v>
      </c>
      <c r="G106" s="745"/>
    </row>
    <row r="107" spans="1:7" x14ac:dyDescent="0.2">
      <c r="A107" s="741" t="s">
        <v>668</v>
      </c>
      <c r="B107" s="741" t="s">
        <v>1906</v>
      </c>
      <c r="C107" s="753">
        <v>3200</v>
      </c>
      <c r="D107" s="744" t="str">
        <f>'Revenues 9-14'!A141</f>
        <v>Total Career and Technical Education</v>
      </c>
      <c r="E107" s="739"/>
      <c r="F107" s="1793">
        <f>SUM('Revenues 9-14'!C141,'Revenues 9-14'!D141,'Revenues 9-14'!G141)</f>
        <v>51271</v>
      </c>
      <c r="G107" s="745"/>
    </row>
    <row r="108" spans="1:7" x14ac:dyDescent="0.2">
      <c r="A108" s="754" t="s">
        <v>659</v>
      </c>
      <c r="B108" s="741" t="s">
        <v>1907</v>
      </c>
      <c r="C108" s="753">
        <v>3300</v>
      </c>
      <c r="D108" s="744" t="str">
        <f>'Revenues 9-14'!A145</f>
        <v>Total Bilingual Ed</v>
      </c>
      <c r="E108" s="739"/>
      <c r="F108" s="1793">
        <f>SUM('Revenues 9-14'!C145,'Revenues 9-14'!G145)</f>
        <v>0</v>
      </c>
      <c r="G108" s="745"/>
    </row>
    <row r="109" spans="1:7" x14ac:dyDescent="0.2">
      <c r="A109" s="741" t="s">
        <v>456</v>
      </c>
      <c r="B109" s="741" t="s">
        <v>1908</v>
      </c>
      <c r="C109" s="753">
        <f>'Revenues 9-14'!B146</f>
        <v>3360</v>
      </c>
      <c r="D109" s="744" t="str">
        <f>'Revenues 9-14'!A146</f>
        <v>State Free Lunch &amp; Breakfast</v>
      </c>
      <c r="E109" s="739"/>
      <c r="F109" s="1793">
        <f>'Revenues 9-14'!C146</f>
        <v>11580</v>
      </c>
      <c r="G109" s="745"/>
    </row>
    <row r="110" spans="1:7" x14ac:dyDescent="0.2">
      <c r="A110" s="741" t="s">
        <v>668</v>
      </c>
      <c r="B110" s="741" t="s">
        <v>1909</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1910</v>
      </c>
      <c r="C111" s="753">
        <f>'Revenues 9-14'!B148</f>
        <v>3370</v>
      </c>
      <c r="D111" s="744" t="str">
        <f>'Revenues 9-14'!A148</f>
        <v>Driver Education</v>
      </c>
      <c r="E111" s="739"/>
      <c r="F111" s="1793">
        <f>SUM('Revenues 9-14'!C148,'Revenues 9-14'!D148)</f>
        <v>14398</v>
      </c>
      <c r="G111" s="745"/>
    </row>
    <row r="112" spans="1:7" x14ac:dyDescent="0.2">
      <c r="A112" s="741" t="s">
        <v>663</v>
      </c>
      <c r="B112" s="741" t="s">
        <v>1911</v>
      </c>
      <c r="C112" s="755">
        <v>3500</v>
      </c>
      <c r="D112" s="744" t="str">
        <f>'Revenues 9-14'!A155</f>
        <v>Total Transportation</v>
      </c>
      <c r="E112" s="739"/>
      <c r="F112" s="1793">
        <f>SUM('Revenues 9-14'!C155,'Revenues 9-14'!D155,'Revenues 9-14'!F155,'Revenues 9-14'!G155)</f>
        <v>671565</v>
      </c>
      <c r="G112" s="745"/>
    </row>
    <row r="113" spans="1:7" x14ac:dyDescent="0.2">
      <c r="A113" s="741" t="s">
        <v>456</v>
      </c>
      <c r="B113" s="741" t="s">
        <v>1912</v>
      </c>
      <c r="C113" s="753">
        <f>'Revenues 9-14'!B156</f>
        <v>3610</v>
      </c>
      <c r="D113" s="744" t="str">
        <f>'Revenues 9-14'!A156</f>
        <v>Learning Improvement - Change Grants</v>
      </c>
      <c r="E113" s="739"/>
      <c r="F113" s="1793">
        <f>'Revenues 9-14'!C156</f>
        <v>0</v>
      </c>
      <c r="G113" s="745"/>
    </row>
    <row r="114" spans="1:7" x14ac:dyDescent="0.2">
      <c r="A114" s="741" t="s">
        <v>663</v>
      </c>
      <c r="B114" s="741" t="s">
        <v>1913</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1914</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1915</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1916</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1917</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1918</v>
      </c>
      <c r="C119" s="757">
        <f>'Revenues 9-14'!B163</f>
        <v>3780</v>
      </c>
      <c r="D119" s="758" t="str">
        <f>'Revenues 9-14'!A163</f>
        <v>Technology - Technology for Success</v>
      </c>
      <c r="E119" s="739"/>
      <c r="F119" s="1792">
        <f>SUM('Revenues 9-14'!C163:G163)</f>
        <v>0</v>
      </c>
      <c r="G119" s="745"/>
    </row>
    <row r="120" spans="1:7" x14ac:dyDescent="0.2">
      <c r="A120" s="756" t="s">
        <v>501</v>
      </c>
      <c r="B120" s="756" t="s">
        <v>1919</v>
      </c>
      <c r="C120" s="757">
        <f>'Revenues 9-14'!B164</f>
        <v>3815</v>
      </c>
      <c r="D120" s="758" t="str">
        <f>'Revenues 9-14'!A164</f>
        <v>State Charter Schools</v>
      </c>
      <c r="E120" s="739"/>
      <c r="F120" s="1792">
        <f>SUM('Revenues 9-14'!C164,'Revenues 9-14'!F164)</f>
        <v>0</v>
      </c>
      <c r="G120" s="745"/>
    </row>
    <row r="121" spans="1:7" x14ac:dyDescent="0.2">
      <c r="A121" s="760" t="s">
        <v>457</v>
      </c>
      <c r="B121" s="760" t="s">
        <v>1920</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1921</v>
      </c>
      <c r="C122" s="761">
        <f>'Revenues 9-14'!B168</f>
        <v>3999</v>
      </c>
      <c r="D122" s="762" t="s">
        <v>540</v>
      </c>
      <c r="E122" s="764"/>
      <c r="F122" s="1793">
        <f>SUM('Revenues 9-14'!C168:G168,'Revenues 9-14'!J168)</f>
        <v>0</v>
      </c>
      <c r="G122" s="763"/>
    </row>
    <row r="123" spans="1:7" x14ac:dyDescent="0.2">
      <c r="A123" s="760" t="s">
        <v>456</v>
      </c>
      <c r="B123" s="760" t="s">
        <v>1922</v>
      </c>
      <c r="C123" s="765">
        <f>'Revenues 9-14'!B177</f>
        <v>4045</v>
      </c>
      <c r="D123" s="762" t="str">
        <f>'Revenues 9-14'!A177 &amp; " (Subtract)"</f>
        <v>Head Start (Subtract)</v>
      </c>
      <c r="E123" s="739"/>
      <c r="F123" s="1793">
        <f>SUM(-'Revenues 9-14'!C177)</f>
        <v>0</v>
      </c>
      <c r="G123" s="763"/>
    </row>
    <row r="124" spans="1:7" x14ac:dyDescent="0.2">
      <c r="A124" s="760" t="s">
        <v>663</v>
      </c>
      <c r="B124" s="760" t="s">
        <v>1923</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1924</v>
      </c>
      <c r="C125" s="765">
        <v>4100</v>
      </c>
      <c r="D125" s="766" t="str">
        <f>'Revenues 9-14'!A188</f>
        <v>Total Title V</v>
      </c>
      <c r="E125" s="739"/>
      <c r="F125" s="1793">
        <f>SUM('Revenues 9-14'!C188,'Revenues 9-14'!D188,'Revenues 9-14'!F188,'Revenues 9-14'!G188)</f>
        <v>49405</v>
      </c>
      <c r="G125" s="763"/>
    </row>
    <row r="126" spans="1:7" x14ac:dyDescent="0.2">
      <c r="A126" s="760" t="s">
        <v>659</v>
      </c>
      <c r="B126" s="760" t="s">
        <v>1925</v>
      </c>
      <c r="C126" s="765">
        <v>4200</v>
      </c>
      <c r="D126" s="762" t="str">
        <f>'Revenues 9-14'!A198</f>
        <v>Total Food Service</v>
      </c>
      <c r="E126" s="739"/>
      <c r="F126" s="1793">
        <f>SUM('Revenues 9-14'!C198,'Revenues 9-14'!G198)</f>
        <v>1088885</v>
      </c>
      <c r="G126" s="763"/>
    </row>
    <row r="127" spans="1:7" x14ac:dyDescent="0.2">
      <c r="A127" s="760" t="s">
        <v>663</v>
      </c>
      <c r="B127" s="760" t="s">
        <v>1926</v>
      </c>
      <c r="C127" s="765">
        <v>4300</v>
      </c>
      <c r="D127" s="766" t="str">
        <f>'Revenues 9-14'!A204</f>
        <v>Total Title I</v>
      </c>
      <c r="E127" s="739"/>
      <c r="F127" s="1793">
        <f>SUM('Revenues 9-14'!C204,'Revenues 9-14'!D204,'Revenues 9-14'!F204,'Revenues 9-14'!G204)</f>
        <v>1006883</v>
      </c>
      <c r="G127" s="763"/>
    </row>
    <row r="128" spans="1:7" x14ac:dyDescent="0.2">
      <c r="A128" s="760" t="s">
        <v>663</v>
      </c>
      <c r="B128" s="760" t="s">
        <v>1927</v>
      </c>
      <c r="C128" s="765">
        <v>4400</v>
      </c>
      <c r="D128" s="766" t="str">
        <f>'Revenues 9-14'!A209</f>
        <v>Total Title IV</v>
      </c>
      <c r="E128" s="739"/>
      <c r="F128" s="1793">
        <f>SUM('Revenues 9-14'!C209,'Revenues 9-14'!D209,'Revenues 9-14'!F209,'Revenues 9-14'!G209)</f>
        <v>0</v>
      </c>
      <c r="G128" s="763"/>
    </row>
    <row r="129" spans="1:7" x14ac:dyDescent="0.2">
      <c r="A129" s="760" t="s">
        <v>663</v>
      </c>
      <c r="B129" s="760" t="s">
        <v>1928</v>
      </c>
      <c r="C129" s="765">
        <f>'Revenues 9-14'!B213</f>
        <v>4620</v>
      </c>
      <c r="D129" s="766" t="str">
        <f>'Revenues 9-14'!A213</f>
        <v>Fed - Spec Education - IDEA - Flow Through</v>
      </c>
      <c r="E129" s="739"/>
      <c r="F129" s="1793">
        <f>SUM('Revenues 9-14'!C213:D213,'Revenues 9-14'!F213:G213)</f>
        <v>527625</v>
      </c>
      <c r="G129" s="763"/>
    </row>
    <row r="130" spans="1:7" x14ac:dyDescent="0.2">
      <c r="A130" s="760" t="s">
        <v>663</v>
      </c>
      <c r="B130" s="760" t="s">
        <v>1929</v>
      </c>
      <c r="C130" s="765">
        <f>'Revenues 9-14'!B214</f>
        <v>4625</v>
      </c>
      <c r="D130" s="766" t="str">
        <f>'Revenues 9-14'!A214</f>
        <v>Fed - Spec Education - IDEA - Room &amp; Board</v>
      </c>
      <c r="E130" s="739"/>
      <c r="F130" s="1793">
        <f>SUM('Revenues 9-14'!C214,'Revenues 9-14'!D214,'Revenues 9-14'!F214,'Revenues 9-14'!G214)</f>
        <v>595624</v>
      </c>
      <c r="G130" s="763"/>
    </row>
    <row r="131" spans="1:7" x14ac:dyDescent="0.2">
      <c r="A131" s="760" t="s">
        <v>663</v>
      </c>
      <c r="B131" s="760" t="s">
        <v>1930</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1931</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1932</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1933</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1934</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1935</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1936</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1937</v>
      </c>
      <c r="C139" s="768" t="s">
        <v>210</v>
      </c>
      <c r="D139" s="769" t="str">
        <f>'Revenues 9-14'!A229</f>
        <v>ARRA - IDEA - Part B - Preschool</v>
      </c>
      <c r="E139" s="770"/>
      <c r="F139" s="1793">
        <v>0</v>
      </c>
      <c r="G139" s="738"/>
    </row>
    <row r="140" spans="1:7" s="703" customFormat="1" hidden="1" x14ac:dyDescent="0.2">
      <c r="A140" s="767" t="s">
        <v>204</v>
      </c>
      <c r="B140" s="767" t="s">
        <v>1938</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1939</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1940</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1941</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1942</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1943</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1944</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1945</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1946</v>
      </c>
      <c r="C158" s="773" t="s">
        <v>836</v>
      </c>
      <c r="D158" s="774" t="s">
        <v>772</v>
      </c>
      <c r="E158" s="775"/>
      <c r="F158" s="1793">
        <f>SUM(F134:F157)</f>
        <v>0</v>
      </c>
      <c r="G158" s="738"/>
    </row>
    <row r="159" spans="1:7" s="703" customFormat="1" x14ac:dyDescent="0.2">
      <c r="A159" s="771" t="s">
        <v>456</v>
      </c>
      <c r="B159" s="772" t="s">
        <v>1947</v>
      </c>
      <c r="C159" s="773" t="s">
        <v>1410</v>
      </c>
      <c r="D159" s="774" t="s">
        <v>1411</v>
      </c>
      <c r="E159" s="775"/>
      <c r="F159" s="1793">
        <f>SUM('Revenues 9-14'!C253)</f>
        <v>0</v>
      </c>
      <c r="G159" s="738"/>
    </row>
    <row r="160" spans="1:7" s="703" customFormat="1" x14ac:dyDescent="0.2">
      <c r="A160" s="771" t="s">
        <v>497</v>
      </c>
      <c r="B160" s="772" t="s">
        <v>1948</v>
      </c>
      <c r="C160" s="773" t="s">
        <v>1449</v>
      </c>
      <c r="D160" s="774" t="s">
        <v>1450</v>
      </c>
      <c r="E160" s="775"/>
      <c r="F160" s="1793">
        <f>SUM('Revenues 9-14'!C254:H254,'Revenues 9-14'!J254:K254)</f>
        <v>0</v>
      </c>
      <c r="G160" s="738"/>
    </row>
    <row r="161" spans="1:7" x14ac:dyDescent="0.2">
      <c r="A161" s="760" t="s">
        <v>5</v>
      </c>
      <c r="B161" s="760" t="s">
        <v>1949</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1950</v>
      </c>
      <c r="C162" s="765">
        <f>'Revenues 9-14'!B256</f>
        <v>4909</v>
      </c>
      <c r="D162" s="762" t="str">
        <f>'Revenues 9-14'!A256</f>
        <v>Title III - Language Inst Program - Limited Eng (LIPLEP)</v>
      </c>
      <c r="E162" s="739"/>
      <c r="F162" s="1793">
        <f>SUM('Revenues 9-14'!C256,'Revenues 9-14'!F256,'Revenues 9-14'!G256)</f>
        <v>10811</v>
      </c>
      <c r="G162" s="776"/>
    </row>
    <row r="163" spans="1:7" x14ac:dyDescent="0.2">
      <c r="A163" s="760" t="s">
        <v>663</v>
      </c>
      <c r="B163" s="760" t="s">
        <v>1951</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1952</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1953</v>
      </c>
      <c r="C165" s="765">
        <f>'Revenues 9-14'!B259</f>
        <v>4932</v>
      </c>
      <c r="D165" s="766" t="str">
        <f>'Revenues 9-14'!A259</f>
        <v>Title II - Teacher Quality</v>
      </c>
      <c r="E165" s="739"/>
      <c r="F165" s="1792">
        <f>SUM('Revenues 9-14'!C259,'Revenues 9-14'!D259,'Revenues 9-14'!F259,'Revenues 9-14'!G259)</f>
        <v>139902</v>
      </c>
      <c r="G165" s="763"/>
    </row>
    <row r="166" spans="1:7" x14ac:dyDescent="0.2">
      <c r="A166" s="760" t="s">
        <v>663</v>
      </c>
      <c r="B166" s="760" t="s">
        <v>1954</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1899</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1900</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1955</v>
      </c>
      <c r="C169" s="765">
        <f>'Revenues 9-14'!B263</f>
        <v>4991</v>
      </c>
      <c r="D169" s="766" t="str">
        <f>'Revenues 9-14'!A263</f>
        <v>Medicaid Matching Funds - Administrative Outreach</v>
      </c>
      <c r="E169" s="739"/>
      <c r="F169" s="1793">
        <f>SUM('Revenues 9-14'!C263:D263,'Revenues 9-14'!F263:G263)</f>
        <v>20876</v>
      </c>
      <c r="G169" s="780">
        <v>6320</v>
      </c>
    </row>
    <row r="170" spans="1:7" x14ac:dyDescent="0.2">
      <c r="A170" s="760" t="s">
        <v>663</v>
      </c>
      <c r="B170" s="760" t="s">
        <v>1956</v>
      </c>
      <c r="C170" s="765">
        <f>'Revenues 9-14'!B264</f>
        <v>4992</v>
      </c>
      <c r="D170" s="766" t="str">
        <f>'Revenues 9-14'!A264</f>
        <v>Medicaid Matching Funds - Fee-for-Service Program</v>
      </c>
      <c r="E170" s="739"/>
      <c r="F170" s="1793">
        <f>SUM('Revenues 9-14'!C264:D264,'Revenues 9-14'!F264:G264)</f>
        <v>5754</v>
      </c>
      <c r="G170" s="780"/>
    </row>
    <row r="171" spans="1:7" x14ac:dyDescent="0.2">
      <c r="A171" s="781" t="s">
        <v>663</v>
      </c>
      <c r="B171" s="777" t="s">
        <v>1957</v>
      </c>
      <c r="C171" s="778">
        <f>'Revenues 9-14'!B265</f>
        <v>4998</v>
      </c>
      <c r="D171" s="779" t="str">
        <f>'Revenues 9-14'!A265</f>
        <v>Other Restricted Revenue from Federal Sources (Describe &amp; Itemize)</v>
      </c>
      <c r="E171" s="739"/>
      <c r="F171" s="1793">
        <f>SUM('Revenues 9-14'!C265:D265,'Revenues 9-14'!F265:G265)</f>
        <v>680768</v>
      </c>
      <c r="G171" s="760"/>
    </row>
    <row r="172" spans="1:7" x14ac:dyDescent="0.2">
      <c r="A172" s="1529" t="s">
        <v>5</v>
      </c>
      <c r="B172" s="1530" t="s">
        <v>1880</v>
      </c>
      <c r="C172" s="1531">
        <v>3100</v>
      </c>
      <c r="D172" s="1532" t="s">
        <v>1882</v>
      </c>
      <c r="E172" s="739"/>
      <c r="F172" s="1794">
        <v>537529.42000000004</v>
      </c>
      <c r="G172" s="760"/>
    </row>
    <row r="173" spans="1:7" x14ac:dyDescent="0.2">
      <c r="A173" s="1529" t="s">
        <v>659</v>
      </c>
      <c r="B173" s="1530" t="s">
        <v>1880</v>
      </c>
      <c r="C173" s="1531">
        <v>3300</v>
      </c>
      <c r="D173" s="1532" t="s">
        <v>1883</v>
      </c>
      <c r="E173" s="739"/>
      <c r="F173" s="1794">
        <v>118855.99</v>
      </c>
      <c r="G173" s="760"/>
    </row>
    <row r="174" spans="1:7" ht="6" customHeight="1" x14ac:dyDescent="0.2">
      <c r="A174" s="760"/>
      <c r="B174" s="760"/>
      <c r="C174" s="782"/>
      <c r="D174" s="760"/>
      <c r="E174" s="739"/>
      <c r="F174" s="1795"/>
      <c r="G174" s="780"/>
    </row>
    <row r="175" spans="1:7" x14ac:dyDescent="0.2">
      <c r="A175" s="1443"/>
      <c r="B175" s="1453"/>
      <c r="C175" s="1454"/>
      <c r="D175" s="1455" t="s">
        <v>2011</v>
      </c>
      <c r="E175" s="1456" t="s">
        <v>952</v>
      </c>
      <c r="F175" s="1796">
        <f>SUM(F85:F133,F158:F173)</f>
        <v>6555742.4100000001</v>
      </c>
    </row>
    <row r="176" spans="1:7" ht="12" customHeight="1" x14ac:dyDescent="0.2">
      <c r="A176" s="1443"/>
      <c r="B176" s="1453"/>
      <c r="C176" s="1454"/>
      <c r="D176" s="1455" t="s">
        <v>2009</v>
      </c>
      <c r="E176" s="1456"/>
      <c r="F176" s="1793">
        <f>'PCTC-OEPP 27-28'!F78-F175</f>
        <v>11027984.59</v>
      </c>
    </row>
    <row r="177" spans="1:9" ht="12" customHeight="1" x14ac:dyDescent="0.2">
      <c r="A177" s="1443"/>
      <c r="B177" s="1453"/>
      <c r="C177" s="1454"/>
      <c r="D177" s="1455" t="s">
        <v>1789</v>
      </c>
      <c r="E177" s="1456"/>
      <c r="F177" s="1793">
        <f>'Cap Outlay Deprec 26'!I18</f>
        <v>1184130</v>
      </c>
    </row>
    <row r="178" spans="1:9" ht="12" customHeight="1" x14ac:dyDescent="0.2">
      <c r="A178" s="1443"/>
      <c r="B178" s="1453"/>
      <c r="C178" s="1454"/>
      <c r="D178" s="1455" t="s">
        <v>2010</v>
      </c>
      <c r="E178" s="1456"/>
      <c r="F178" s="1793">
        <f>F176+F177</f>
        <v>12212114.59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1785.9</v>
      </c>
      <c r="G179" s="763"/>
      <c r="I179" s="701"/>
    </row>
    <row r="180" spans="1:9" ht="12" customHeight="1" thickBot="1" x14ac:dyDescent="0.25">
      <c r="A180" s="1443"/>
      <c r="B180" s="1457"/>
      <c r="C180" s="1454"/>
      <c r="D180" s="1455" t="s">
        <v>2012</v>
      </c>
      <c r="E180" s="1456" t="s">
        <v>1528</v>
      </c>
      <c r="F180" s="1798">
        <f>F178/F179</f>
        <v>6838.0730108068756</v>
      </c>
      <c r="G180" s="692">
        <v>6323</v>
      </c>
    </row>
    <row r="181" spans="1:9" ht="12" thickTop="1" x14ac:dyDescent="0.2">
      <c r="B181" s="763"/>
      <c r="C181" s="782"/>
      <c r="D181" s="763"/>
      <c r="E181" s="782"/>
      <c r="F181" s="763"/>
      <c r="G181" s="783">
        <v>6326</v>
      </c>
    </row>
    <row r="182" spans="1:9" ht="12.2" customHeight="1" x14ac:dyDescent="0.2">
      <c r="A182" s="763" t="s">
        <v>1881</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1885</v>
      </c>
      <c r="B186" s="1536" t="s">
        <v>1884</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1802</v>
      </c>
      <c r="B1" s="1860"/>
      <c r="C1" s="1861"/>
      <c r="D1" s="1861"/>
      <c r="E1" s="1861"/>
      <c r="F1" s="1861"/>
    </row>
    <row r="2" spans="1:6" x14ac:dyDescent="0.25">
      <c r="A2" s="1863"/>
      <c r="B2" s="1864"/>
      <c r="C2" s="1913" t="s">
        <v>1998</v>
      </c>
      <c r="D2" s="1863"/>
      <c r="E2" s="1863"/>
      <c r="F2" s="1863"/>
    </row>
    <row r="3" spans="1:6" ht="5.25" customHeight="1" x14ac:dyDescent="0.25">
      <c r="A3" s="1865"/>
      <c r="B3" s="1866"/>
      <c r="C3" s="1865"/>
      <c r="D3" s="1865"/>
      <c r="E3" s="1865"/>
      <c r="F3" s="1865"/>
    </row>
    <row r="4" spans="1:6" ht="18.75" customHeight="1" x14ac:dyDescent="0.25">
      <c r="A4" s="2488" t="s">
        <v>1790</v>
      </c>
      <c r="B4" s="2489"/>
      <c r="C4" s="2489"/>
      <c r="D4" s="2489"/>
      <c r="E4" s="2489"/>
      <c r="F4" s="2490"/>
    </row>
    <row r="5" spans="1:6" x14ac:dyDescent="0.25">
      <c r="A5" s="2491"/>
      <c r="B5" s="2492"/>
      <c r="C5" s="2492"/>
      <c r="D5" s="2492"/>
      <c r="E5" s="2492"/>
      <c r="F5" s="2493"/>
    </row>
    <row r="6" spans="1:6" ht="18.75" x14ac:dyDescent="0.25">
      <c r="A6" s="1867" t="s">
        <v>1791</v>
      </c>
      <c r="B6" s="1868"/>
      <c r="C6" s="1869"/>
      <c r="D6" s="1869"/>
      <c r="E6" s="1869"/>
      <c r="F6" s="1870"/>
    </row>
    <row r="7" spans="1:6" ht="47.25" customHeight="1" x14ac:dyDescent="0.25">
      <c r="A7" s="2494" t="s">
        <v>1980</v>
      </c>
      <c r="B7" s="2495"/>
      <c r="C7" s="2495"/>
      <c r="D7" s="2495"/>
      <c r="E7" s="2495"/>
      <c r="F7" s="2496"/>
    </row>
    <row r="8" spans="1:6" ht="20.25" customHeight="1" x14ac:dyDescent="0.25">
      <c r="A8" s="1902" t="s">
        <v>1982</v>
      </c>
      <c r="B8" s="1903"/>
      <c r="C8" s="1903"/>
      <c r="D8" s="1903"/>
      <c r="E8" s="1871"/>
      <c r="F8" s="1872"/>
    </row>
    <row r="9" spans="1:6" ht="18" customHeight="1" x14ac:dyDescent="0.25">
      <c r="A9" s="1873" t="s">
        <v>1979</v>
      </c>
      <c r="B9" s="1875"/>
      <c r="C9" s="1875"/>
      <c r="D9" s="1875"/>
      <c r="E9" s="1871"/>
      <c r="F9" s="1872"/>
    </row>
    <row r="10" spans="1:6" ht="15.75" customHeight="1" x14ac:dyDescent="0.25">
      <c r="A10" s="2497" t="s">
        <v>1976</v>
      </c>
      <c r="B10" s="2498"/>
      <c r="C10" s="2498"/>
      <c r="D10" s="2498"/>
      <c r="E10" s="2498"/>
      <c r="F10" s="2499"/>
    </row>
    <row r="11" spans="1:6" ht="33" customHeight="1" x14ac:dyDescent="0.25">
      <c r="A11" s="2494" t="s">
        <v>1981</v>
      </c>
      <c r="B11" s="2495"/>
      <c r="C11" s="2495"/>
      <c r="D11" s="2495"/>
      <c r="E11" s="2495"/>
      <c r="F11" s="2496"/>
    </row>
    <row r="12" spans="1:6" ht="15" customHeight="1" x14ac:dyDescent="0.25">
      <c r="A12" s="1873" t="s">
        <v>1977</v>
      </c>
      <c r="B12" s="1874"/>
      <c r="C12" s="1875"/>
      <c r="D12" s="1875"/>
      <c r="E12" s="1875"/>
      <c r="F12" s="1876"/>
    </row>
    <row r="13" spans="1:6" ht="17.25" customHeight="1" x14ac:dyDescent="0.25">
      <c r="A13" s="2494" t="s">
        <v>1978</v>
      </c>
      <c r="B13" s="2495"/>
      <c r="C13" s="2495"/>
      <c r="D13" s="2495"/>
      <c r="E13" s="2495"/>
      <c r="F13" s="2496"/>
    </row>
    <row r="14" spans="1:6" ht="15" customHeight="1" x14ac:dyDescent="0.25">
      <c r="A14" s="1873" t="s">
        <v>1795</v>
      </c>
      <c r="B14" s="1874"/>
      <c r="C14" s="1875"/>
      <c r="D14" s="1875"/>
      <c r="E14" s="1875"/>
      <c r="F14" s="1876"/>
    </row>
    <row r="15" spans="1:6" ht="32.25" customHeight="1" x14ac:dyDescent="0.25">
      <c r="A15" s="248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86"/>
      <c r="C15" s="2486"/>
      <c r="D15" s="2486"/>
      <c r="E15" s="2486"/>
      <c r="F15" s="2487"/>
    </row>
    <row r="16" spans="1:6" ht="61.5" customHeight="1" x14ac:dyDescent="0.25">
      <c r="A16" s="1877" t="s">
        <v>1796</v>
      </c>
      <c r="B16" s="1878" t="s">
        <v>1797</v>
      </c>
      <c r="C16" s="1877" t="s">
        <v>1798</v>
      </c>
      <c r="D16" s="1879" t="s">
        <v>1799</v>
      </c>
      <c r="E16" s="1879" t="s">
        <v>1800</v>
      </c>
      <c r="F16" s="1879" t="s">
        <v>1801</v>
      </c>
    </row>
    <row r="17" spans="1:7" x14ac:dyDescent="0.25">
      <c r="A17" s="1880" t="s">
        <v>1803</v>
      </c>
      <c r="B17" s="1907" t="s">
        <v>1794</v>
      </c>
      <c r="C17" s="1881" t="s">
        <v>1792</v>
      </c>
      <c r="D17" s="1882">
        <v>500000</v>
      </c>
      <c r="E17" s="1882" t="str">
        <f>IF(D17&lt;25000,D17,"25,000")</f>
        <v>25,000</v>
      </c>
      <c r="F17" s="1883">
        <f>IF(D17&gt;=25000,(D17-E17),"0")</f>
        <v>475000</v>
      </c>
    </row>
    <row r="18" spans="1:7" x14ac:dyDescent="0.25">
      <c r="A18" s="2146" t="s">
        <v>2228</v>
      </c>
      <c r="B18" s="1908">
        <v>101000300</v>
      </c>
      <c r="C18" s="2147" t="s">
        <v>2229</v>
      </c>
      <c r="D18" s="1886">
        <v>227742</v>
      </c>
      <c r="E18" s="1906" t="str">
        <f t="shared" ref="E18:E81" si="0">IF(D18&lt;25000,D18,"25,000")</f>
        <v>25,000</v>
      </c>
      <c r="F18" s="1906">
        <f t="shared" ref="F18:F81" si="1">IF(D18&gt;=25000,(D18-E18),"0")</f>
        <v>202742</v>
      </c>
      <c r="G18" s="1887"/>
    </row>
    <row r="19" spans="1:7" x14ac:dyDescent="0.25">
      <c r="A19" s="2146" t="s">
        <v>2228</v>
      </c>
      <c r="B19" s="1908">
        <v>101000300</v>
      </c>
      <c r="C19" s="2147" t="s">
        <v>2230</v>
      </c>
      <c r="D19" s="1886">
        <v>48882</v>
      </c>
      <c r="E19" s="1906" t="str">
        <f t="shared" si="0"/>
        <v>25,000</v>
      </c>
      <c r="F19" s="1906">
        <f t="shared" si="1"/>
        <v>23882</v>
      </c>
    </row>
    <row r="20" spans="1:7" hidden="1" x14ac:dyDescent="0.25">
      <c r="A20" s="2146"/>
      <c r="B20" s="1908"/>
      <c r="C20" s="2147"/>
      <c r="D20" s="1886"/>
      <c r="E20" s="1906">
        <f t="shared" si="0"/>
        <v>0</v>
      </c>
      <c r="F20" s="1906" t="str">
        <f t="shared" si="1"/>
        <v>0</v>
      </c>
    </row>
    <row r="21" spans="1:7" x14ac:dyDescent="0.25">
      <c r="A21" s="2146" t="s">
        <v>2231</v>
      </c>
      <c r="B21" s="1908">
        <v>101000600</v>
      </c>
      <c r="C21" s="2147" t="s">
        <v>2232</v>
      </c>
      <c r="D21" s="1886">
        <v>408172</v>
      </c>
      <c r="E21" s="1906" t="str">
        <f t="shared" si="0"/>
        <v>25,000</v>
      </c>
      <c r="F21" s="1906">
        <f t="shared" si="1"/>
        <v>383172</v>
      </c>
    </row>
    <row r="22" spans="1:7" x14ac:dyDescent="0.25">
      <c r="A22" s="2146" t="s">
        <v>2228</v>
      </c>
      <c r="B22" s="1908">
        <v>101000300</v>
      </c>
      <c r="C22" s="2147" t="s">
        <v>2233</v>
      </c>
      <c r="D22" s="1886">
        <v>36000</v>
      </c>
      <c r="E22" s="1906" t="str">
        <f t="shared" si="0"/>
        <v>25,000</v>
      </c>
      <c r="F22" s="1906">
        <f t="shared" si="1"/>
        <v>11000</v>
      </c>
    </row>
    <row r="23" spans="1:7" x14ac:dyDescent="0.25">
      <c r="A23" s="2146" t="s">
        <v>2234</v>
      </c>
      <c r="B23" s="1908">
        <v>202540300</v>
      </c>
      <c r="C23" s="2147" t="s">
        <v>2235</v>
      </c>
      <c r="D23" s="1886">
        <v>31245</v>
      </c>
      <c r="E23" s="1906" t="str">
        <f t="shared" si="0"/>
        <v>25,000</v>
      </c>
      <c r="F23" s="1906">
        <f t="shared" si="1"/>
        <v>6245</v>
      </c>
    </row>
    <row r="24" spans="1:7" x14ac:dyDescent="0.25">
      <c r="A24" s="2146" t="s">
        <v>2228</v>
      </c>
      <c r="B24" s="1908">
        <v>101000300</v>
      </c>
      <c r="C24" s="2147" t="s">
        <v>2236</v>
      </c>
      <c r="D24" s="1886">
        <v>8054</v>
      </c>
      <c r="E24" s="1906">
        <f t="shared" si="0"/>
        <v>8054</v>
      </c>
      <c r="F24" s="1906" t="str">
        <f t="shared" si="1"/>
        <v>0</v>
      </c>
    </row>
    <row r="25" spans="1:7" x14ac:dyDescent="0.25">
      <c r="A25" s="2146" t="s">
        <v>2228</v>
      </c>
      <c r="B25" s="1908">
        <v>101000300</v>
      </c>
      <c r="C25" s="2147" t="s">
        <v>2237</v>
      </c>
      <c r="D25" s="1886">
        <v>135887</v>
      </c>
      <c r="E25" s="1906" t="str">
        <f t="shared" si="0"/>
        <v>25,000</v>
      </c>
      <c r="F25" s="1906">
        <f t="shared" si="1"/>
        <v>110887</v>
      </c>
    </row>
    <row r="26" spans="1:7" x14ac:dyDescent="0.25">
      <c r="A26" s="2146" t="s">
        <v>2231</v>
      </c>
      <c r="B26" s="1908">
        <v>101000600</v>
      </c>
      <c r="C26" s="2147" t="s">
        <v>2238</v>
      </c>
      <c r="D26" s="1886">
        <v>49124</v>
      </c>
      <c r="E26" s="1906" t="str">
        <f t="shared" si="0"/>
        <v>25,000</v>
      </c>
      <c r="F26" s="1906">
        <f t="shared" si="1"/>
        <v>24124</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945106</v>
      </c>
      <c r="E142" s="1893">
        <f>SUM(E18:E141)</f>
        <v>8054</v>
      </c>
      <c r="F142" s="1894">
        <f>SUM(F18:F141)</f>
        <v>762052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500" t="s">
        <v>1659</v>
      </c>
      <c r="B5" s="2501"/>
      <c r="C5" s="2501"/>
      <c r="D5" s="2501"/>
      <c r="E5" s="2501"/>
      <c r="F5" s="2501"/>
      <c r="G5" s="250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1889</v>
      </c>
      <c r="B10" s="803"/>
      <c r="C10" s="807"/>
      <c r="D10" s="804"/>
      <c r="E10" s="1800">
        <v>533682.18000000005</v>
      </c>
      <c r="F10" s="805"/>
      <c r="G10" s="806"/>
      <c r="H10" s="157"/>
      <c r="I10" s="157"/>
    </row>
    <row r="11" spans="1:13" s="542" customFormat="1" ht="22.5" customHeight="1" x14ac:dyDescent="0.2">
      <c r="A11" s="250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506"/>
      <c r="C11" s="2506"/>
      <c r="D11" s="2507"/>
      <c r="E11" s="1801">
        <v>100914</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10353335</v>
      </c>
      <c r="F19" s="1802"/>
      <c r="G19" s="1804">
        <f>'Expenditures 15-22'!K33-SUM('Expenditures 15-22'!G33,'Expenditures 15-22'!I33)+'Expenditures 15-22'!D229</f>
        <v>10353335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459760</v>
      </c>
      <c r="F21" s="1805"/>
      <c r="G21" s="1808">
        <f>'Expenditures 15-22'!K42-SUM('Expenditures 15-22'!G42,'Expenditures 15-22'!I42)+'Expenditures 15-22'!K120-SUM('Expenditures 15-22'!G120,'Expenditures 15-22'!I120)+'Expenditures 15-22'!K180-SUM('Expenditures 15-22'!G180,'Expenditures 15-22'!I180)+'Expenditures 15-22'!D238</f>
        <v>459760</v>
      </c>
      <c r="H21" s="817"/>
      <c r="I21" s="157"/>
    </row>
    <row r="22" spans="1:9" s="542" customFormat="1" ht="12" customHeight="1" x14ac:dyDescent="0.2">
      <c r="A22" s="824" t="s">
        <v>560</v>
      </c>
      <c r="B22" s="825"/>
      <c r="C22" s="823">
        <v>2200</v>
      </c>
      <c r="D22" s="1805"/>
      <c r="E22" s="1807">
        <f>'Expenditures 15-22'!K47-SUM('Expenditures 15-22'!G47,'Expenditures 15-22'!I47)+'Expenditures 15-22'!D243</f>
        <v>606735</v>
      </c>
      <c r="F22" s="1805"/>
      <c r="G22" s="1808">
        <f>'Expenditures 15-22'!K47-SUM('Expenditures 15-22'!G47,'Expenditures 15-22'!I47)+'Expenditures 15-22'!D243</f>
        <v>606735</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1054489</v>
      </c>
      <c r="F23" s="1805"/>
      <c r="G23" s="1807">
        <f>'Expenditures 15-22'!K53-SUM('Expenditures 15-22'!G53,'Expenditures 15-22'!I53)+'Expenditures 15-22'!D257+'Expenditures 15-22'!K330-SUM('Expenditures 15-22'!G330,'Expenditures 15-22'!I330)</f>
        <v>1054489</v>
      </c>
      <c r="H23" s="817"/>
      <c r="I23" s="157"/>
    </row>
    <row r="24" spans="1:9" s="542" customFormat="1" ht="12" customHeight="1" x14ac:dyDescent="0.2">
      <c r="A24" s="824" t="s">
        <v>562</v>
      </c>
      <c r="B24" s="825"/>
      <c r="C24" s="823">
        <v>2400</v>
      </c>
      <c r="D24" s="1805"/>
      <c r="E24" s="1807">
        <f>'Expenditures 15-22'!K57-SUM('Expenditures 15-22'!G57,'Expenditures 15-22'!I57)+'Expenditures 15-22'!D261</f>
        <v>1372129</v>
      </c>
      <c r="F24" s="1805"/>
      <c r="G24" s="1808">
        <f>'Expenditures 15-22'!K57-SUM('Expenditures 15-22'!G57,'Expenditures 15-22'!I57)+'Expenditures 15-22'!D261</f>
        <v>1372129</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330300</v>
      </c>
      <c r="E27" s="1807">
        <f>E8</f>
        <v>0</v>
      </c>
      <c r="F27" s="1807">
        <f>'Expenditures 15-22'!K60-SUM('Expenditures 15-22'!G60,'Expenditures 15-22'!I60)+'Expenditures 15-22'!D264-E8</f>
        <v>330300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1712433</v>
      </c>
      <c r="F28" s="1809">
        <f>'Expenditures 15-22'!K61-SUM('Expenditures 15-22'!G61,'Expenditures 15-22'!I61)+'Expenditures 15-22'!K124-SUM('Expenditures 15-22'!G124,'Expenditures 15-22'!I124)+'Expenditures 15-22'!D266-E9</f>
        <v>1712433</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946035</v>
      </c>
      <c r="F29" s="1805"/>
      <c r="G29" s="1808">
        <f>'Expenditures 15-22'!K62-SUM('Expenditures 15-22'!G62,'Expenditures 15-22'!I62)+'Expenditures 15-22'!K125-SUM('Expenditures 15-22'!G125,'Expenditures 15-22'!I125)+'Expenditures 15-22'!K182-SUM('Expenditures 15-22'!G182,'Expenditures 15-22'!I182)+'Expenditures 15-22'!D267</f>
        <v>946035</v>
      </c>
      <c r="H29" s="815"/>
    </row>
    <row r="30" spans="1:9" ht="12" customHeight="1" x14ac:dyDescent="0.2">
      <c r="A30" s="824" t="s">
        <v>100</v>
      </c>
      <c r="B30" s="827"/>
      <c r="C30" s="823">
        <v>2560</v>
      </c>
      <c r="D30" s="1805"/>
      <c r="E30" s="1807">
        <f>'Expenditures 15-22'!K63-SUM('Expenditures 15-22'!G63,'Expenditures 15-22'!I63)+'Expenditures 15-22'!D268-E10</f>
        <v>612018.81999999995</v>
      </c>
      <c r="F30" s="1805"/>
      <c r="G30" s="1807">
        <f>'Expenditures 15-22'!K63-SUM('Expenditures 15-22'!G63,'Expenditures 15-22'!I63)+'Expenditures 15-22'!D268-E10</f>
        <v>612018.81999999995</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60646</v>
      </c>
      <c r="F35" s="1805"/>
      <c r="G35" s="1807">
        <f>'Expenditures 15-22'!K69-SUM('Expenditures 15-22'!G69,'Expenditures 15-22'!I69)+'Expenditures 15-22'!D274</f>
        <v>60646</v>
      </c>
    </row>
    <row r="36" spans="1:7" ht="12" customHeight="1" x14ac:dyDescent="0.2">
      <c r="A36" s="824" t="s">
        <v>400</v>
      </c>
      <c r="B36" s="827"/>
      <c r="C36" s="823">
        <v>2640</v>
      </c>
      <c r="D36" s="1807">
        <f>'Expenditures 15-22'!K70-SUM('Expenditures 15-22'!G70,'Expenditures 15-22'!I70)+'Expenditures 15-22'!D275-E13</f>
        <v>515</v>
      </c>
      <c r="E36" s="1807">
        <f>E13</f>
        <v>0</v>
      </c>
      <c r="F36" s="1807">
        <f>'Expenditures 15-22'!K70-SUM('Expenditures 15-22'!G70,'Expenditures 15-22'!I70)+'Expenditures 15-22'!D275-E13</f>
        <v>515</v>
      </c>
      <c r="G36" s="1807">
        <f>E13</f>
        <v>0</v>
      </c>
    </row>
    <row r="37" spans="1:7" ht="12" customHeight="1" x14ac:dyDescent="0.2">
      <c r="A37" s="824" t="s">
        <v>401</v>
      </c>
      <c r="B37" s="827"/>
      <c r="C37" s="823">
        <v>2660</v>
      </c>
      <c r="D37" s="1807">
        <f>'Expenditures 15-22'!K71-SUM('Expenditures 15-22'!G71,'Expenditures 15-22'!I71)+'Expenditures 15-22'!D276-E14</f>
        <v>24776</v>
      </c>
      <c r="E37" s="1807">
        <f>E14</f>
        <v>0</v>
      </c>
      <c r="F37" s="1807">
        <f>'Expenditures 15-22'!K71-SUM('Expenditures 15-22'!G71,'Expenditures 15-22'!I71)+'Expenditures 15-22'!D276-E14</f>
        <v>24776</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26</v>
      </c>
      <c r="F38" s="1805"/>
      <c r="G38" s="1807">
        <f>'Expenditures 15-22'!K73-SUM('Expenditures 15-22'!G73,'Expenditures 15-22'!I73)+'Expenditures 15-22'!K128-SUM('Expenditures 15-22'!G128,'Expenditures 15-22'!I128)+'Expenditures 15-22'!K183-SUM('Expenditures 15-22'!G183,'Expenditures 15-22'!I183)+'Expenditures 15-22'!D278</f>
        <v>26</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153778</v>
      </c>
      <c r="F39" s="1805"/>
      <c r="G39" s="1807">
        <f>'Expenditures 15-22'!K75-SUM('Expenditures 15-22'!G75,'Expenditures 15-22'!I75)+'Expenditures 15-22'!K130-SUM('Expenditures 15-22'!G130,'Expenditures 15-22'!I130)+'Expenditures 15-22'!K185-SUM('Expenditures 15-22'!G185,'Expenditures 15-22'!I185)+'Expenditures 15-22'!D280</f>
        <v>153778</v>
      </c>
    </row>
    <row r="40" spans="1:7" ht="12" customHeight="1" x14ac:dyDescent="0.2">
      <c r="A40" s="820" t="s">
        <v>1793</v>
      </c>
      <c r="B40" s="821"/>
      <c r="C40" s="823"/>
      <c r="D40" s="1805"/>
      <c r="E40" s="1809">
        <f>-'Contracts Paid in CY 29'!F142</f>
        <v>-762052</v>
      </c>
      <c r="F40" s="1805"/>
      <c r="G40" s="1809">
        <f>-'Contracts Paid in CY 29'!F142</f>
        <v>-762052</v>
      </c>
    </row>
    <row r="41" spans="1:7" ht="12" customHeight="1" x14ac:dyDescent="0.2">
      <c r="A41" s="828" t="s">
        <v>155</v>
      </c>
      <c r="B41" s="829"/>
      <c r="C41" s="830"/>
      <c r="D41" s="1809">
        <f>SUM(D19:D39)</f>
        <v>355591</v>
      </c>
      <c r="E41" s="1809">
        <f>SUM(E19:E40)</f>
        <v>16569332.82</v>
      </c>
      <c r="F41" s="1809">
        <f>SUM(F19:F39)</f>
        <v>2068024</v>
      </c>
      <c r="G41" s="1809">
        <f>SUM(G19:G40)</f>
        <v>14856899.82</v>
      </c>
    </row>
    <row r="42" spans="1:7" x14ac:dyDescent="0.2">
      <c r="A42" s="817"/>
      <c r="B42" s="157"/>
      <c r="C42" s="831"/>
      <c r="D42" s="2503" t="s">
        <v>519</v>
      </c>
      <c r="E42" s="2504"/>
      <c r="F42" s="832" t="s">
        <v>520</v>
      </c>
      <c r="G42" s="833"/>
    </row>
    <row r="43" spans="1:7" ht="12" customHeight="1" x14ac:dyDescent="0.2">
      <c r="A43" s="817"/>
      <c r="B43" s="157"/>
      <c r="C43" s="831"/>
      <c r="D43" s="1458" t="s">
        <v>470</v>
      </c>
      <c r="E43" s="1810">
        <f>D41</f>
        <v>355591</v>
      </c>
      <c r="F43" s="1458" t="s">
        <v>470</v>
      </c>
      <c r="G43" s="1810">
        <f>F41</f>
        <v>2068024</v>
      </c>
    </row>
    <row r="44" spans="1:7" ht="12" customHeight="1" x14ac:dyDescent="0.2">
      <c r="A44" s="817"/>
      <c r="B44" s="157"/>
      <c r="C44" s="831"/>
      <c r="D44" s="1458" t="s">
        <v>471</v>
      </c>
      <c r="E44" s="1810">
        <f>E41</f>
        <v>16569332.82</v>
      </c>
      <c r="F44" s="1458" t="s">
        <v>471</v>
      </c>
      <c r="G44" s="1810">
        <f>G41</f>
        <v>14856899.82</v>
      </c>
    </row>
    <row r="45" spans="1:7" ht="12" customHeight="1" x14ac:dyDescent="0.2">
      <c r="A45" s="817"/>
      <c r="B45" s="157"/>
      <c r="C45" s="157"/>
      <c r="D45" s="1459" t="s">
        <v>999</v>
      </c>
      <c r="E45" s="1811">
        <f>(E43/E44)</f>
        <v>2.1460791684429451E-2</v>
      </c>
      <c r="F45" s="1459" t="s">
        <v>999</v>
      </c>
      <c r="G45" s="1811">
        <f>(G43/G44)</f>
        <v>0.13919620008583997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522" t="s">
        <v>1363</v>
      </c>
      <c r="B1" s="2522"/>
      <c r="C1" s="2522"/>
      <c r="D1" s="2522"/>
      <c r="E1" s="2522"/>
      <c r="F1" s="2522"/>
    </row>
    <row r="2" spans="1:15" x14ac:dyDescent="0.2">
      <c r="A2" s="1513" t="s">
        <v>1873</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523" t="s">
        <v>1529</v>
      </c>
      <c r="B5" s="2524"/>
      <c r="C5" s="2525"/>
      <c r="D5" s="2525"/>
      <c r="E5" s="2525"/>
      <c r="F5" s="2525"/>
      <c r="G5" s="1507"/>
      <c r="L5" s="1507"/>
      <c r="M5" s="1855"/>
      <c r="N5" s="1855"/>
      <c r="O5" s="1855"/>
    </row>
    <row r="6" spans="1:15" ht="12" customHeight="1" x14ac:dyDescent="0.25">
      <c r="A6" s="1480"/>
      <c r="B6" s="1481"/>
      <c r="C6" s="2526" t="str">
        <f>COVER!A17</f>
        <v xml:space="preserve">   Kewanee CUSD 229</v>
      </c>
      <c r="D6" s="2526"/>
      <c r="E6" s="2526"/>
      <c r="F6" s="1482"/>
      <c r="G6" s="1507"/>
      <c r="L6" s="1507"/>
      <c r="M6" s="1855"/>
      <c r="N6" s="1855"/>
      <c r="O6" s="1855"/>
    </row>
    <row r="7" spans="1:15" ht="11.25" customHeight="1" thickBot="1" x14ac:dyDescent="0.3">
      <c r="A7" s="1480"/>
      <c r="B7" s="1481"/>
      <c r="C7" s="2527">
        <f>COVER!A13</f>
        <v>28037229026</v>
      </c>
      <c r="D7" s="2527"/>
      <c r="E7" s="2527"/>
      <c r="F7" s="1482"/>
      <c r="G7" s="1507"/>
      <c r="L7" s="1507"/>
      <c r="M7" s="1855"/>
      <c r="N7" s="1855"/>
      <c r="O7" s="1855"/>
    </row>
    <row r="8" spans="1:15" ht="25.5" customHeight="1" thickBot="1" x14ac:dyDescent="0.25">
      <c r="A8" s="1519" t="s">
        <v>1869</v>
      </c>
      <c r="B8" s="1483"/>
      <c r="C8" s="1515" t="s">
        <v>1661</v>
      </c>
      <c r="D8" s="1514" t="s">
        <v>1662</v>
      </c>
      <c r="E8" s="1516" t="s">
        <v>1364</v>
      </c>
      <c r="F8" s="1514" t="s">
        <v>1663</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1660</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2046</v>
      </c>
      <c r="D13" s="1495" t="s">
        <v>2046</v>
      </c>
      <c r="E13" s="1498"/>
      <c r="F13" s="1497" t="s">
        <v>2239</v>
      </c>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2046</v>
      </c>
      <c r="D16" s="1495" t="s">
        <v>2046</v>
      </c>
      <c r="E16" s="1498"/>
      <c r="F16" s="1497" t="s">
        <v>2240</v>
      </c>
      <c r="G16" s="1507"/>
      <c r="H16" s="1507">
        <f t="shared" si="0"/>
        <v>5</v>
      </c>
      <c r="I16" s="1507">
        <f t="shared" si="1"/>
        <v>5</v>
      </c>
      <c r="J16" s="1507">
        <f t="shared" si="2"/>
        <v>0</v>
      </c>
      <c r="L16" s="1507"/>
      <c r="M16" s="1855"/>
      <c r="N16" s="1855"/>
      <c r="O16" s="1855"/>
    </row>
    <row r="17" spans="1:15" ht="12" customHeight="1" x14ac:dyDescent="0.2">
      <c r="A17" s="1493" t="s">
        <v>1373</v>
      </c>
      <c r="B17" s="1494"/>
      <c r="C17" s="1495" t="s">
        <v>2046</v>
      </c>
      <c r="D17" s="1495" t="s">
        <v>2046</v>
      </c>
      <c r="E17" s="1498"/>
      <c r="F17" s="1497" t="s">
        <v>2240</v>
      </c>
      <c r="G17" s="1507"/>
      <c r="H17" s="1507">
        <f t="shared" si="0"/>
        <v>5</v>
      </c>
      <c r="I17" s="1507">
        <f t="shared" si="1"/>
        <v>5</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2046</v>
      </c>
      <c r="D19" s="1495" t="s">
        <v>2046</v>
      </c>
      <c r="E19" s="1498"/>
      <c r="F19" s="1497" t="s">
        <v>2241</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t="s">
        <v>2046</v>
      </c>
      <c r="D23" s="1495" t="s">
        <v>2046</v>
      </c>
      <c r="E23" s="1498"/>
      <c r="F23" s="1497" t="s">
        <v>2242</v>
      </c>
      <c r="G23" s="1507"/>
      <c r="H23" s="1507">
        <f t="shared" si="0"/>
        <v>5</v>
      </c>
      <c r="I23" s="1507">
        <f t="shared" si="1"/>
        <v>5</v>
      </c>
      <c r="J23" s="1507">
        <f t="shared" si="2"/>
        <v>0</v>
      </c>
      <c r="L23" s="1507"/>
      <c r="M23" s="1855"/>
      <c r="N23" s="1855"/>
      <c r="O23" s="1855"/>
    </row>
    <row r="24" spans="1:15" ht="12" customHeight="1" x14ac:dyDescent="0.2">
      <c r="A24" s="1493" t="s">
        <v>1515</v>
      </c>
      <c r="B24" s="1494"/>
      <c r="C24" s="1495" t="s">
        <v>2046</v>
      </c>
      <c r="D24" s="1495" t="s">
        <v>2046</v>
      </c>
      <c r="E24" s="1498"/>
      <c r="F24" s="1497" t="s">
        <v>2243</v>
      </c>
      <c r="G24" s="1507"/>
      <c r="H24" s="1507">
        <f t="shared" si="0"/>
        <v>5</v>
      </c>
      <c r="I24" s="1507">
        <f t="shared" si="1"/>
        <v>5</v>
      </c>
      <c r="J24" s="1507">
        <f t="shared" si="2"/>
        <v>0</v>
      </c>
      <c r="L24" s="1507"/>
      <c r="M24" s="1855"/>
      <c r="N24" s="1855"/>
      <c r="O24" s="1855"/>
    </row>
    <row r="25" spans="1:15" ht="12" customHeight="1" x14ac:dyDescent="0.2">
      <c r="A25" s="1493" t="s">
        <v>1516</v>
      </c>
      <c r="B25" s="1494"/>
      <c r="C25" s="1495" t="s">
        <v>2046</v>
      </c>
      <c r="D25" s="1495" t="s">
        <v>2046</v>
      </c>
      <c r="E25" s="1498"/>
      <c r="F25" s="1497" t="s">
        <v>2244</v>
      </c>
      <c r="G25" s="1507"/>
      <c r="H25" s="1507">
        <f t="shared" si="0"/>
        <v>5</v>
      </c>
      <c r="I25" s="1507">
        <f t="shared" si="1"/>
        <v>5</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2046</v>
      </c>
      <c r="D28" s="1495" t="s">
        <v>2046</v>
      </c>
      <c r="E28" s="1498"/>
      <c r="F28" s="1497" t="s">
        <v>2245</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2046</v>
      </c>
      <c r="D30" s="1495" t="s">
        <v>2046</v>
      </c>
      <c r="E30" s="1498"/>
      <c r="F30" s="1497" t="s">
        <v>2246</v>
      </c>
      <c r="G30" s="1507"/>
      <c r="H30" s="1507">
        <f t="shared" si="0"/>
        <v>5</v>
      </c>
      <c r="I30" s="1507">
        <f t="shared" si="1"/>
        <v>5</v>
      </c>
      <c r="J30" s="1507">
        <f t="shared" si="2"/>
        <v>0</v>
      </c>
      <c r="L30" s="1507"/>
      <c r="M30" s="1855"/>
      <c r="N30" s="1855"/>
      <c r="O30" s="1855"/>
    </row>
    <row r="31" spans="1:15" ht="12" customHeight="1" x14ac:dyDescent="0.2">
      <c r="A31" s="1493" t="s">
        <v>1522</v>
      </c>
      <c r="B31" s="1494"/>
      <c r="C31" s="1495" t="s">
        <v>2046</v>
      </c>
      <c r="D31" s="1495" t="s">
        <v>2046</v>
      </c>
      <c r="E31" s="1498"/>
      <c r="F31" s="1497" t="s">
        <v>2247</v>
      </c>
      <c r="G31" s="1507"/>
      <c r="H31" s="1507">
        <f t="shared" si="0"/>
        <v>5</v>
      </c>
      <c r="I31" s="1507">
        <f t="shared" si="1"/>
        <v>5</v>
      </c>
      <c r="J31" s="1507">
        <f t="shared" si="2"/>
        <v>0</v>
      </c>
      <c r="L31" s="1856"/>
      <c r="M31" s="1855"/>
      <c r="N31" s="1855"/>
      <c r="O31" s="1855"/>
    </row>
    <row r="32" spans="1:15" ht="12" customHeight="1" x14ac:dyDescent="0.2">
      <c r="A32" s="1493" t="s">
        <v>1523</v>
      </c>
      <c r="B32" s="1494"/>
      <c r="C32" s="1495" t="s">
        <v>2046</v>
      </c>
      <c r="D32" s="1495" t="s">
        <v>2046</v>
      </c>
      <c r="E32" s="1498"/>
      <c r="F32" s="1497" t="s">
        <v>2248</v>
      </c>
      <c r="G32" s="1507"/>
      <c r="H32" s="1507">
        <f t="shared" si="0"/>
        <v>5</v>
      </c>
      <c r="I32" s="1507">
        <f t="shared" si="1"/>
        <v>5</v>
      </c>
      <c r="J32" s="1507">
        <f t="shared" si="2"/>
        <v>0</v>
      </c>
      <c r="L32" s="1507"/>
      <c r="M32" s="1855"/>
      <c r="N32" s="1855"/>
      <c r="O32" s="1855"/>
    </row>
    <row r="33" spans="1:15" ht="12" customHeight="1" x14ac:dyDescent="0.2">
      <c r="A33" s="1493" t="s">
        <v>1524</v>
      </c>
      <c r="B33" s="1494"/>
      <c r="C33" s="1495" t="s">
        <v>2046</v>
      </c>
      <c r="D33" s="1495" t="s">
        <v>2046</v>
      </c>
      <c r="E33" s="1498"/>
      <c r="F33" s="1497" t="s">
        <v>2249</v>
      </c>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55</v>
      </c>
      <c r="I34" s="1507">
        <f>SUM(I11:I32)</f>
        <v>55</v>
      </c>
      <c r="J34" s="1507">
        <f>SUM(J11:J32)</f>
        <v>0</v>
      </c>
      <c r="K34" s="1507">
        <f>SUM(H34:J34)</f>
        <v>110</v>
      </c>
      <c r="L34" s="1507"/>
      <c r="M34" s="1855"/>
      <c r="N34" s="1855"/>
      <c r="O34" s="1855"/>
    </row>
    <row r="35" spans="1:15" ht="12" customHeight="1" x14ac:dyDescent="0.2">
      <c r="A35" s="1500" t="s">
        <v>1376</v>
      </c>
      <c r="B35" s="1501"/>
      <c r="C35" s="2528"/>
      <c r="D35" s="2528"/>
      <c r="E35" s="2528"/>
      <c r="F35" s="2529"/>
    </row>
    <row r="36" spans="1:15" ht="12" customHeight="1" x14ac:dyDescent="0.2">
      <c r="A36" s="2511"/>
      <c r="B36" s="2512"/>
      <c r="C36" s="2512"/>
      <c r="D36" s="2512"/>
      <c r="E36" s="2512"/>
      <c r="F36" s="2513"/>
    </row>
    <row r="37" spans="1:15" ht="12" customHeight="1" x14ac:dyDescent="0.2">
      <c r="A37" s="2511"/>
      <c r="B37" s="2512"/>
      <c r="C37" s="2512"/>
      <c r="D37" s="2512"/>
      <c r="E37" s="2512"/>
      <c r="F37" s="2513"/>
    </row>
    <row r="38" spans="1:15" ht="12" customHeight="1" x14ac:dyDescent="0.2">
      <c r="A38" s="2514"/>
      <c r="B38" s="2515"/>
      <c r="C38" s="2515"/>
      <c r="D38" s="2515"/>
      <c r="E38" s="2515"/>
      <c r="F38" s="2516"/>
    </row>
    <row r="39" spans="1:15" ht="4.5" hidden="1" customHeight="1" x14ac:dyDescent="0.2">
      <c r="A39" s="1502"/>
      <c r="B39" s="1502"/>
      <c r="C39" s="1502"/>
      <c r="D39" s="1502"/>
      <c r="E39" s="1502"/>
      <c r="F39" s="1502"/>
    </row>
    <row r="40" spans="1:15" s="1499" customFormat="1" ht="12" customHeight="1" x14ac:dyDescent="0.25">
      <c r="A40" s="1503" t="s">
        <v>1375</v>
      </c>
      <c r="B40" s="1504"/>
      <c r="C40" s="2517"/>
      <c r="D40" s="2517"/>
      <c r="E40" s="2517"/>
      <c r="F40" s="2518"/>
      <c r="H40" s="1508"/>
      <c r="I40" s="1508"/>
      <c r="J40" s="1508"/>
      <c r="K40" s="1508"/>
    </row>
    <row r="41" spans="1:15" s="1499" customFormat="1" ht="12" customHeight="1" x14ac:dyDescent="0.25">
      <c r="A41" s="2519"/>
      <c r="B41" s="2520"/>
      <c r="C41" s="2520"/>
      <c r="D41" s="2520"/>
      <c r="E41" s="2520"/>
      <c r="F41" s="2521"/>
      <c r="H41" s="1508"/>
      <c r="I41" s="1508"/>
      <c r="J41" s="1508"/>
      <c r="K41" s="1508"/>
    </row>
    <row r="42" spans="1:15" s="1499" customFormat="1" ht="12" customHeight="1" x14ac:dyDescent="0.25">
      <c r="A42" s="2519"/>
      <c r="B42" s="2520"/>
      <c r="C42" s="2520"/>
      <c r="D42" s="2520"/>
      <c r="E42" s="2520"/>
      <c r="F42" s="2521"/>
      <c r="H42" s="1508"/>
      <c r="I42" s="1508"/>
      <c r="J42" s="1508"/>
      <c r="K42" s="1508"/>
    </row>
    <row r="43" spans="1:15" s="1499" customFormat="1" ht="15" x14ac:dyDescent="0.25">
      <c r="A43" s="2508"/>
      <c r="B43" s="2509"/>
      <c r="C43" s="2509"/>
      <c r="D43" s="2509"/>
      <c r="E43" s="2509"/>
      <c r="F43" s="2510"/>
      <c r="H43" s="1508"/>
      <c r="I43" s="1508"/>
      <c r="J43" s="1508"/>
      <c r="K43" s="1508"/>
    </row>
    <row r="44" spans="1:15" s="1499" customFormat="1" ht="12" hidden="1" customHeight="1" x14ac:dyDescent="0.25">
      <c r="A44" s="2508"/>
      <c r="B44" s="2509"/>
      <c r="C44" s="2509"/>
      <c r="D44" s="2509"/>
      <c r="E44" s="2509"/>
      <c r="F44" s="25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1997</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548" t="str">
        <f>COVER!A17</f>
        <v xml:space="preserve">   Kewanee CUSD 229</v>
      </c>
      <c r="K6" s="2548"/>
      <c r="L6" s="2562"/>
      <c r="M6" s="838"/>
      <c r="N6" s="1998"/>
    </row>
    <row r="7" spans="1:14" x14ac:dyDescent="0.2">
      <c r="A7" s="2563" t="s">
        <v>864</v>
      </c>
      <c r="B7" s="2564"/>
      <c r="C7" s="2564"/>
      <c r="D7" s="2564"/>
      <c r="E7" s="2565"/>
      <c r="F7" s="839"/>
      <c r="G7" s="838"/>
      <c r="H7" s="838"/>
      <c r="I7" s="1924" t="s">
        <v>369</v>
      </c>
      <c r="J7" s="2550">
        <f>COVER!A13</f>
        <v>28037229026</v>
      </c>
      <c r="K7" s="2550"/>
      <c r="L7" s="2550"/>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2013</v>
      </c>
      <c r="F9" s="1857"/>
      <c r="G9" s="1857"/>
      <c r="H9" s="1857"/>
      <c r="I9" s="1929" t="s">
        <v>2014</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566" t="s">
        <v>478</v>
      </c>
      <c r="B11" s="2567"/>
      <c r="C11" s="2568"/>
      <c r="D11" s="1937" t="s">
        <v>866</v>
      </c>
      <c r="E11" s="1937" t="s">
        <v>64</v>
      </c>
      <c r="F11" s="1937" t="s">
        <v>6</v>
      </c>
      <c r="G11" s="1938" t="s">
        <v>2015</v>
      </c>
      <c r="H11" s="1939" t="s">
        <v>155</v>
      </c>
      <c r="I11" s="1937" t="s">
        <v>64</v>
      </c>
      <c r="J11" s="1937" t="s">
        <v>6</v>
      </c>
      <c r="K11" s="1938" t="s">
        <v>1996</v>
      </c>
      <c r="L11" s="1939" t="s">
        <v>155</v>
      </c>
      <c r="M11" s="838"/>
      <c r="N11" s="1998"/>
    </row>
    <row r="12" spans="1:14" x14ac:dyDescent="0.2">
      <c r="A12" s="2003">
        <v>1</v>
      </c>
      <c r="B12" s="1940" t="s">
        <v>813</v>
      </c>
      <c r="C12" s="842"/>
      <c r="D12" s="1941">
        <v>2320</v>
      </c>
      <c r="E12" s="1944">
        <f>'Expenditures 15-22'!K50</f>
        <v>231930</v>
      </c>
      <c r="F12" s="1942"/>
      <c r="G12" s="1968">
        <f>G68</f>
        <v>0</v>
      </c>
      <c r="H12" s="1944">
        <f t="shared" ref="H12:H18" si="0">SUM(E12:G12)</f>
        <v>231930</v>
      </c>
      <c r="I12" s="1943">
        <v>235800</v>
      </c>
      <c r="J12" s="1942"/>
      <c r="K12" s="1943"/>
      <c r="L12" s="1944">
        <f t="shared" ref="L12:L18" si="1">SUM(I12:K12)</f>
        <v>235800</v>
      </c>
      <c r="M12" s="838"/>
      <c r="N12" s="1998"/>
    </row>
    <row r="13" spans="1:14" x14ac:dyDescent="0.2">
      <c r="A13" s="2003">
        <v>2</v>
      </c>
      <c r="B13" s="1940" t="s">
        <v>42</v>
      </c>
      <c r="C13" s="842"/>
      <c r="D13" s="1941">
        <v>2330</v>
      </c>
      <c r="E13" s="1944">
        <f>'Expenditures 15-22'!K51</f>
        <v>28148</v>
      </c>
      <c r="F13" s="1942"/>
      <c r="G13" s="1968">
        <f>H68</f>
        <v>0</v>
      </c>
      <c r="H13" s="1944">
        <f t="shared" si="0"/>
        <v>28148</v>
      </c>
      <c r="I13" s="1943">
        <v>31010</v>
      </c>
      <c r="J13" s="1942"/>
      <c r="K13" s="1943"/>
      <c r="L13" s="1944">
        <f t="shared" si="1"/>
        <v>31010</v>
      </c>
      <c r="M13" s="838"/>
      <c r="N13" s="1998"/>
    </row>
    <row r="14" spans="1:14" x14ac:dyDescent="0.2">
      <c r="A14" s="2003">
        <v>3</v>
      </c>
      <c r="B14" s="1940" t="s">
        <v>43</v>
      </c>
      <c r="C14" s="842"/>
      <c r="D14" s="1945">
        <v>2490</v>
      </c>
      <c r="E14" s="1944">
        <f>'Expenditures 15-22'!K56</f>
        <v>0</v>
      </c>
      <c r="F14" s="1942"/>
      <c r="G14" s="1968">
        <f>I68</f>
        <v>220355</v>
      </c>
      <c r="H14" s="1944">
        <f t="shared" si="0"/>
        <v>220355</v>
      </c>
      <c r="I14" s="1943"/>
      <c r="J14" s="1942"/>
      <c r="K14" s="1943">
        <v>228835</v>
      </c>
      <c r="L14" s="1944">
        <f t="shared" si="1"/>
        <v>228835</v>
      </c>
      <c r="M14" s="838"/>
      <c r="N14" s="1998"/>
    </row>
    <row r="15" spans="1:14" x14ac:dyDescent="0.2">
      <c r="A15" s="2003">
        <v>4</v>
      </c>
      <c r="B15" s="1940" t="s">
        <v>1059</v>
      </c>
      <c r="C15" s="842"/>
      <c r="D15" s="1941">
        <v>2510</v>
      </c>
      <c r="E15" s="1944">
        <f>'Expenditures 15-22'!K59</f>
        <v>0</v>
      </c>
      <c r="F15" s="1944">
        <f>'Expenditures 15-22'!K122</f>
        <v>0</v>
      </c>
      <c r="G15" s="1968">
        <f>J68</f>
        <v>399235</v>
      </c>
      <c r="H15" s="1944">
        <f t="shared" si="0"/>
        <v>399235</v>
      </c>
      <c r="I15" s="1943"/>
      <c r="J15" s="1943"/>
      <c r="K15" s="1943">
        <v>433500</v>
      </c>
      <c r="L15" s="1944">
        <f t="shared" si="1"/>
        <v>433500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569" t="s">
        <v>7</v>
      </c>
      <c r="C18" s="2570"/>
      <c r="D18" s="257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260078</v>
      </c>
      <c r="F19" s="1950">
        <f t="shared" si="2"/>
        <v>0</v>
      </c>
      <c r="G19" s="1950">
        <f>SUM(G12:G17)-G18</f>
        <v>619590</v>
      </c>
      <c r="H19" s="1950">
        <f t="shared" si="2"/>
        <v>879668</v>
      </c>
      <c r="I19" s="1950">
        <f t="shared" si="2"/>
        <v>266810</v>
      </c>
      <c r="J19" s="1950">
        <f t="shared" si="2"/>
        <v>0</v>
      </c>
      <c r="K19" s="1950">
        <f t="shared" si="2"/>
        <v>662335</v>
      </c>
      <c r="L19" s="1950">
        <f t="shared" si="2"/>
        <v>929145</v>
      </c>
      <c r="M19" s="838"/>
      <c r="N19" s="1998"/>
    </row>
    <row r="20" spans="1:14" ht="13.5" thickTop="1" x14ac:dyDescent="0.2">
      <c r="A20" s="2003">
        <v>9</v>
      </c>
      <c r="B20" s="2572" t="s">
        <v>2016</v>
      </c>
      <c r="C20" s="2572"/>
      <c r="D20" s="2573"/>
      <c r="E20" s="1951"/>
      <c r="F20" s="1951"/>
      <c r="G20" s="1951"/>
      <c r="H20" s="1951"/>
      <c r="I20" s="1951"/>
      <c r="J20" s="1951"/>
      <c r="K20" s="1951"/>
      <c r="L20" s="1952">
        <f>IF(AND(H19&gt;0,L19&gt;0),(((L19-H19)/H19)),"Enter Budget Data")</f>
        <v>5.6245083372363211E-2</v>
      </c>
      <c r="M20" s="838"/>
      <c r="N20" s="1998"/>
    </row>
    <row r="21" spans="1:14" x14ac:dyDescent="0.2">
      <c r="A21" s="2005" t="s">
        <v>194</v>
      </c>
      <c r="B21" s="2006" t="s">
        <v>2041</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2017</v>
      </c>
      <c r="B24" s="2010"/>
      <c r="C24" s="2011"/>
      <c r="D24" s="2011"/>
      <c r="E24" s="2011"/>
      <c r="F24" s="2011"/>
      <c r="G24" s="2011"/>
      <c r="H24" s="2011"/>
      <c r="I24" s="2011"/>
      <c r="J24" s="2011"/>
      <c r="K24" s="2011"/>
      <c r="L24" s="838"/>
      <c r="M24" s="838"/>
      <c r="N24" s="1998"/>
    </row>
    <row r="25" spans="1:14" x14ac:dyDescent="0.2">
      <c r="A25" s="2009" t="s">
        <v>2018</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574"/>
      <c r="D27" s="2574"/>
      <c r="E27" s="843"/>
      <c r="F27" s="2575"/>
      <c r="G27" s="2575"/>
      <c r="H27" s="2575"/>
      <c r="I27" s="838"/>
      <c r="J27" s="838"/>
      <c r="K27" s="838"/>
      <c r="L27" s="838"/>
      <c r="M27" s="838"/>
      <c r="N27" s="1998"/>
    </row>
    <row r="28" spans="1:14" x14ac:dyDescent="0.2">
      <c r="A28" s="1997"/>
      <c r="B28" s="2007"/>
      <c r="C28" s="1957" t="s">
        <v>1026</v>
      </c>
      <c r="D28" s="844"/>
      <c r="E28" s="1958"/>
      <c r="F28" s="2576" t="s">
        <v>1492</v>
      </c>
      <c r="G28" s="2576"/>
      <c r="H28" s="2576"/>
      <c r="I28" s="838"/>
      <c r="J28" s="838"/>
      <c r="K28" s="838"/>
      <c r="L28" s="838"/>
      <c r="M28" s="838"/>
      <c r="N28" s="1998"/>
    </row>
    <row r="29" spans="1:14" x14ac:dyDescent="0.2">
      <c r="A29" s="1997"/>
      <c r="B29" s="2007"/>
      <c r="C29" s="2577"/>
      <c r="D29" s="2577"/>
      <c r="E29" s="845"/>
      <c r="F29" s="2577"/>
      <c r="G29" s="2577"/>
      <c r="H29" s="2577"/>
      <c r="I29" s="838"/>
      <c r="J29" s="838"/>
      <c r="K29" s="838"/>
      <c r="L29" s="838"/>
      <c r="M29" s="838"/>
      <c r="N29" s="1998"/>
    </row>
    <row r="30" spans="1:14" x14ac:dyDescent="0.2">
      <c r="A30" s="1997"/>
      <c r="B30" s="2007"/>
      <c r="C30" s="1960" t="s">
        <v>1543</v>
      </c>
      <c r="D30" s="838"/>
      <c r="E30" s="1959"/>
      <c r="F30" s="2561" t="s">
        <v>1493</v>
      </c>
      <c r="G30" s="2561"/>
      <c r="H30" s="256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t="s">
        <v>2046</v>
      </c>
      <c r="C34" s="2538" t="s">
        <v>2019</v>
      </c>
      <c r="D34" s="2539"/>
      <c r="E34" s="2539"/>
      <c r="F34" s="2539"/>
      <c r="G34" s="2539"/>
      <c r="H34" s="2539"/>
      <c r="I34" s="2539"/>
      <c r="J34" s="2539"/>
      <c r="K34" s="2016"/>
      <c r="L34" s="838"/>
      <c r="M34" s="838"/>
      <c r="N34" s="1998"/>
    </row>
    <row r="35" spans="1:14" x14ac:dyDescent="0.2">
      <c r="A35" s="1997"/>
      <c r="B35" s="838"/>
      <c r="C35" s="2539"/>
      <c r="D35" s="2539"/>
      <c r="E35" s="2539"/>
      <c r="F35" s="2539"/>
      <c r="G35" s="2539"/>
      <c r="H35" s="2539"/>
      <c r="I35" s="2539"/>
      <c r="J35" s="253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538" t="s">
        <v>2020</v>
      </c>
      <c r="D37" s="2539"/>
      <c r="E37" s="2539"/>
      <c r="F37" s="2539"/>
      <c r="G37" s="2539"/>
      <c r="H37" s="2539"/>
      <c r="I37" s="2539"/>
      <c r="J37" s="2539"/>
      <c r="K37" s="2016"/>
      <c r="L37" s="2018"/>
      <c r="M37" s="838"/>
      <c r="N37" s="1998"/>
    </row>
    <row r="38" spans="1:14" x14ac:dyDescent="0.2">
      <c r="A38" s="1997"/>
      <c r="B38" s="838"/>
      <c r="C38" s="2539"/>
      <c r="D38" s="2539"/>
      <c r="E38" s="2539"/>
      <c r="F38" s="2539"/>
      <c r="G38" s="2539"/>
      <c r="H38" s="2539"/>
      <c r="I38" s="2539"/>
      <c r="J38" s="253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540" t="s">
        <v>2021</v>
      </c>
      <c r="D40" s="2541"/>
      <c r="E40" s="2541"/>
      <c r="F40" s="2541"/>
      <c r="G40" s="2541"/>
      <c r="H40" s="2541"/>
      <c r="I40" s="2541"/>
      <c r="J40" s="254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542" t="s">
        <v>2022</v>
      </c>
      <c r="B43" s="2543"/>
      <c r="C43" s="2543"/>
      <c r="D43" s="2543"/>
      <c r="E43" s="2543"/>
      <c r="F43" s="2543"/>
      <c r="G43" s="2543"/>
      <c r="H43" s="2543"/>
      <c r="I43" s="2543"/>
      <c r="J43" s="2543"/>
      <c r="K43" s="2543"/>
      <c r="L43" s="2543"/>
      <c r="M43" s="2543"/>
      <c r="N43" s="2544"/>
    </row>
    <row r="44" spans="1:14" x14ac:dyDescent="0.2">
      <c r="A44" s="1982"/>
      <c r="B44" s="1983"/>
      <c r="C44" s="1983"/>
      <c r="D44" s="1983"/>
      <c r="E44" s="1983"/>
      <c r="F44" s="1983"/>
      <c r="G44" s="1983"/>
      <c r="H44" s="1983"/>
      <c r="I44" s="1983"/>
      <c r="J44" s="1983"/>
      <c r="K44" s="1983"/>
      <c r="L44" s="1983"/>
      <c r="M44" s="1983"/>
      <c r="N44" s="1984"/>
    </row>
    <row r="45" spans="1:14" x14ac:dyDescent="0.2">
      <c r="A45" s="1982" t="s">
        <v>2023</v>
      </c>
      <c r="B45" s="1983"/>
      <c r="C45" s="1983"/>
      <c r="D45" s="1983"/>
      <c r="E45" s="1983"/>
      <c r="F45" s="1983"/>
      <c r="G45" s="1983"/>
      <c r="H45" s="1983"/>
      <c r="I45" s="1983"/>
      <c r="J45" s="1983"/>
      <c r="K45" s="1983"/>
      <c r="L45" s="1983"/>
      <c r="M45" s="1983"/>
      <c r="N45" s="1984"/>
    </row>
    <row r="46" spans="1:14" x14ac:dyDescent="0.2">
      <c r="A46" s="2545" t="s">
        <v>2024</v>
      </c>
      <c r="B46" s="2546"/>
      <c r="C46" s="2546"/>
      <c r="D46" s="2546"/>
      <c r="E46" s="2546"/>
      <c r="F46" s="2546"/>
      <c r="G46" s="2546"/>
      <c r="H46" s="2546"/>
      <c r="I46" s="2546"/>
      <c r="J46" s="2546"/>
      <c r="K46" s="2546"/>
      <c r="L46" s="2546"/>
      <c r="M46" s="2546"/>
      <c r="N46" s="2547"/>
    </row>
    <row r="47" spans="1:14" x14ac:dyDescent="0.2">
      <c r="A47" s="2545"/>
      <c r="B47" s="2546"/>
      <c r="C47" s="2546"/>
      <c r="D47" s="2546"/>
      <c r="E47" s="2546"/>
      <c r="F47" s="2546"/>
      <c r="G47" s="2546"/>
      <c r="H47" s="2546"/>
      <c r="I47" s="2546"/>
      <c r="J47" s="2546"/>
      <c r="K47" s="2546"/>
      <c r="L47" s="2546"/>
      <c r="M47" s="2546"/>
      <c r="N47" s="254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2040</v>
      </c>
      <c r="B49" s="2024"/>
      <c r="C49" s="2024"/>
      <c r="D49" s="2025"/>
      <c r="E49" s="2025"/>
      <c r="F49" s="2025"/>
      <c r="G49" s="2025"/>
      <c r="H49" s="2025"/>
      <c r="I49" s="2025"/>
      <c r="J49" s="2025"/>
      <c r="K49" s="2025"/>
      <c r="L49" s="2025"/>
      <c r="M49" s="2025"/>
      <c r="N49" s="2026"/>
    </row>
    <row r="50" spans="1:14" ht="15" x14ac:dyDescent="0.25">
      <c r="A50" s="2028" t="s">
        <v>2039</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548" t="str">
        <f>J6</f>
        <v xml:space="preserve">   Kewanee CUSD 229</v>
      </c>
      <c r="M52" s="2548"/>
      <c r="N52" s="2549"/>
    </row>
    <row r="53" spans="1:14" x14ac:dyDescent="0.2">
      <c r="A53" s="1982"/>
      <c r="B53" s="1983"/>
      <c r="C53" s="1983"/>
      <c r="D53" s="1983"/>
      <c r="E53" s="1983"/>
      <c r="F53" s="1983"/>
      <c r="G53" s="1983"/>
      <c r="H53" s="1983"/>
      <c r="I53" s="1983"/>
      <c r="J53" s="1983"/>
      <c r="K53" s="1924" t="s">
        <v>369</v>
      </c>
      <c r="L53" s="2550">
        <f>J7</f>
        <v>28037229026</v>
      </c>
      <c r="M53" s="2550"/>
      <c r="N53" s="25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552"/>
      <c r="B55" s="2553"/>
      <c r="C55" s="2553"/>
      <c r="D55" s="1970"/>
      <c r="E55" s="1970"/>
      <c r="F55" s="1970"/>
      <c r="G55" s="2554" t="s">
        <v>2025</v>
      </c>
      <c r="H55" s="2554"/>
      <c r="I55" s="2554"/>
      <c r="J55" s="2554"/>
      <c r="K55" s="2554"/>
      <c r="L55" s="2554"/>
      <c r="M55" s="2554"/>
      <c r="N55" s="2555"/>
    </row>
    <row r="56" spans="1:14" ht="63.75" x14ac:dyDescent="0.2">
      <c r="A56" s="2556" t="s">
        <v>2026</v>
      </c>
      <c r="B56" s="2557"/>
      <c r="C56" s="2558"/>
      <c r="D56" s="1964" t="s">
        <v>2027</v>
      </c>
      <c r="E56" s="1964" t="s">
        <v>2028</v>
      </c>
      <c r="F56" s="1971"/>
      <c r="G56" s="1964" t="s">
        <v>2029</v>
      </c>
      <c r="H56" s="1964" t="s">
        <v>2030</v>
      </c>
      <c r="I56" s="1964" t="s">
        <v>2031</v>
      </c>
      <c r="J56" s="1964" t="s">
        <v>2032</v>
      </c>
      <c r="K56" s="1964" t="s">
        <v>2033</v>
      </c>
      <c r="L56" s="1964" t="s">
        <v>2034</v>
      </c>
      <c r="M56" s="1964" t="s">
        <v>2035</v>
      </c>
      <c r="N56" s="1965" t="s">
        <v>2042</v>
      </c>
    </row>
    <row r="57" spans="1:14" ht="24.75" customHeight="1" x14ac:dyDescent="0.2">
      <c r="A57" s="2559" t="s">
        <v>296</v>
      </c>
      <c r="B57" s="2560"/>
      <c r="C57" s="2560"/>
      <c r="D57" s="1966">
        <v>2361</v>
      </c>
      <c r="E57" s="1976">
        <f>'Expenditures 15-22'!K319</f>
        <v>0</v>
      </c>
      <c r="F57" s="1972"/>
      <c r="G57" s="2029"/>
      <c r="H57" s="2030"/>
      <c r="I57" s="2030"/>
      <c r="J57" s="2030"/>
      <c r="K57" s="2030"/>
      <c r="L57" s="2030"/>
      <c r="M57" s="2030">
        <v>0</v>
      </c>
      <c r="N57" s="1975">
        <f>IF((SUM(G57:M57))=E57,SUM(G57:M57),"Column N does not agree with Column E")</f>
        <v>0</v>
      </c>
    </row>
    <row r="58" spans="1:14" ht="24" customHeight="1" x14ac:dyDescent="0.2">
      <c r="A58" s="2536" t="s">
        <v>2036</v>
      </c>
      <c r="B58" s="2537"/>
      <c r="C58" s="2537"/>
      <c r="D58" s="1967">
        <v>2362</v>
      </c>
      <c r="E58" s="1977">
        <f>'Expenditures 15-22'!K320</f>
        <v>115741</v>
      </c>
      <c r="F58" s="1972"/>
      <c r="G58" s="2031"/>
      <c r="H58" s="2032"/>
      <c r="I58" s="2032"/>
      <c r="J58" s="2032">
        <v>115741</v>
      </c>
      <c r="K58" s="2032"/>
      <c r="L58" s="2032"/>
      <c r="M58" s="2032"/>
      <c r="N58" s="1975">
        <f>IF((SUM(G58:M58))=E58,SUM(G58:M58),"Column N does not agree with Column E")</f>
        <v>115741</v>
      </c>
    </row>
    <row r="59" spans="1:14" ht="24.75" customHeight="1" x14ac:dyDescent="0.2">
      <c r="A59" s="2530" t="s">
        <v>297</v>
      </c>
      <c r="B59" s="2531"/>
      <c r="C59" s="2531"/>
      <c r="D59" s="1967">
        <v>2363</v>
      </c>
      <c r="E59" s="1977">
        <f>'Expenditures 15-22'!K321</f>
        <v>628</v>
      </c>
      <c r="F59" s="1972"/>
      <c r="G59" s="2031"/>
      <c r="H59" s="2032"/>
      <c r="I59" s="2032"/>
      <c r="J59" s="2032">
        <v>628</v>
      </c>
      <c r="K59" s="2032"/>
      <c r="L59" s="2032"/>
      <c r="M59" s="2032"/>
      <c r="N59" s="1975">
        <f>IF((SUM(G59:M59))=E59,SUM(G59:M59),"Column N does not agree with Column E")</f>
        <v>628</v>
      </c>
    </row>
    <row r="60" spans="1:14" ht="24" customHeight="1" x14ac:dyDescent="0.2">
      <c r="A60" s="2530" t="s">
        <v>236</v>
      </c>
      <c r="B60" s="2531"/>
      <c r="C60" s="2531"/>
      <c r="D60" s="1967">
        <v>2364</v>
      </c>
      <c r="E60" s="1977">
        <f>'Expenditures 15-22'!K322</f>
        <v>25923</v>
      </c>
      <c r="F60" s="1972"/>
      <c r="G60" s="2031"/>
      <c r="H60" s="2032"/>
      <c r="I60" s="2032"/>
      <c r="J60" s="2032">
        <v>25923</v>
      </c>
      <c r="K60" s="2032"/>
      <c r="L60" s="2032"/>
      <c r="M60" s="2032"/>
      <c r="N60" s="1975">
        <f t="shared" ref="N60:N67" si="3">IF((SUM(G60:M60))=E60,SUM(G60:M60),"Column N does not agree with Column E")</f>
        <v>25923</v>
      </c>
    </row>
    <row r="61" spans="1:14" ht="24.75" customHeight="1" x14ac:dyDescent="0.2">
      <c r="A61" s="2530" t="s">
        <v>697</v>
      </c>
      <c r="B61" s="2531"/>
      <c r="C61" s="2531"/>
      <c r="D61" s="1967">
        <v>2365</v>
      </c>
      <c r="E61" s="1977">
        <f>'Expenditures 15-22'!K323</f>
        <v>220355</v>
      </c>
      <c r="F61" s="1972"/>
      <c r="G61" s="2031"/>
      <c r="H61" s="2032"/>
      <c r="I61" s="2032">
        <v>220355</v>
      </c>
      <c r="J61" s="2032"/>
      <c r="K61" s="2032"/>
      <c r="L61" s="2032"/>
      <c r="M61" s="2032"/>
      <c r="N61" s="1975">
        <f t="shared" si="3"/>
        <v>220355</v>
      </c>
    </row>
    <row r="62" spans="1:14" ht="24" customHeight="1" x14ac:dyDescent="0.2">
      <c r="A62" s="2530" t="s">
        <v>237</v>
      </c>
      <c r="B62" s="2531"/>
      <c r="C62" s="2531"/>
      <c r="D62" s="1967">
        <v>2366</v>
      </c>
      <c r="E62" s="1977">
        <f>'Expenditures 15-22'!K324</f>
        <v>0</v>
      </c>
      <c r="F62" s="1972"/>
      <c r="G62" s="2031"/>
      <c r="H62" s="2032"/>
      <c r="I62" s="2032"/>
      <c r="J62" s="2032"/>
      <c r="K62" s="2032"/>
      <c r="L62" s="2032"/>
      <c r="M62" s="2032">
        <v>0</v>
      </c>
      <c r="N62" s="1975">
        <f t="shared" si="3"/>
        <v>0</v>
      </c>
    </row>
    <row r="63" spans="1:14" ht="24" customHeight="1" x14ac:dyDescent="0.2">
      <c r="A63" s="2536" t="s">
        <v>1022</v>
      </c>
      <c r="B63" s="2537"/>
      <c r="C63" s="2537"/>
      <c r="D63" s="1967">
        <v>2367</v>
      </c>
      <c r="E63" s="1977">
        <f>'Expenditures 15-22'!K325</f>
        <v>0</v>
      </c>
      <c r="F63" s="1972"/>
      <c r="G63" s="2031"/>
      <c r="H63" s="2032"/>
      <c r="I63" s="2032"/>
      <c r="J63" s="2032"/>
      <c r="K63" s="2032"/>
      <c r="L63" s="2032"/>
      <c r="M63" s="2032">
        <v>0</v>
      </c>
      <c r="N63" s="1975">
        <f t="shared" si="3"/>
        <v>0</v>
      </c>
    </row>
    <row r="64" spans="1:14" ht="24" customHeight="1" x14ac:dyDescent="0.2">
      <c r="A64" s="2530" t="s">
        <v>1023</v>
      </c>
      <c r="B64" s="2531"/>
      <c r="C64" s="2531"/>
      <c r="D64" s="1967">
        <v>2368</v>
      </c>
      <c r="E64" s="1977">
        <f>'Expenditures 15-22'!K326</f>
        <v>0</v>
      </c>
      <c r="F64" s="1972"/>
      <c r="G64" s="2031"/>
      <c r="H64" s="2032"/>
      <c r="I64" s="2032"/>
      <c r="J64" s="2032"/>
      <c r="K64" s="2032"/>
      <c r="L64" s="2032"/>
      <c r="M64" s="2032">
        <v>0</v>
      </c>
      <c r="N64" s="1975">
        <f t="shared" si="3"/>
        <v>0</v>
      </c>
    </row>
    <row r="65" spans="1:14" ht="24" customHeight="1" x14ac:dyDescent="0.2">
      <c r="A65" s="2530" t="s">
        <v>965</v>
      </c>
      <c r="B65" s="2531"/>
      <c r="C65" s="2531"/>
      <c r="D65" s="1967">
        <v>2369</v>
      </c>
      <c r="E65" s="1977">
        <f>'Expenditures 15-22'!K327</f>
        <v>0</v>
      </c>
      <c r="F65" s="1972"/>
      <c r="G65" s="2031"/>
      <c r="H65" s="2032"/>
      <c r="I65" s="2032"/>
      <c r="J65" s="2032"/>
      <c r="K65" s="2032"/>
      <c r="L65" s="2032"/>
      <c r="M65" s="2032">
        <v>0</v>
      </c>
      <c r="N65" s="1975">
        <f t="shared" si="3"/>
        <v>0</v>
      </c>
    </row>
    <row r="66" spans="1:14" ht="24" customHeight="1" x14ac:dyDescent="0.2">
      <c r="A66" s="2530" t="s">
        <v>469</v>
      </c>
      <c r="B66" s="2531"/>
      <c r="C66" s="2531"/>
      <c r="D66" s="1967">
        <v>2371</v>
      </c>
      <c r="E66" s="1977">
        <f>'Expenditures 15-22'!K328</f>
        <v>222317</v>
      </c>
      <c r="F66" s="1972"/>
      <c r="G66" s="2031"/>
      <c r="H66" s="2032"/>
      <c r="I66" s="2032"/>
      <c r="J66" s="2032">
        <v>222317</v>
      </c>
      <c r="K66" s="2032"/>
      <c r="L66" s="2032"/>
      <c r="M66" s="2032"/>
      <c r="N66" s="1975">
        <f t="shared" si="3"/>
        <v>222317</v>
      </c>
    </row>
    <row r="67" spans="1:14" ht="24.75" customHeight="1" x14ac:dyDescent="0.2">
      <c r="A67" s="2532" t="s">
        <v>2037</v>
      </c>
      <c r="B67" s="2533"/>
      <c r="C67" s="2533"/>
      <c r="D67" s="1969">
        <v>2372</v>
      </c>
      <c r="E67" s="1978">
        <f>'Expenditures 15-22'!K329</f>
        <v>34626</v>
      </c>
      <c r="F67" s="1972"/>
      <c r="G67" s="2033"/>
      <c r="H67" s="2034"/>
      <c r="I67" s="2034"/>
      <c r="J67" s="2034">
        <v>34626</v>
      </c>
      <c r="K67" s="2034"/>
      <c r="L67" s="2034"/>
      <c r="M67" s="2034"/>
      <c r="N67" s="1975">
        <f t="shared" si="3"/>
        <v>34626</v>
      </c>
    </row>
    <row r="68" spans="1:14" x14ac:dyDescent="0.2">
      <c r="A68" s="2534" t="s">
        <v>1151</v>
      </c>
      <c r="B68" s="2535"/>
      <c r="C68" s="2535"/>
      <c r="D68" s="1970"/>
      <c r="E68" s="1974">
        <f>SUM(E57:E67)</f>
        <v>619590</v>
      </c>
      <c r="F68" s="1973"/>
      <c r="G68" s="1974">
        <f t="shared" ref="G68:N68" si="4">SUM(G57:G67)</f>
        <v>0</v>
      </c>
      <c r="H68" s="1974">
        <f t="shared" si="4"/>
        <v>0</v>
      </c>
      <c r="I68" s="1974">
        <f t="shared" si="4"/>
        <v>220355</v>
      </c>
      <c r="J68" s="1974">
        <f t="shared" si="4"/>
        <v>399235</v>
      </c>
      <c r="K68" s="1974">
        <f t="shared" si="4"/>
        <v>0</v>
      </c>
      <c r="L68" s="1974">
        <f t="shared" si="4"/>
        <v>0</v>
      </c>
      <c r="M68" s="1974">
        <f t="shared" si="4"/>
        <v>0</v>
      </c>
      <c r="N68" s="1988">
        <f t="shared" si="4"/>
        <v>619590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2038</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2250</v>
      </c>
    </row>
    <row r="6" spans="1:2" x14ac:dyDescent="0.2">
      <c r="A6" s="847">
        <v>2</v>
      </c>
      <c r="B6" s="307" t="s">
        <v>2251</v>
      </c>
    </row>
    <row r="7" spans="1:2" x14ac:dyDescent="0.2">
      <c r="A7" s="847">
        <v>3</v>
      </c>
      <c r="B7" s="307" t="s">
        <v>2252</v>
      </c>
    </row>
    <row r="8" spans="1:2" x14ac:dyDescent="0.2">
      <c r="A8" s="847">
        <v>4</v>
      </c>
      <c r="B8" s="307" t="s">
        <v>2253</v>
      </c>
    </row>
    <row r="9" spans="1:2" x14ac:dyDescent="0.2">
      <c r="A9" s="847">
        <v>5</v>
      </c>
      <c r="B9" s="307" t="s">
        <v>2254</v>
      </c>
    </row>
    <row r="10" spans="1:2" x14ac:dyDescent="0.2">
      <c r="A10" s="847">
        <v>6</v>
      </c>
      <c r="B10" s="307" t="s">
        <v>2255</v>
      </c>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Kewanee CUSD 229</v>
      </c>
    </row>
    <row r="65" spans="2:2" x14ac:dyDescent="0.2">
      <c r="B65" s="849">
        <f>COVER!A13</f>
        <v>28037229026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1825</v>
      </c>
      <c r="C4" s="157" t="s">
        <v>1159</v>
      </c>
      <c r="D4" s="164" t="s">
        <v>10</v>
      </c>
      <c r="E4" s="165" t="s">
        <v>22</v>
      </c>
    </row>
    <row r="5" spans="1:5" x14ac:dyDescent="0.2">
      <c r="A5" s="163" t="s">
        <v>1827</v>
      </c>
      <c r="C5" s="157" t="s">
        <v>1159</v>
      </c>
      <c r="D5" s="164" t="s">
        <v>10</v>
      </c>
      <c r="E5" s="165" t="s">
        <v>22</v>
      </c>
    </row>
    <row r="6" spans="1:5" x14ac:dyDescent="0.2">
      <c r="A6" s="163" t="s">
        <v>1826</v>
      </c>
      <c r="C6" s="157" t="s">
        <v>1159</v>
      </c>
      <c r="D6" s="162" t="s">
        <v>11</v>
      </c>
      <c r="E6" s="165" t="s">
        <v>935</v>
      </c>
    </row>
    <row r="7" spans="1:5" x14ac:dyDescent="0.2">
      <c r="A7" s="163" t="s">
        <v>1828</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1829</v>
      </c>
      <c r="C11" s="157" t="s">
        <v>1159</v>
      </c>
      <c r="D11" s="164" t="s">
        <v>14</v>
      </c>
      <c r="E11" s="165" t="s">
        <v>1146</v>
      </c>
    </row>
    <row r="12" spans="1:5" x14ac:dyDescent="0.2">
      <c r="B12" s="164" t="s">
        <v>1830</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1831</v>
      </c>
      <c r="C15" s="157" t="s">
        <v>1159</v>
      </c>
      <c r="D15" s="164" t="s">
        <v>17</v>
      </c>
      <c r="E15" s="165" t="s">
        <v>631</v>
      </c>
    </row>
    <row r="16" spans="1:5" x14ac:dyDescent="0.2">
      <c r="A16" s="167"/>
      <c r="B16" s="157" t="s">
        <v>1832</v>
      </c>
      <c r="C16" s="157" t="s">
        <v>1159</v>
      </c>
      <c r="D16" s="164" t="s">
        <v>676</v>
      </c>
      <c r="E16" s="165" t="s">
        <v>1033</v>
      </c>
    </row>
    <row r="17" spans="1:5" x14ac:dyDescent="0.2">
      <c r="B17" s="162" t="s">
        <v>981</v>
      </c>
      <c r="C17" s="157" t="s">
        <v>1159</v>
      </c>
    </row>
    <row r="18" spans="1:5" x14ac:dyDescent="0.2">
      <c r="B18" s="162" t="s">
        <v>1838</v>
      </c>
      <c r="D18" s="164" t="s">
        <v>18</v>
      </c>
      <c r="E18" s="165" t="s">
        <v>1034</v>
      </c>
    </row>
    <row r="19" spans="1:5" x14ac:dyDescent="0.2">
      <c r="A19" s="163" t="s">
        <v>1090</v>
      </c>
      <c r="C19" s="157" t="s">
        <v>1159</v>
      </c>
      <c r="D19" s="164"/>
      <c r="E19" s="166"/>
    </row>
    <row r="20" spans="1:5" x14ac:dyDescent="0.2">
      <c r="B20" s="162" t="s">
        <v>1833</v>
      </c>
      <c r="C20" s="157" t="s">
        <v>1159</v>
      </c>
      <c r="D20" s="164" t="s">
        <v>19</v>
      </c>
      <c r="E20" s="165" t="s">
        <v>51</v>
      </c>
    </row>
    <row r="21" spans="1:5" x14ac:dyDescent="0.2">
      <c r="B21" s="162" t="s">
        <v>1834</v>
      </c>
      <c r="C21" s="157" t="s">
        <v>1159</v>
      </c>
      <c r="D21" s="164" t="s">
        <v>20</v>
      </c>
      <c r="E21" s="165" t="s">
        <v>1592</v>
      </c>
    </row>
    <row r="22" spans="1:5" x14ac:dyDescent="0.2">
      <c r="A22" s="163"/>
      <c r="B22" s="157" t="s">
        <v>1822</v>
      </c>
      <c r="C22" s="157" t="s">
        <v>1159</v>
      </c>
      <c r="D22" s="162" t="s">
        <v>1824</v>
      </c>
      <c r="E22" s="1470" t="s">
        <v>1593</v>
      </c>
    </row>
    <row r="23" spans="1:5" x14ac:dyDescent="0.2">
      <c r="A23" s="163"/>
      <c r="B23" s="157" t="s">
        <v>1823</v>
      </c>
      <c r="D23" s="162" t="s">
        <v>632</v>
      </c>
      <c r="E23" s="1470" t="s">
        <v>953</v>
      </c>
    </row>
    <row r="24" spans="1:5" x14ac:dyDescent="0.2">
      <c r="A24" s="163" t="s">
        <v>1591</v>
      </c>
      <c r="C24" s="157" t="s">
        <v>1159</v>
      </c>
      <c r="D24" s="162" t="s">
        <v>1377</v>
      </c>
      <c r="E24" s="165" t="s">
        <v>954</v>
      </c>
    </row>
    <row r="25" spans="1:5" x14ac:dyDescent="0.2">
      <c r="A25" s="163" t="s">
        <v>1835</v>
      </c>
      <c r="C25" s="157" t="s">
        <v>1159</v>
      </c>
      <c r="D25" s="164" t="s">
        <v>21</v>
      </c>
      <c r="E25" s="1470" t="s">
        <v>2043</v>
      </c>
    </row>
    <row r="26" spans="1:5" x14ac:dyDescent="0.2">
      <c r="A26" s="163" t="s">
        <v>1836</v>
      </c>
      <c r="C26" s="157" t="s">
        <v>1159</v>
      </c>
      <c r="D26" s="164" t="s">
        <v>559</v>
      </c>
      <c r="E26" s="1470" t="s">
        <v>678</v>
      </c>
    </row>
    <row r="27" spans="1:5" x14ac:dyDescent="0.2">
      <c r="A27" s="163" t="s">
        <v>1837</v>
      </c>
      <c r="C27" s="157" t="s">
        <v>1159</v>
      </c>
      <c r="D27" s="164" t="s">
        <v>553</v>
      </c>
      <c r="E27" s="1470" t="s">
        <v>1350</v>
      </c>
    </row>
    <row r="28" spans="1:5" x14ac:dyDescent="0.2">
      <c r="A28" s="163" t="s">
        <v>1839</v>
      </c>
      <c r="D28" s="164" t="s">
        <v>679</v>
      </c>
      <c r="E28" s="1470" t="s">
        <v>1359</v>
      </c>
    </row>
    <row r="29" spans="1:5" x14ac:dyDescent="0.2">
      <c r="A29" s="163" t="s">
        <v>1840</v>
      </c>
      <c r="D29" s="164" t="s">
        <v>1378</v>
      </c>
      <c r="E29" s="1470" t="s">
        <v>2044</v>
      </c>
    </row>
    <row r="30" spans="1:5" x14ac:dyDescent="0.2">
      <c r="A30" s="168" t="s">
        <v>1841</v>
      </c>
      <c r="C30" s="157" t="s">
        <v>1159</v>
      </c>
      <c r="D30" s="164" t="s">
        <v>40</v>
      </c>
      <c r="E30" s="165" t="s">
        <v>975</v>
      </c>
    </row>
    <row r="31" spans="1:5" x14ac:dyDescent="0.2">
      <c r="A31" s="163" t="s">
        <v>1504</v>
      </c>
      <c r="C31" s="157" t="s">
        <v>1159</v>
      </c>
      <c r="D31" s="162"/>
      <c r="E31" s="166"/>
    </row>
    <row r="32" spans="1:5" x14ac:dyDescent="0.2">
      <c r="B32" s="162" t="s">
        <v>1842</v>
      </c>
      <c r="C32" s="157" t="s">
        <v>1159</v>
      </c>
      <c r="D32" s="164" t="s">
        <v>1505</v>
      </c>
      <c r="E32" s="165" t="s">
        <v>2045</v>
      </c>
    </row>
    <row r="33" spans="1:5" x14ac:dyDescent="0.2">
      <c r="A33" s="167"/>
      <c r="D33" s="164"/>
      <c r="E33" s="166"/>
    </row>
    <row r="34" spans="1:5" x14ac:dyDescent="0.2">
      <c r="A34" s="167"/>
      <c r="D34" s="164"/>
      <c r="E34" s="166"/>
    </row>
    <row r="35" spans="1:5" ht="15.75" customHeight="1" thickBot="1" x14ac:dyDescent="0.25">
      <c r="A35" s="2264" t="s">
        <v>1056</v>
      </c>
      <c r="B35" s="2264"/>
      <c r="C35" s="2264"/>
      <c r="D35" s="2264"/>
      <c r="E35" s="226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61" t="s">
        <v>686</v>
      </c>
      <c r="B40" s="2261"/>
      <c r="C40" s="2261"/>
      <c r="D40" s="2261"/>
      <c r="E40" s="2261"/>
    </row>
    <row r="41" spans="1:5" x14ac:dyDescent="0.2">
      <c r="A41" s="2262" t="s">
        <v>1590</v>
      </c>
      <c r="B41" s="2262"/>
      <c r="C41" s="2262"/>
      <c r="D41" s="2262"/>
      <c r="E41" s="2262"/>
    </row>
    <row r="42" spans="1:5" ht="12.75" customHeight="1" x14ac:dyDescent="0.2">
      <c r="A42" s="2263" t="s">
        <v>1015</v>
      </c>
      <c r="B42" s="2263"/>
      <c r="C42" s="2263"/>
      <c r="D42" s="2263"/>
      <c r="E42" s="2263"/>
    </row>
    <row r="43" spans="1:5" ht="6.75" customHeight="1" x14ac:dyDescent="0.2">
      <c r="A43" s="162"/>
      <c r="B43" s="171"/>
    </row>
    <row r="44" spans="1:5" x14ac:dyDescent="0.2">
      <c r="A44" s="180" t="s">
        <v>976</v>
      </c>
      <c r="B44" s="181" t="s">
        <v>1865</v>
      </c>
    </row>
    <row r="45" spans="1:5" ht="6.75" customHeight="1" x14ac:dyDescent="0.2">
      <c r="A45" s="182"/>
      <c r="B45" s="181"/>
    </row>
    <row r="46" spans="1:5" x14ac:dyDescent="0.2">
      <c r="A46" s="180" t="s">
        <v>977</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1743</v>
      </c>
    </row>
    <row r="52" spans="1:3" x14ac:dyDescent="0.2">
      <c r="A52" s="185"/>
      <c r="B52" s="183" t="s">
        <v>1763</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1744</v>
      </c>
    </row>
    <row r="57" spans="1:3" x14ac:dyDescent="0.2">
      <c r="A57" s="188"/>
      <c r="B57" s="185" t="s">
        <v>1746</v>
      </c>
    </row>
    <row r="58" spans="1:3" x14ac:dyDescent="0.2">
      <c r="A58" s="189"/>
      <c r="B58" s="185" t="s">
        <v>1747</v>
      </c>
    </row>
    <row r="59" spans="1:3" x14ac:dyDescent="0.2">
      <c r="A59" s="190"/>
      <c r="B59" s="1256" t="s">
        <v>1748</v>
      </c>
    </row>
    <row r="60" spans="1:3" x14ac:dyDescent="0.2">
      <c r="A60" s="191"/>
      <c r="B60" s="1256" t="s">
        <v>1749</v>
      </c>
    </row>
    <row r="61" spans="1:3" ht="6" customHeight="1" x14ac:dyDescent="0.2">
      <c r="A61" s="192"/>
      <c r="B61" s="184"/>
    </row>
    <row r="62" spans="1:3" x14ac:dyDescent="0.2">
      <c r="A62" s="164" t="s">
        <v>1598</v>
      </c>
      <c r="B62" s="193" t="s">
        <v>1745</v>
      </c>
    </row>
    <row r="63" spans="1:3" x14ac:dyDescent="0.2">
      <c r="A63" s="183"/>
      <c r="B63" s="164" t="s">
        <v>1760</v>
      </c>
    </row>
    <row r="64" spans="1:3" x14ac:dyDescent="0.2">
      <c r="A64" s="190"/>
      <c r="B64" s="1258" t="s">
        <v>1750</v>
      </c>
    </row>
    <row r="65" spans="1:9" x14ac:dyDescent="0.2">
      <c r="A65" s="183"/>
      <c r="B65" s="164" t="s">
        <v>1761</v>
      </c>
    </row>
    <row r="66" spans="1:9" x14ac:dyDescent="0.2">
      <c r="A66" s="185"/>
      <c r="B66" s="185" t="s">
        <v>1751</v>
      </c>
    </row>
    <row r="67" spans="1:9" ht="12" customHeight="1" x14ac:dyDescent="0.2">
      <c r="A67" s="183"/>
      <c r="B67" s="164" t="s">
        <v>1762</v>
      </c>
    </row>
    <row r="68" spans="1:9" x14ac:dyDescent="0.2">
      <c r="A68" s="184"/>
      <c r="B68" s="185" t="s">
        <v>1752</v>
      </c>
    </row>
    <row r="69" spans="1:9" x14ac:dyDescent="0.2">
      <c r="A69" s="185"/>
      <c r="B69" s="183" t="s">
        <v>1753</v>
      </c>
    </row>
    <row r="70" spans="1:9" ht="13.5" customHeight="1" x14ac:dyDescent="0.2">
      <c r="A70" s="185"/>
      <c r="B70" s="183" t="s">
        <v>1754</v>
      </c>
    </row>
    <row r="71" spans="1:9" ht="12" customHeight="1" x14ac:dyDescent="0.2">
      <c r="A71" s="187"/>
      <c r="B71" s="1257" t="s">
        <v>1601</v>
      </c>
    </row>
    <row r="72" spans="1:9" ht="9" customHeight="1" x14ac:dyDescent="0.2">
      <c r="A72" s="187"/>
      <c r="B72" s="194"/>
    </row>
    <row r="73" spans="1:9" x14ac:dyDescent="0.2">
      <c r="A73" s="184" t="s">
        <v>1602</v>
      </c>
      <c r="B73" s="164" t="s">
        <v>1756</v>
      </c>
    </row>
    <row r="74" spans="1:9" x14ac:dyDescent="0.2">
      <c r="A74" s="184"/>
      <c r="B74" s="164" t="s">
        <v>1755</v>
      </c>
    </row>
    <row r="75" spans="1:9" ht="8.25" customHeight="1" x14ac:dyDescent="0.2">
      <c r="A75" s="184"/>
      <c r="B75" s="184"/>
    </row>
    <row r="76" spans="1:9" ht="12.2" customHeight="1" x14ac:dyDescent="0.2">
      <c r="A76" s="184" t="s">
        <v>1603</v>
      </c>
      <c r="B76" s="193" t="s">
        <v>1757</v>
      </c>
    </row>
    <row r="77" spans="1:9" ht="12.2" customHeight="1" x14ac:dyDescent="0.2">
      <c r="A77" s="185"/>
      <c r="B77" s="164" t="s">
        <v>1604</v>
      </c>
      <c r="C77" s="174"/>
      <c r="D77" s="175"/>
      <c r="E77" s="176"/>
      <c r="F77" s="176"/>
      <c r="G77" s="176"/>
      <c r="H77" s="176"/>
      <c r="I77" s="176"/>
    </row>
    <row r="78" spans="1:9" ht="11.25" customHeight="1" x14ac:dyDescent="0.2">
      <c r="A78" s="185"/>
      <c r="B78" s="185" t="s">
        <v>1759</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1758</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1968</v>
      </c>
    </row>
    <row r="17" spans="1:2" ht="6" customHeight="1" x14ac:dyDescent="0.2"/>
    <row r="18" spans="1:2" ht="24.75" customHeight="1" x14ac:dyDescent="0.2">
      <c r="A18" s="2578" t="s">
        <v>1664</v>
      </c>
      <c r="B18" s="257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505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79" t="s">
        <v>1668</v>
      </c>
      <c r="B1" s="2580"/>
      <c r="C1" s="2580"/>
      <c r="D1" s="2580"/>
      <c r="E1" s="2580"/>
      <c r="F1" s="2581"/>
    </row>
    <row r="2" spans="1:8" ht="45" customHeight="1" x14ac:dyDescent="0.2">
      <c r="A2" s="258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90"/>
      <c r="C2" s="2590"/>
      <c r="D2" s="2590"/>
      <c r="E2" s="2590"/>
      <c r="F2" s="2591"/>
      <c r="G2" s="853"/>
      <c r="H2" s="853"/>
    </row>
    <row r="3" spans="1:8" ht="57" customHeight="1" x14ac:dyDescent="0.2">
      <c r="A3" s="2592" t="s">
        <v>1967</v>
      </c>
      <c r="B3" s="2593"/>
      <c r="C3" s="2593"/>
      <c r="D3" s="2593"/>
      <c r="E3" s="2593"/>
      <c r="F3" s="2594"/>
      <c r="G3" s="853"/>
      <c r="H3" s="853"/>
    </row>
    <row r="4" spans="1:8" ht="14.25" customHeight="1" x14ac:dyDescent="0.2">
      <c r="A4" s="259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99"/>
      <c r="C4" s="2599"/>
      <c r="D4" s="2599"/>
      <c r="E4" s="2599"/>
      <c r="F4" s="2600"/>
      <c r="G4" s="853"/>
      <c r="H4" s="853"/>
    </row>
    <row r="5" spans="1:8" ht="14.25" customHeight="1" x14ac:dyDescent="0.2">
      <c r="A5" s="260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02"/>
      <c r="C5" s="2602"/>
      <c r="D5" s="2602"/>
      <c r="E5" s="2602"/>
      <c r="F5" s="2603"/>
      <c r="G5" s="853"/>
      <c r="H5" s="853"/>
    </row>
    <row r="6" spans="1:8" s="854" customFormat="1" ht="41.25" customHeight="1" x14ac:dyDescent="0.2">
      <c r="A6" s="2595" t="s">
        <v>1669</v>
      </c>
      <c r="B6" s="2596"/>
      <c r="C6" s="2596"/>
      <c r="D6" s="2596"/>
      <c r="E6" s="2596"/>
      <c r="F6" s="259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18334382</v>
      </c>
      <c r="C8" s="1813">
        <f>'Acct Summary 7-8'!D8</f>
        <v>2817352</v>
      </c>
      <c r="D8" s="1813">
        <f>'Acct Summary 7-8'!F8</f>
        <v>978296</v>
      </c>
      <c r="E8" s="1813">
        <f>'Acct Summary 7-8'!I8</f>
        <v>51729</v>
      </c>
      <c r="F8" s="1813">
        <f>SUM(B8:E8)</f>
        <v>22181759</v>
      </c>
    </row>
    <row r="9" spans="1:8" s="858" customFormat="1" ht="14.25" customHeight="1" thickBot="1" x14ac:dyDescent="0.25">
      <c r="A9" s="857" t="s">
        <v>1353</v>
      </c>
      <c r="B9" s="1814">
        <f>'Acct Summary 7-8'!C17</f>
        <v>17495733</v>
      </c>
      <c r="C9" s="1814">
        <f>'Acct Summary 7-8'!D17</f>
        <v>2496188</v>
      </c>
      <c r="D9" s="1814">
        <f>'Acct Summary 7-8'!F17</f>
        <v>856525</v>
      </c>
      <c r="E9" s="1813"/>
      <c r="F9" s="1813">
        <f>SUM(B9:E9)</f>
        <v>20848446</v>
      </c>
    </row>
    <row r="10" spans="1:8" s="858" customFormat="1" ht="14.25" thickTop="1" thickBot="1" x14ac:dyDescent="0.25">
      <c r="A10" s="859" t="s">
        <v>1354</v>
      </c>
      <c r="B10" s="1815">
        <f>(B8-B9)</f>
        <v>838649</v>
      </c>
      <c r="C10" s="1815">
        <f>(C8-C9)</f>
        <v>321164</v>
      </c>
      <c r="D10" s="1815">
        <f>(D8-D9)</f>
        <v>121771</v>
      </c>
      <c r="E10" s="1814">
        <f>(E8-E9)</f>
        <v>51729</v>
      </c>
      <c r="F10" s="1816">
        <f>SUM(F8-F9)</f>
        <v>1333313</v>
      </c>
    </row>
    <row r="11" spans="1:8" s="858" customFormat="1" ht="14.25" thickTop="1" thickBot="1" x14ac:dyDescent="0.25">
      <c r="A11" s="860" t="s">
        <v>1898</v>
      </c>
      <c r="B11" s="1817">
        <f>'Acct Summary 7-8'!C81</f>
        <v>9769728</v>
      </c>
      <c r="C11" s="1817">
        <f>'Acct Summary 7-8'!D81</f>
        <v>2198892</v>
      </c>
      <c r="D11" s="1817">
        <f>'Acct Summary 7-8'!F81</f>
        <v>952867</v>
      </c>
      <c r="E11" s="1817">
        <f>'Acct Summary 7-8'!I81</f>
        <v>587563</v>
      </c>
      <c r="F11" s="1818">
        <f>SUM(B11:E11)</f>
        <v>13509050</v>
      </c>
    </row>
    <row r="12" spans="1:8" ht="16.5" customHeight="1" thickTop="1" x14ac:dyDescent="0.2">
      <c r="A12" s="861"/>
      <c r="B12" s="862"/>
      <c r="C12" s="2583" t="str">
        <f>IF(AND(F10&lt;0,F11&gt;=0,ABS(F10*3)&gt;ABS(F11)),A16,IF(AND(F10&lt;0,F11&gt;0,ABS(F10*3)&lt;=ABS(F11)),A17,IF(AND(F10&lt;0,F11&lt;0),A16,IF(F11=0,A19,A18))))</f>
        <v>Balanced - no deficit reduction plan is required.</v>
      </c>
      <c r="D12" s="2584"/>
      <c r="E12" s="2584"/>
      <c r="F12" s="2585"/>
    </row>
    <row r="13" spans="1:8" ht="19.5" customHeight="1" x14ac:dyDescent="0.2">
      <c r="A13" s="863"/>
      <c r="B13" s="864"/>
      <c r="C13" s="2583"/>
      <c r="D13" s="2584"/>
      <c r="E13" s="2584"/>
      <c r="F13" s="2585"/>
      <c r="H13" s="853"/>
    </row>
    <row r="14" spans="1:8" ht="19.5" customHeight="1" x14ac:dyDescent="0.2">
      <c r="A14" s="863"/>
      <c r="B14" s="864"/>
      <c r="C14" s="2583"/>
      <c r="D14" s="2584"/>
      <c r="E14" s="2584"/>
      <c r="F14" s="2585"/>
      <c r="H14" s="853"/>
    </row>
    <row r="15" spans="1:8" ht="17.25" customHeight="1" x14ac:dyDescent="0.2">
      <c r="A15" s="863"/>
      <c r="B15" s="864"/>
      <c r="C15" s="2586"/>
      <c r="D15" s="2587"/>
      <c r="E15" s="2587"/>
      <c r="F15" s="2588"/>
      <c r="H15" s="853"/>
    </row>
    <row r="16" spans="1:8" s="288" customFormat="1" ht="51.75" hidden="1" customHeight="1" x14ac:dyDescent="0.2">
      <c r="A16" s="2582" t="s">
        <v>1665</v>
      </c>
      <c r="B16" s="2582"/>
      <c r="C16" s="2582"/>
      <c r="D16" s="2582"/>
      <c r="E16" s="2582"/>
      <c r="F16" s="288" t="s">
        <v>1355</v>
      </c>
    </row>
    <row r="17" spans="1:6" hidden="1" x14ac:dyDescent="0.2">
      <c r="A17" s="294" t="s">
        <v>1666</v>
      </c>
      <c r="F17" s="865" t="s">
        <v>1356</v>
      </c>
    </row>
    <row r="18" spans="1:6" hidden="1" x14ac:dyDescent="0.2">
      <c r="A18" s="294" t="s">
        <v>1667</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604" t="s">
        <v>660</v>
      </c>
      <c r="B3" s="2605"/>
      <c r="C3" s="2605"/>
      <c r="D3" s="2606"/>
    </row>
    <row r="4" spans="1:4" x14ac:dyDescent="0.2">
      <c r="A4" s="931" t="s">
        <v>1670</v>
      </c>
      <c r="B4" s="932"/>
      <c r="C4" s="933"/>
      <c r="D4" s="934"/>
    </row>
    <row r="5" spans="1:4" ht="21" customHeight="1" x14ac:dyDescent="0.2">
      <c r="A5" s="927"/>
      <c r="B5" s="928">
        <v>1</v>
      </c>
      <c r="C5" s="929" t="s">
        <v>1969</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615" t="s">
        <v>1487</v>
      </c>
      <c r="D7" s="2616"/>
    </row>
    <row r="8" spans="1:4" s="542" customFormat="1" ht="12.75" x14ac:dyDescent="0.2">
      <c r="A8" s="917"/>
      <c r="B8" s="872"/>
      <c r="C8" s="875" t="s">
        <v>1486</v>
      </c>
      <c r="D8" s="876"/>
    </row>
    <row r="9" spans="1:4" s="542" customFormat="1" ht="14.25" customHeight="1" x14ac:dyDescent="0.2">
      <c r="A9" s="917"/>
      <c r="B9" s="872">
        <f>B7+1</f>
        <v>4</v>
      </c>
      <c r="C9" s="873" t="s">
        <v>1874</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607" t="s">
        <v>1001</v>
      </c>
      <c r="B15" s="2608"/>
      <c r="C15" s="2608"/>
      <c r="D15" s="2609"/>
    </row>
    <row r="16" spans="1:4" s="542" customFormat="1" ht="24" customHeight="1" x14ac:dyDescent="0.2">
      <c r="A16" s="2610" t="s">
        <v>658</v>
      </c>
      <c r="B16" s="2611"/>
      <c r="C16" s="2611"/>
      <c r="D16" s="2612"/>
    </row>
    <row r="17" spans="1:10" s="542" customFormat="1" ht="12.75" customHeight="1" x14ac:dyDescent="0.2">
      <c r="A17" s="935" t="s">
        <v>1671</v>
      </c>
      <c r="B17" s="936"/>
      <c r="C17" s="937"/>
      <c r="D17" s="938"/>
    </row>
    <row r="18" spans="1:10" s="542" customFormat="1" ht="12.75" customHeight="1" x14ac:dyDescent="0.2">
      <c r="A18" s="939" t="s">
        <v>1970</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705</v>
      </c>
    </row>
    <row r="21" spans="1:10" x14ac:dyDescent="0.2">
      <c r="A21" s="877"/>
      <c r="B21" s="878">
        <v>1</v>
      </c>
      <c r="C21" s="2619" t="s">
        <v>311</v>
      </c>
      <c r="D21" s="2620"/>
    </row>
    <row r="22" spans="1:10" ht="12.75" x14ac:dyDescent="0.2">
      <c r="A22" s="918"/>
      <c r="B22" s="919">
        <v>2</v>
      </c>
      <c r="C22" s="2617" t="s">
        <v>1507</v>
      </c>
      <c r="D22" s="261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621" t="s">
        <v>533</v>
      </c>
      <c r="D43" s="262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613" t="s">
        <v>779</v>
      </c>
      <c r="D56" s="261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1875</v>
      </c>
      <c r="D66" s="904"/>
    </row>
    <row r="67" spans="1:4" x14ac:dyDescent="0.2">
      <c r="A67" s="898"/>
      <c r="B67" s="919"/>
      <c r="C67" s="926" t="s">
        <v>1014</v>
      </c>
      <c r="D67" s="904"/>
    </row>
    <row r="68" spans="1:4" x14ac:dyDescent="0.2">
      <c r="A68" s="879"/>
      <c r="B68" s="889"/>
      <c r="C68" s="881" t="s">
        <v>1876</v>
      </c>
      <c r="D68" s="903" t="str">
        <f>IF('Short-Term Long-Term Debt 24'!F49=SUM(,'Acct Summary 7-8'!C33:K33),"OK","ERROR!")</f>
        <v>OK</v>
      </c>
    </row>
    <row r="69" spans="1:4" x14ac:dyDescent="0.2">
      <c r="A69" s="879"/>
      <c r="B69" s="889"/>
      <c r="C69" s="881" t="s">
        <v>1877</v>
      </c>
      <c r="D69" s="903" t="str">
        <f>IF('Expenditures 15-22'!H170&lt;&gt;'Short-Term Long-Term Debt 24'!H49,"ERROR!","OK")</f>
        <v>OK</v>
      </c>
    </row>
    <row r="70" spans="1:4" x14ac:dyDescent="0.2">
      <c r="A70" s="877"/>
      <c r="B70" s="899">
        <f>B66+1</f>
        <v>9</v>
      </c>
      <c r="C70" s="2613" t="s">
        <v>1673</v>
      </c>
      <c r="D70" s="261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1878</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1983</v>
      </c>
      <c r="D78" s="903" t="str">
        <f>IF(ISNUMBER('Acct Summary 7-8'!C9),"OK","ENTRY IS REQUIRED!")</f>
        <v>OK</v>
      </c>
    </row>
    <row r="79" spans="1:4" x14ac:dyDescent="0.2">
      <c r="A79" s="898"/>
      <c r="B79" s="899">
        <f>B74+1+1</f>
        <v>12</v>
      </c>
      <c r="C79" s="909" t="s">
        <v>1866</v>
      </c>
      <c r="D79" s="910" t="str">
        <f>IF(OR(COVER!$B$6="X",'PCTC-OEPP 27-28'!F79&gt;0),"OK","PLEASE ENTER 9 MO ADA.")</f>
        <v>OK</v>
      </c>
    </row>
    <row r="80" spans="1:4" x14ac:dyDescent="0.2">
      <c r="A80" s="877"/>
      <c r="B80" s="899">
        <v>13</v>
      </c>
      <c r="C80" s="909" t="s">
        <v>1971</v>
      </c>
      <c r="D80" s="910" t="str">
        <f>IF(OR(COVER!$B$6="X",ISNUMBER('PCTC-OEPP 27-28'!F172)),"OK","PLEASE ENTER AMOUNT or 0.")</f>
        <v>OK</v>
      </c>
    </row>
    <row r="81" spans="1:4" x14ac:dyDescent="0.2">
      <c r="A81" s="877"/>
      <c r="B81" s="899">
        <v>14</v>
      </c>
      <c r="C81" s="909" t="s">
        <v>1972</v>
      </c>
      <c r="D81" s="910" t="str">
        <f>IF(OR(COVER!$B$6="X",ISNUMBER('PCTC-OEPP 27-28'!F173)),"OK","PLEASE ENTER AMOUNT or 0.")</f>
        <v>OK</v>
      </c>
    </row>
    <row r="82" spans="1:4" x14ac:dyDescent="0.2">
      <c r="A82" s="877"/>
      <c r="B82" s="899">
        <v>15</v>
      </c>
      <c r="C82" s="909" t="s">
        <v>1879</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1962</v>
      </c>
      <c r="F1" s="1543" t="s">
        <v>1963</v>
      </c>
      <c r="G1" s="1900" t="s">
        <v>1973</v>
      </c>
    </row>
    <row r="2" spans="1:7" ht="15.75" x14ac:dyDescent="0.25">
      <c r="A2" t="s">
        <v>260</v>
      </c>
      <c r="B2" s="135">
        <f>COVER!A13</f>
        <v>28037229026</v>
      </c>
      <c r="E2" s="1542">
        <v>2020</v>
      </c>
      <c r="F2" s="1542">
        <v>1</v>
      </c>
      <c r="G2" s="1899">
        <v>101000300</v>
      </c>
    </row>
    <row r="3" spans="1:7" ht="15" x14ac:dyDescent="0.25">
      <c r="A3" t="s">
        <v>950</v>
      </c>
      <c r="B3" s="135" t="str">
        <f>COVER!A15</f>
        <v>Henry</v>
      </c>
      <c r="E3" s="1830" t="s">
        <v>1966</v>
      </c>
      <c r="F3" s="1830" t="s">
        <v>1965</v>
      </c>
      <c r="G3" s="1899">
        <v>101000400</v>
      </c>
    </row>
    <row r="4" spans="1:7" ht="15" x14ac:dyDescent="0.25">
      <c r="A4" t="s">
        <v>1000</v>
      </c>
      <c r="B4" s="135" t="str">
        <f>COVER!A17</f>
        <v xml:space="preserve">   Kewanee CUSD 229</v>
      </c>
      <c r="E4" s="1828">
        <v>44119</v>
      </c>
      <c r="F4" s="1829">
        <v>44151</v>
      </c>
      <c r="G4" s="1899">
        <v>101000600</v>
      </c>
    </row>
    <row r="5" spans="1:7" ht="15" x14ac:dyDescent="0.25">
      <c r="A5" t="s">
        <v>699</v>
      </c>
      <c r="B5" s="135" t="str">
        <f>COVER!A38</f>
        <v>Dr. Chris Sullens</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Russell J. Rumbold II, CPA</v>
      </c>
      <c r="G17" s="1899">
        <v>402100800</v>
      </c>
    </row>
    <row r="18" spans="1:7" ht="15" x14ac:dyDescent="0.25">
      <c r="A18" t="s">
        <v>1140</v>
      </c>
      <c r="B18" s="135" t="str">
        <f>COVER!T17</f>
        <v>4200 N Knoxville Ave.</v>
      </c>
      <c r="G18" s="1899">
        <v>102200300</v>
      </c>
    </row>
    <row r="19" spans="1:7" ht="15" x14ac:dyDescent="0.25">
      <c r="A19" t="s">
        <v>880</v>
      </c>
      <c r="B19" s="135" t="str">
        <f>COVER!T25</f>
        <v>rrumbold@gorenzcpa.com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Yes</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6568517</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9779746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10018</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10018</v>
      </c>
      <c r="C91" s="2" t="s">
        <v>569</v>
      </c>
      <c r="D91" s="2" t="str">
        <f t="shared" si="0"/>
        <v>Error?</v>
      </c>
      <c r="G91" s="1899">
        <v>102640400</v>
      </c>
    </row>
    <row r="92" spans="1:7" ht="15" x14ac:dyDescent="0.25">
      <c r="A92" s="5">
        <v>31</v>
      </c>
      <c r="B92" s="1832">
        <f>'Assets-Liab 5-6'!C39</f>
        <v>9713380</v>
      </c>
      <c r="D92" s="2" t="str">
        <f t="shared" si="0"/>
        <v>Error?</v>
      </c>
      <c r="G92" s="1899">
        <v>102640600</v>
      </c>
    </row>
    <row r="93" spans="1:7" ht="15" x14ac:dyDescent="0.25">
      <c r="A93" s="5">
        <v>32</v>
      </c>
      <c r="B93" s="1832">
        <f>'Assets-Liab 5-6'!C41</f>
        <v>9779746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663202</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2198892</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2159766</v>
      </c>
      <c r="D123" s="2" t="str">
        <f t="shared" si="0"/>
        <v>Error?</v>
      </c>
      <c r="G123" s="1899">
        <v>203000400</v>
      </c>
    </row>
    <row r="124" spans="1:7" ht="15" x14ac:dyDescent="0.25">
      <c r="A124" s="5">
        <v>63</v>
      </c>
      <c r="B124" s="1832">
        <f>'Assets-Liab 5-6'!D41</f>
        <v>2198892</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1053480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1978614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117032</v>
      </c>
      <c r="D140" s="2" t="str">
        <f t="shared" si="1"/>
        <v>Error?</v>
      </c>
    </row>
    <row r="141" spans="1:7" x14ac:dyDescent="0.2">
      <c r="A141" s="5">
        <v>80</v>
      </c>
      <c r="B141" s="1832">
        <f>'Assets-Liab 5-6'!E41</f>
        <v>1978614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429488</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952867</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952867</v>
      </c>
      <c r="D170" s="2" t="str">
        <f t="shared" si="1"/>
        <v>Error?</v>
      </c>
    </row>
    <row r="171" spans="1:4" x14ac:dyDescent="0.2">
      <c r="A171" s="5">
        <v>110</v>
      </c>
      <c r="B171" s="1832">
        <f>'Assets-Liab 5-6'!F41</f>
        <v>952867</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1007792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381898</v>
      </c>
      <c r="D189" s="2" t="str">
        <f t="shared" si="1"/>
        <v>Error?</v>
      </c>
    </row>
    <row r="190" spans="1:4" x14ac:dyDescent="0.2">
      <c r="A190" s="5">
        <v>129</v>
      </c>
      <c r="B190" s="1832">
        <f>'Assets-Liab 5-6'!G41</f>
        <v>1007792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1205207</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1205207</v>
      </c>
      <c r="D212" s="2" t="str">
        <f t="shared" si="2"/>
        <v>Error?</v>
      </c>
    </row>
    <row r="213" spans="1:4" x14ac:dyDescent="0.2">
      <c r="A213" s="12">
        <v>152</v>
      </c>
      <c r="B213" s="1832">
        <f>'Assets-Liab 5-6'!H41</f>
        <v>1205207</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432926</v>
      </c>
      <c r="D273" s="2" t="str">
        <f t="shared" si="3"/>
        <v>Error?</v>
      </c>
    </row>
    <row r="274" spans="1:4" x14ac:dyDescent="0.2">
      <c r="A274" s="5">
        <v>213</v>
      </c>
      <c r="B274" s="1832">
        <f>'Assets-Liab 5-6'!M17</f>
        <v>27687267</v>
      </c>
      <c r="D274" s="2" t="str">
        <f t="shared" si="3"/>
        <v>Error?</v>
      </c>
    </row>
    <row r="275" spans="1:4" x14ac:dyDescent="0.2">
      <c r="A275" s="5">
        <v>214</v>
      </c>
      <c r="B275" s="1832">
        <f>'Assets-Liab 5-6'!M18</f>
        <v>3504582</v>
      </c>
      <c r="D275" s="2" t="str">
        <f t="shared" si="3"/>
        <v>Error?</v>
      </c>
    </row>
    <row r="276" spans="1:4" x14ac:dyDescent="0.2">
      <c r="A276" s="5">
        <v>215</v>
      </c>
      <c r="B276" s="1832">
        <f>'Assets-Liab 5-6'!M19</f>
        <v>6094455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37743341</v>
      </c>
      <c r="C279" s="2" t="s">
        <v>569</v>
      </c>
      <c r="D279" s="2" t="str">
        <f t="shared" si="3"/>
        <v>Error?</v>
      </c>
    </row>
    <row r="280" spans="1:4" x14ac:dyDescent="0.2">
      <c r="A280" s="5">
        <v>219</v>
      </c>
      <c r="B280" s="1832">
        <f>'Assets-Liab 5-6'!M40</f>
        <v>37743341</v>
      </c>
      <c r="D280" s="2" t="str">
        <f t="shared" si="3"/>
        <v>Error?</v>
      </c>
    </row>
    <row r="281" spans="1:4" x14ac:dyDescent="0.2">
      <c r="A281" s="5">
        <v>220</v>
      </c>
      <c r="B281" s="1832">
        <f>'Assets-Liab 5-6'!M41</f>
        <v>37743341</v>
      </c>
      <c r="C281" s="2" t="s">
        <v>569</v>
      </c>
      <c r="D281" s="2" t="str">
        <f t="shared" si="3"/>
        <v>Error?</v>
      </c>
    </row>
    <row r="282" spans="1:4" x14ac:dyDescent="0.2">
      <c r="A282" s="5">
        <v>221</v>
      </c>
      <c r="B282" s="1832">
        <f>'Assets-Liab 5-6'!N21</f>
        <v>1978614</v>
      </c>
      <c r="D282" s="2" t="str">
        <f t="shared" si="3"/>
        <v>Error?</v>
      </c>
    </row>
    <row r="283" spans="1:4" x14ac:dyDescent="0.2">
      <c r="A283" s="5">
        <v>222</v>
      </c>
      <c r="B283" s="1832">
        <f>'Assets-Liab 5-6'!N22</f>
        <v>4081386</v>
      </c>
      <c r="D283" s="2" t="str">
        <f t="shared" si="3"/>
        <v>Error?</v>
      </c>
    </row>
    <row r="284" spans="1:4" x14ac:dyDescent="0.2">
      <c r="A284" s="5">
        <v>223</v>
      </c>
      <c r="B284" s="1832">
        <f>'Assets-Liab 5-6'!N23</f>
        <v>6060000</v>
      </c>
      <c r="C284" s="2" t="s">
        <v>569</v>
      </c>
      <c r="D284" s="2" t="str">
        <f t="shared" si="3"/>
        <v>Error?</v>
      </c>
    </row>
    <row r="285" spans="1:4" x14ac:dyDescent="0.2">
      <c r="A285" s="5">
        <v>224</v>
      </c>
      <c r="B285" s="1832">
        <f>'Assets-Liab 5-6'!N36</f>
        <v>6060000</v>
      </c>
      <c r="D285" s="2" t="str">
        <f t="shared" si="3"/>
        <v>Error?</v>
      </c>
    </row>
    <row r="286" spans="1:4" x14ac:dyDescent="0.2">
      <c r="A286" s="10">
        <v>225</v>
      </c>
      <c r="B286" s="1832"/>
      <c r="D286" s="2" t="str">
        <f t="shared" si="3"/>
        <v>OK</v>
      </c>
    </row>
    <row r="287" spans="1:4" x14ac:dyDescent="0.2">
      <c r="A287" s="5">
        <v>226</v>
      </c>
      <c r="B287" s="1832">
        <f>'Assets-Liab 5-6'!N37</f>
        <v>6060000</v>
      </c>
      <c r="C287" s="2" t="s">
        <v>569</v>
      </c>
      <c r="D287" s="2" t="str">
        <f t="shared" si="3"/>
        <v>Error?</v>
      </c>
    </row>
    <row r="288" spans="1:4" x14ac:dyDescent="0.2">
      <c r="A288" s="5">
        <v>227</v>
      </c>
      <c r="B288" s="1832">
        <f>'Assets-Liab 5-6'!N41</f>
        <v>6060000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5525570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59977</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361080</v>
      </c>
      <c r="D717" s="2" t="str">
        <f t="shared" si="10"/>
        <v>Error?</v>
      </c>
    </row>
    <row r="718" spans="1:4" x14ac:dyDescent="0.2">
      <c r="A718" s="5">
        <v>657</v>
      </c>
      <c r="B718" s="1832">
        <f>'Expenditures 15-22'!C14</f>
        <v>372330</v>
      </c>
      <c r="D718" s="2" t="str">
        <f t="shared" si="10"/>
        <v>Error?</v>
      </c>
    </row>
    <row r="719" spans="1:4" x14ac:dyDescent="0.2">
      <c r="A719" s="5">
        <v>658</v>
      </c>
      <c r="B719" s="1832">
        <f>'Expenditures 15-22'!C15</f>
        <v>17680</v>
      </c>
      <c r="D719" s="2" t="str">
        <f t="shared" si="10"/>
        <v>Error?</v>
      </c>
    </row>
    <row r="720" spans="1:4" x14ac:dyDescent="0.2">
      <c r="A720" s="5">
        <v>659</v>
      </c>
      <c r="B720" s="1832">
        <f>'Expenditures 15-22'!C33</f>
        <v>7508233</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239134</v>
      </c>
      <c r="D722" s="2" t="str">
        <f t="shared" si="10"/>
        <v>Error?</v>
      </c>
    </row>
    <row r="723" spans="1:4" x14ac:dyDescent="0.2">
      <c r="A723" s="5">
        <v>662</v>
      </c>
      <c r="B723" s="1832">
        <f>'Expenditures 15-22'!C38</f>
        <v>122254</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361388</v>
      </c>
      <c r="C727" s="2" t="s">
        <v>569</v>
      </c>
      <c r="D727" s="2" t="str">
        <f t="shared" si="10"/>
        <v>Error?</v>
      </c>
    </row>
    <row r="728" spans="1:4" x14ac:dyDescent="0.2">
      <c r="A728" s="5">
        <v>667</v>
      </c>
      <c r="B728" s="1832">
        <f>'Expenditures 15-22'!C44</f>
        <v>127361</v>
      </c>
      <c r="D728" s="2" t="str">
        <f t="shared" si="10"/>
        <v>Error?</v>
      </c>
    </row>
    <row r="729" spans="1:4" x14ac:dyDescent="0.2">
      <c r="A729" s="5">
        <v>668</v>
      </c>
      <c r="B729" s="1832">
        <f>'Expenditures 15-22'!C45</f>
        <v>92507</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219868</v>
      </c>
      <c r="C731" s="2" t="s">
        <v>569</v>
      </c>
      <c r="D731" s="2" t="str">
        <f t="shared" si="10"/>
        <v>Error?</v>
      </c>
    </row>
    <row r="732" spans="1:4" x14ac:dyDescent="0.2">
      <c r="A732" s="5">
        <v>671</v>
      </c>
      <c r="B732" s="1832">
        <f>'Expenditures 15-22'!C49</f>
        <v>6310</v>
      </c>
      <c r="D732" s="2" t="str">
        <f t="shared" si="10"/>
        <v>Error?</v>
      </c>
    </row>
    <row r="733" spans="1:4" x14ac:dyDescent="0.2">
      <c r="A733" s="5">
        <v>672</v>
      </c>
      <c r="B733" s="1832">
        <f>'Expenditures 15-22'!C50</f>
        <v>197491</v>
      </c>
      <c r="D733" s="2" t="str">
        <f t="shared" si="10"/>
        <v>Error?</v>
      </c>
    </row>
    <row r="734" spans="1:4" x14ac:dyDescent="0.2">
      <c r="A734" s="5">
        <v>673</v>
      </c>
      <c r="B734" s="1832">
        <f>'Expenditures 15-22'!C53</f>
        <v>225347</v>
      </c>
      <c r="C734" s="2" t="s">
        <v>569</v>
      </c>
      <c r="D734" s="2" t="str">
        <f t="shared" si="10"/>
        <v>Error?</v>
      </c>
    </row>
    <row r="735" spans="1:4" x14ac:dyDescent="0.2">
      <c r="A735" s="5">
        <v>674</v>
      </c>
      <c r="B735" s="1832">
        <f>'Expenditures 15-22'!C55</f>
        <v>1014528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1014528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223395</v>
      </c>
      <c r="D739" s="2" t="str">
        <f t="shared" si="10"/>
        <v>Error?</v>
      </c>
    </row>
    <row r="740" spans="1:4" x14ac:dyDescent="0.2">
      <c r="A740" s="5">
        <v>679</v>
      </c>
      <c r="B740" s="1832">
        <f>'Expenditures 15-22'!C61</f>
        <v>11798</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383047</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618240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34759</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34759</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2474130</v>
      </c>
      <c r="C755" s="2" t="s">
        <v>569</v>
      </c>
      <c r="D755" s="2" t="str">
        <f t="shared" si="10"/>
        <v>Error?</v>
      </c>
    </row>
    <row r="756" spans="1:4" x14ac:dyDescent="0.2">
      <c r="A756" s="5">
        <v>695</v>
      </c>
      <c r="B756" s="1832">
        <f>'Expenditures 15-22'!C75</f>
        <v>100942</v>
      </c>
      <c r="D756" s="2" t="str">
        <f t="shared" si="10"/>
        <v>Error?</v>
      </c>
    </row>
    <row r="757" spans="1:4" x14ac:dyDescent="0.2">
      <c r="A757" s="5">
        <v>696</v>
      </c>
      <c r="B757" s="1832">
        <f>'Expenditures 15-22'!C114</f>
        <v>10083305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528209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904</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45204</v>
      </c>
      <c r="D775" s="2" t="str">
        <f t="shared" si="11"/>
        <v>Error?</v>
      </c>
    </row>
    <row r="776" spans="1:4" x14ac:dyDescent="0.2">
      <c r="A776" s="5">
        <v>715</v>
      </c>
      <c r="B776" s="1832">
        <f>'Expenditures 15-22'!D14</f>
        <v>9637</v>
      </c>
      <c r="D776" s="2" t="str">
        <f t="shared" si="11"/>
        <v>Error?</v>
      </c>
    </row>
    <row r="777" spans="1:4" x14ac:dyDescent="0.2">
      <c r="A777" s="5">
        <v>716</v>
      </c>
      <c r="B777" s="1832">
        <f>'Expenditures 15-22'!D15</f>
        <v>265</v>
      </c>
      <c r="D777" s="2" t="str">
        <f t="shared" si="11"/>
        <v>Error?</v>
      </c>
    </row>
    <row r="778" spans="1:4" x14ac:dyDescent="0.2">
      <c r="A778" s="5">
        <v>717</v>
      </c>
      <c r="B778" s="1832">
        <f>'Expenditures 15-22'!D33</f>
        <v>764036</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31457</v>
      </c>
      <c r="D780" s="2" t="str">
        <f t="shared" si="11"/>
        <v>Error?</v>
      </c>
    </row>
    <row r="781" spans="1:4" x14ac:dyDescent="0.2">
      <c r="A781" s="5">
        <v>720</v>
      </c>
      <c r="B781" s="1832">
        <f>'Expenditures 15-22'!D38</f>
        <v>13553</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45010</v>
      </c>
      <c r="C785" s="2" t="s">
        <v>569</v>
      </c>
      <c r="D785" s="2" t="str">
        <f t="shared" si="11"/>
        <v>Error?</v>
      </c>
    </row>
    <row r="786" spans="1:4" x14ac:dyDescent="0.2">
      <c r="A786" s="5">
        <v>725</v>
      </c>
      <c r="B786" s="1832">
        <f>'Expenditures 15-22'!D44</f>
        <v>21178</v>
      </c>
      <c r="D786" s="2" t="str">
        <f t="shared" si="11"/>
        <v>Error?</v>
      </c>
    </row>
    <row r="787" spans="1:4" x14ac:dyDescent="0.2">
      <c r="A787" s="5">
        <v>726</v>
      </c>
      <c r="B787" s="1832">
        <f>'Expenditures 15-22'!D45</f>
        <v>7875</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29053</v>
      </c>
      <c r="C789" s="2" t="s">
        <v>569</v>
      </c>
      <c r="D789" s="2" t="str">
        <f t="shared" si="11"/>
        <v>Error?</v>
      </c>
    </row>
    <row r="790" spans="1:4" x14ac:dyDescent="0.2">
      <c r="A790" s="5">
        <v>729</v>
      </c>
      <c r="B790" s="1832">
        <f>'Expenditures 15-22'!D49</f>
        <v>2564</v>
      </c>
      <c r="D790" s="2" t="str">
        <f t="shared" si="11"/>
        <v>Error?</v>
      </c>
    </row>
    <row r="791" spans="1:4" x14ac:dyDescent="0.2">
      <c r="A791" s="5">
        <v>730</v>
      </c>
      <c r="B791" s="1832">
        <f>'Expenditures 15-22'!D50</f>
        <v>27314</v>
      </c>
      <c r="D791" s="2" t="str">
        <f t="shared" si="11"/>
        <v>Error?</v>
      </c>
    </row>
    <row r="792" spans="1:4" x14ac:dyDescent="0.2">
      <c r="A792" s="5">
        <v>731</v>
      </c>
      <c r="B792" s="1832">
        <f>'Expenditures 15-22'!D53</f>
        <v>36480</v>
      </c>
      <c r="C792" s="2" t="s">
        <v>569</v>
      </c>
      <c r="D792" s="2" t="str">
        <f t="shared" si="11"/>
        <v>Error?</v>
      </c>
    </row>
    <row r="793" spans="1:4" x14ac:dyDescent="0.2">
      <c r="A793" s="5">
        <v>732</v>
      </c>
      <c r="B793" s="1832">
        <f>'Expenditures 15-22'!D55</f>
        <v>108794</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108794</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23026</v>
      </c>
      <c r="D797" s="2" t="str">
        <f t="shared" si="11"/>
        <v>Error?</v>
      </c>
    </row>
    <row r="798" spans="1:4" x14ac:dyDescent="0.2">
      <c r="A798" s="5">
        <v>737</v>
      </c>
      <c r="B798" s="1832">
        <f>'Expenditures 15-22'!D61</f>
        <v>2519</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91595</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117140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6633</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6633</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343110</v>
      </c>
      <c r="C813" s="2" t="s">
        <v>569</v>
      </c>
      <c r="D813" s="2" t="str">
        <f t="shared" si="11"/>
        <v>Error?</v>
      </c>
    </row>
    <row r="814" spans="1:4" x14ac:dyDescent="0.2">
      <c r="A814" s="5">
        <v>753</v>
      </c>
      <c r="B814" s="1832">
        <f>'Expenditures 15-22'!D75</f>
        <v>14694</v>
      </c>
      <c r="D814" s="2" t="str">
        <f t="shared" si="11"/>
        <v>Error?</v>
      </c>
    </row>
    <row r="815" spans="1:4" x14ac:dyDescent="0.2">
      <c r="A815" s="5">
        <v>754</v>
      </c>
      <c r="B815" s="1832">
        <f>'Expenditures 15-22'!D114</f>
        <v>1121840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81851</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3846</v>
      </c>
      <c r="D833" s="2" t="str">
        <f t="shared" si="12"/>
        <v>Error?</v>
      </c>
    </row>
    <row r="834" spans="1:4" x14ac:dyDescent="0.2">
      <c r="A834" s="5">
        <v>773</v>
      </c>
      <c r="B834" s="1832">
        <f>'Expenditures 15-22'!E14</f>
        <v>153780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1052957</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358</v>
      </c>
      <c r="D838" s="2" t="str">
        <f t="shared" si="12"/>
        <v>Error?</v>
      </c>
    </row>
    <row r="839" spans="1:4" x14ac:dyDescent="0.2">
      <c r="A839" s="5">
        <v>778</v>
      </c>
      <c r="B839" s="1832">
        <f>'Expenditures 15-22'!E38</f>
        <v>4316</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4674</v>
      </c>
      <c r="C843" s="2" t="s">
        <v>569</v>
      </c>
      <c r="D843" s="2" t="str">
        <f t="shared" si="12"/>
        <v>Error?</v>
      </c>
    </row>
    <row r="844" spans="1:4" x14ac:dyDescent="0.2">
      <c r="A844" s="5">
        <v>783</v>
      </c>
      <c r="B844" s="1832">
        <f>'Expenditures 15-22'!E44</f>
        <v>35586</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40172</v>
      </c>
      <c r="D846" s="2" t="str">
        <f t="shared" si="12"/>
        <v>Error?</v>
      </c>
    </row>
    <row r="847" spans="1:4" x14ac:dyDescent="0.2">
      <c r="A847" s="5">
        <v>786</v>
      </c>
      <c r="B847" s="1832">
        <f>'Expenditures 15-22'!E47</f>
        <v>75758</v>
      </c>
      <c r="C847" s="2" t="s">
        <v>569</v>
      </c>
      <c r="D847" s="2" t="str">
        <f t="shared" si="12"/>
        <v>Error?</v>
      </c>
    </row>
    <row r="848" spans="1:4" x14ac:dyDescent="0.2">
      <c r="A848" s="5">
        <v>787</v>
      </c>
      <c r="B848" s="1832">
        <f>'Expenditures 15-22'!E49</f>
        <v>109644</v>
      </c>
      <c r="D848" s="2" t="str">
        <f t="shared" si="12"/>
        <v>Error?</v>
      </c>
    </row>
    <row r="849" spans="1:4" x14ac:dyDescent="0.2">
      <c r="A849" s="5">
        <v>788</v>
      </c>
      <c r="B849" s="1832">
        <f>'Expenditures 15-22'!E50</f>
        <v>3553</v>
      </c>
      <c r="D849" s="2" t="str">
        <f t="shared" si="12"/>
        <v>Error?</v>
      </c>
    </row>
    <row r="850" spans="1:4" x14ac:dyDescent="0.2">
      <c r="A850" s="5">
        <v>789</v>
      </c>
      <c r="B850" s="1832">
        <f>'Expenditures 15-22'!E53</f>
        <v>113197</v>
      </c>
      <c r="C850" s="2" t="s">
        <v>569</v>
      </c>
      <c r="D850" s="2" t="str">
        <f t="shared" si="12"/>
        <v>Error?</v>
      </c>
    </row>
    <row r="851" spans="1:4" x14ac:dyDescent="0.2">
      <c r="A851" s="5">
        <v>790</v>
      </c>
      <c r="B851" s="1832">
        <f>'Expenditures 15-22'!E55</f>
        <v>148897</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148897</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24116</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19192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43308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244</v>
      </c>
      <c r="D864" s="2" t="str">
        <f t="shared" si="12"/>
        <v>Error?</v>
      </c>
    </row>
    <row r="865" spans="1:4" x14ac:dyDescent="0.2">
      <c r="A865" s="5">
        <v>804</v>
      </c>
      <c r="B865" s="1832">
        <f>'Expenditures 15-22'!E70</f>
        <v>515</v>
      </c>
      <c r="D865" s="2" t="str">
        <f t="shared" si="12"/>
        <v>Error?</v>
      </c>
    </row>
    <row r="866" spans="1:4" x14ac:dyDescent="0.2">
      <c r="A866" s="10">
        <v>805</v>
      </c>
      <c r="B866" s="1832"/>
      <c r="D866" s="2" t="str">
        <f t="shared" si="12"/>
        <v>OK</v>
      </c>
    </row>
    <row r="867" spans="1:4" x14ac:dyDescent="0.2">
      <c r="A867" s="5">
        <v>806</v>
      </c>
      <c r="B867" s="1832">
        <f>'Expenditures 15-22'!E71</f>
        <v>24776</v>
      </c>
      <c r="D867" s="2" t="str">
        <f t="shared" si="12"/>
        <v>Error?</v>
      </c>
    </row>
    <row r="868" spans="1:4" x14ac:dyDescent="0.2">
      <c r="A868" s="10">
        <v>807</v>
      </c>
      <c r="B868" s="1832"/>
      <c r="D868" s="2" t="str">
        <f t="shared" si="12"/>
        <v>OK</v>
      </c>
    </row>
    <row r="869" spans="1:4" x14ac:dyDescent="0.2">
      <c r="A869" s="5">
        <v>808</v>
      </c>
      <c r="B869" s="1832">
        <f>'Expenditures 15-22'!E72</f>
        <v>25535</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411369</v>
      </c>
      <c r="C871" s="2" t="s">
        <v>569</v>
      </c>
      <c r="D871" s="2" t="str">
        <f t="shared" si="12"/>
        <v>Error?</v>
      </c>
    </row>
    <row r="872" spans="1:4" x14ac:dyDescent="0.2">
      <c r="A872" s="5">
        <v>811</v>
      </c>
      <c r="B872" s="1832">
        <f>'Expenditures 15-22'!E75</f>
        <v>10049</v>
      </c>
      <c r="D872" s="2" t="str">
        <f t="shared" si="12"/>
        <v>Error?</v>
      </c>
    </row>
    <row r="873" spans="1:4" x14ac:dyDescent="0.2">
      <c r="A873" s="5">
        <v>812</v>
      </c>
      <c r="B873" s="1832">
        <f>'Expenditures 15-22'!E114</f>
        <v>2049448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183708</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31261</v>
      </c>
      <c r="D891" s="2" t="str">
        <f t="shared" si="12"/>
        <v>Error?</v>
      </c>
    </row>
    <row r="892" spans="1:4" x14ac:dyDescent="0.2">
      <c r="A892" s="5">
        <v>831</v>
      </c>
      <c r="B892" s="1832">
        <f>'Expenditures 15-22'!F14</f>
        <v>105098</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403560</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1379</v>
      </c>
      <c r="D896" s="2" t="str">
        <f t="shared" si="13"/>
        <v>Error?</v>
      </c>
    </row>
    <row r="897" spans="1:4" x14ac:dyDescent="0.2">
      <c r="A897" s="5">
        <v>836</v>
      </c>
      <c r="B897" s="1832">
        <f>'Expenditures 15-22'!F38</f>
        <v>19758</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21137</v>
      </c>
      <c r="C901" s="2" t="s">
        <v>569</v>
      </c>
      <c r="D901" s="2" t="str">
        <f t="shared" si="13"/>
        <v>Error?</v>
      </c>
    </row>
    <row r="902" spans="1:4" x14ac:dyDescent="0.2">
      <c r="A902" s="5">
        <v>841</v>
      </c>
      <c r="B902" s="1832">
        <f>'Expenditures 15-22'!F44</f>
        <v>1747</v>
      </c>
      <c r="D902" s="2" t="str">
        <f t="shared" si="13"/>
        <v>Error?</v>
      </c>
    </row>
    <row r="903" spans="1:4" x14ac:dyDescent="0.2">
      <c r="A903" s="5">
        <v>842</v>
      </c>
      <c r="B903" s="1832">
        <f>'Expenditures 15-22'!F45</f>
        <v>270000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271747</v>
      </c>
      <c r="C905" s="2" t="s">
        <v>569</v>
      </c>
      <c r="D905" s="2" t="str">
        <f t="shared" si="13"/>
        <v>Error?</v>
      </c>
    </row>
    <row r="906" spans="1:4" x14ac:dyDescent="0.2">
      <c r="A906" s="5">
        <v>845</v>
      </c>
      <c r="B906" s="1832">
        <f>'Expenditures 15-22'!F49</f>
        <v>15979</v>
      </c>
      <c r="D906" s="2" t="str">
        <f t="shared" si="13"/>
        <v>Error?</v>
      </c>
    </row>
    <row r="907" spans="1:4" x14ac:dyDescent="0.2">
      <c r="A907" s="5">
        <v>846</v>
      </c>
      <c r="B907" s="1832">
        <f>'Expenditures 15-22'!F50</f>
        <v>922</v>
      </c>
      <c r="D907" s="2" t="str">
        <f t="shared" si="13"/>
        <v>Error?</v>
      </c>
    </row>
    <row r="908" spans="1:4" x14ac:dyDescent="0.2">
      <c r="A908" s="5">
        <v>847</v>
      </c>
      <c r="B908" s="1832">
        <f>'Expenditures 15-22'!F53</f>
        <v>16901</v>
      </c>
      <c r="C908" s="2" t="s">
        <v>569</v>
      </c>
      <c r="D908" s="2" t="str">
        <f t="shared" si="13"/>
        <v>Error?</v>
      </c>
    </row>
    <row r="909" spans="1:4" x14ac:dyDescent="0.2">
      <c r="A909" s="5">
        <v>848</v>
      </c>
      <c r="B909" s="1832">
        <f>'Expenditures 15-22'!F55</f>
        <v>40615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40615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16316</v>
      </c>
      <c r="D913" s="2" t="str">
        <f t="shared" si="13"/>
        <v>Error?</v>
      </c>
    </row>
    <row r="914" spans="1:4" x14ac:dyDescent="0.2">
      <c r="A914" s="5">
        <v>853</v>
      </c>
      <c r="B914" s="1832">
        <f>'Expenditures 15-22'!F61</f>
        <v>41</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582181</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598538</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12353</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12353</v>
      </c>
      <c r="C927" s="2" t="s">
        <v>569</v>
      </c>
      <c r="D927" s="2" t="str">
        <f t="shared" si="13"/>
        <v>Error?</v>
      </c>
    </row>
    <row r="928" spans="1:4" x14ac:dyDescent="0.2">
      <c r="A928" s="5">
        <v>867</v>
      </c>
      <c r="B928" s="1832">
        <f>'Expenditures 15-22'!F73</f>
        <v>26</v>
      </c>
      <c r="D928" s="2" t="str">
        <f t="shared" si="13"/>
        <v>Error?</v>
      </c>
    </row>
    <row r="929" spans="1:4" x14ac:dyDescent="0.2">
      <c r="A929" s="5">
        <v>868</v>
      </c>
      <c r="B929" s="1832">
        <f>'Expenditures 15-22'!F74</f>
        <v>961317</v>
      </c>
      <c r="C929" s="2" t="s">
        <v>569</v>
      </c>
      <c r="D929" s="2" t="str">
        <f t="shared" si="13"/>
        <v>Error?</v>
      </c>
    </row>
    <row r="930" spans="1:4" x14ac:dyDescent="0.2">
      <c r="A930" s="5">
        <v>869</v>
      </c>
      <c r="B930" s="1832">
        <f>'Expenditures 15-22'!F75</f>
        <v>20606</v>
      </c>
      <c r="D930" s="2" t="str">
        <f t="shared" si="13"/>
        <v>Error?</v>
      </c>
    </row>
    <row r="931" spans="1:4" x14ac:dyDescent="0.2">
      <c r="A931" s="5">
        <v>870</v>
      </c>
      <c r="B931" s="1832">
        <f>'Expenditures 15-22'!F114</f>
        <v>1385483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575097</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46052</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644104</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3005</v>
      </c>
      <c r="D960" s="2" t="str">
        <f t="shared" si="14"/>
        <v>Error?</v>
      </c>
    </row>
    <row r="961" spans="1:4" x14ac:dyDescent="0.2">
      <c r="A961" s="5">
        <v>900</v>
      </c>
      <c r="B961" s="1832">
        <f>'Expenditures 15-22'!G45</f>
        <v>1950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4955</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1861</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1861</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1957</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70124</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72081</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78897</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723001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125</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389934</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2650</v>
      </c>
      <c r="D1023" s="2" t="str">
        <f t="shared" ref="D1023:D1086" si="15">IF(ISBLANK(B1023),"OK",IF(A1023-B1023=0,"OK","Error?"))</f>
        <v>Error?</v>
      </c>
    </row>
    <row r="1024" spans="1:4" x14ac:dyDescent="0.2">
      <c r="A1024" s="5">
        <v>963</v>
      </c>
      <c r="B1024" s="1832">
        <f>'Expenditures 15-22'!H53</f>
        <v>2650</v>
      </c>
      <c r="C1024" s="2" t="s">
        <v>569</v>
      </c>
      <c r="D1024" s="2" t="str">
        <f t="shared" si="15"/>
        <v>Error?</v>
      </c>
    </row>
    <row r="1025" spans="1:4" x14ac:dyDescent="0.2">
      <c r="A1025" s="5">
        <v>964</v>
      </c>
      <c r="B1025" s="1832">
        <f>'Expenditures 15-22'!H55</f>
        <v>2562</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2562</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5212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1737510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2132656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1992</v>
      </c>
      <c r="E1056" s="4" t="s">
        <v>1991</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6894435</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60881</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441516</v>
      </c>
      <c r="C1105" s="2" t="s">
        <v>569</v>
      </c>
      <c r="D1105" s="2" t="str">
        <f t="shared" si="16"/>
        <v>Error?</v>
      </c>
    </row>
    <row r="1106" spans="1:4" x14ac:dyDescent="0.2">
      <c r="A1106" s="5">
        <v>1045</v>
      </c>
      <c r="B1106" s="1832">
        <f>'Expenditures 15-22'!K14</f>
        <v>686897</v>
      </c>
      <c r="C1106" s="2" t="s">
        <v>569</v>
      </c>
      <c r="D1106" s="2" t="str">
        <f t="shared" si="16"/>
        <v>Error?</v>
      </c>
    </row>
    <row r="1107" spans="1:4" x14ac:dyDescent="0.2">
      <c r="A1107" s="5">
        <v>1046</v>
      </c>
      <c r="B1107" s="1832">
        <f>'Expenditures 15-22'!K15</f>
        <v>17945</v>
      </c>
      <c r="C1107" s="2" t="s">
        <v>569</v>
      </c>
      <c r="D1107" s="2" t="str">
        <f t="shared" si="16"/>
        <v>Error?</v>
      </c>
    </row>
    <row r="1108" spans="1:4" x14ac:dyDescent="0.2">
      <c r="A1108" s="5">
        <v>1047</v>
      </c>
      <c r="B1108" s="1832">
        <f>'Expenditures 15-22'!K33</f>
        <v>10762824</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272328</v>
      </c>
      <c r="C1110" s="2" t="s">
        <v>569</v>
      </c>
      <c r="D1110" s="2" t="str">
        <f t="shared" si="16"/>
        <v>Error?</v>
      </c>
    </row>
    <row r="1111" spans="1:4" x14ac:dyDescent="0.2">
      <c r="A1111" s="5">
        <v>1050</v>
      </c>
      <c r="B1111" s="1832">
        <f>'Expenditures 15-22'!K38</f>
        <v>159881</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432209</v>
      </c>
      <c r="C1115" s="2" t="s">
        <v>569</v>
      </c>
      <c r="D1115" s="2" t="str">
        <f t="shared" si="16"/>
        <v>Error?</v>
      </c>
    </row>
    <row r="1116" spans="1:4" x14ac:dyDescent="0.2">
      <c r="A1116" s="5">
        <v>1055</v>
      </c>
      <c r="B1116" s="1832">
        <f>'Expenditures 15-22'!K44</f>
        <v>188877</v>
      </c>
      <c r="C1116" s="2" t="s">
        <v>569</v>
      </c>
      <c r="D1116" s="2" t="str">
        <f t="shared" si="16"/>
        <v>Error?</v>
      </c>
    </row>
    <row r="1117" spans="1:4" x14ac:dyDescent="0.2">
      <c r="A1117" s="5">
        <v>1056</v>
      </c>
      <c r="B1117" s="1832">
        <f>'Expenditures 15-22'!K45</f>
        <v>372332</v>
      </c>
      <c r="C1117" s="2" t="s">
        <v>569</v>
      </c>
      <c r="D1117" s="2" t="str">
        <f t="shared" si="16"/>
        <v>Error?</v>
      </c>
    </row>
    <row r="1118" spans="1:4" x14ac:dyDescent="0.2">
      <c r="A1118" s="5">
        <v>1057</v>
      </c>
      <c r="B1118" s="1832">
        <f>'Expenditures 15-22'!K46</f>
        <v>40172</v>
      </c>
      <c r="C1118" s="2" t="s">
        <v>569</v>
      </c>
      <c r="D1118" s="2" t="str">
        <f t="shared" si="16"/>
        <v>Error?</v>
      </c>
    </row>
    <row r="1119" spans="1:4" x14ac:dyDescent="0.2">
      <c r="A1119" s="5">
        <v>1058</v>
      </c>
      <c r="B1119" s="1832">
        <f>'Expenditures 15-22'!K47</f>
        <v>601381</v>
      </c>
      <c r="C1119" s="2" t="s">
        <v>569</v>
      </c>
      <c r="D1119" s="2" t="str">
        <f t="shared" si="16"/>
        <v>Error?</v>
      </c>
    </row>
    <row r="1120" spans="1:4" x14ac:dyDescent="0.2">
      <c r="A1120" s="5">
        <v>1059</v>
      </c>
      <c r="B1120" s="1832">
        <f>'Expenditures 15-22'!K49</f>
        <v>134497</v>
      </c>
      <c r="C1120" s="2" t="s">
        <v>569</v>
      </c>
      <c r="D1120" s="2" t="str">
        <f t="shared" si="16"/>
        <v>Error?</v>
      </c>
    </row>
    <row r="1121" spans="1:4" x14ac:dyDescent="0.2">
      <c r="A1121" s="5">
        <v>1060</v>
      </c>
      <c r="B1121" s="1832">
        <f>'Expenditures 15-22'!K50</f>
        <v>231930</v>
      </c>
      <c r="C1121" s="2" t="s">
        <v>569</v>
      </c>
      <c r="D1121" s="2" t="str">
        <f t="shared" si="16"/>
        <v>Error?</v>
      </c>
    </row>
    <row r="1122" spans="1:4" x14ac:dyDescent="0.2">
      <c r="A1122" s="5">
        <v>1061</v>
      </c>
      <c r="B1122" s="1832">
        <f>'Expenditures 15-22'!K53</f>
        <v>394575</v>
      </c>
      <c r="C1122" s="2" t="s">
        <v>569</v>
      </c>
      <c r="D1122" s="2" t="str">
        <f t="shared" si="16"/>
        <v>Error?</v>
      </c>
    </row>
    <row r="1123" spans="1:4" x14ac:dyDescent="0.2">
      <c r="A1123" s="5">
        <v>1062</v>
      </c>
      <c r="B1123" s="1832">
        <f>'Expenditures 15-22'!K55</f>
        <v>1317257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1317257</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288810</v>
      </c>
      <c r="C1127" s="2" t="s">
        <v>569</v>
      </c>
      <c r="D1127" s="2" t="str">
        <f t="shared" si="16"/>
        <v>Error?</v>
      </c>
    </row>
    <row r="1128" spans="1:4" x14ac:dyDescent="0.2">
      <c r="A1128" s="5">
        <v>1067</v>
      </c>
      <c r="B1128" s="1832">
        <f>'Expenditures 15-22'!K61</f>
        <v>14358</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1146139</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1449307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53989</v>
      </c>
      <c r="C1136" s="2" t="s">
        <v>569</v>
      </c>
      <c r="D1136" s="2" t="str">
        <f t="shared" si="16"/>
        <v>Error?</v>
      </c>
    </row>
    <row r="1137" spans="1:4" x14ac:dyDescent="0.2">
      <c r="A1137" s="5">
        <v>1076</v>
      </c>
      <c r="B1137" s="1832">
        <f>'Expenditures 15-22'!K70</f>
        <v>515</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24776</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79280</v>
      </c>
      <c r="C1141" s="2" t="s">
        <v>569</v>
      </c>
      <c r="D1141" s="2" t="str">
        <f t="shared" si="16"/>
        <v>Error?</v>
      </c>
    </row>
    <row r="1142" spans="1:4" x14ac:dyDescent="0.2">
      <c r="A1142" s="5">
        <v>1081</v>
      </c>
      <c r="B1142" s="1832">
        <f>'Expenditures 15-22'!K73</f>
        <v>26</v>
      </c>
      <c r="C1142" s="2" t="s">
        <v>569</v>
      </c>
      <c r="D1142" s="2" t="str">
        <f t="shared" si="16"/>
        <v>Error?</v>
      </c>
    </row>
    <row r="1143" spans="1:4" x14ac:dyDescent="0.2">
      <c r="A1143" s="5">
        <v>1082</v>
      </c>
      <c r="B1143" s="1832">
        <f>'Expenditures 15-22'!K74</f>
        <v>4274035</v>
      </c>
      <c r="C1143" s="2" t="s">
        <v>569</v>
      </c>
      <c r="D1143" s="2" t="str">
        <f t="shared" si="16"/>
        <v>Error?</v>
      </c>
    </row>
    <row r="1144" spans="1:4" x14ac:dyDescent="0.2">
      <c r="A1144" s="5">
        <v>1083</v>
      </c>
      <c r="B1144" s="1832">
        <f>'Expenditures 15-22'!K75</f>
        <v>146291</v>
      </c>
      <c r="C1144" s="2" t="s">
        <v>569</v>
      </c>
      <c r="D1144" s="2" t="str">
        <f t="shared" si="16"/>
        <v>Error?</v>
      </c>
    </row>
    <row r="1145" spans="1:4" x14ac:dyDescent="0.2">
      <c r="A1145" s="5">
        <v>1084</v>
      </c>
      <c r="B1145" s="1832">
        <f>'Expenditures 15-22'!K102</f>
        <v>2312583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17495733</v>
      </c>
      <c r="C1152" s="2" t="s">
        <v>569</v>
      </c>
      <c r="D1152" s="2" t="str">
        <f t="shared" si="17"/>
        <v>Error?</v>
      </c>
    </row>
    <row r="1153" spans="1:4" x14ac:dyDescent="0.2">
      <c r="A1153" s="5">
        <v>1092</v>
      </c>
      <c r="B1153" s="1832">
        <f>'Expenditures 15-22'!K115</f>
        <v>838649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612777</v>
      </c>
      <c r="D1221" s="2" t="str">
        <f t="shared" si="18"/>
        <v>Error?</v>
      </c>
    </row>
    <row r="1222" spans="1:4" x14ac:dyDescent="0.2">
      <c r="A1222" s="10">
        <v>1161</v>
      </c>
      <c r="B1222" s="1832"/>
      <c r="D1222" s="2" t="str">
        <f t="shared" si="18"/>
        <v>OK</v>
      </c>
    </row>
    <row r="1223" spans="1:4" x14ac:dyDescent="0.2">
      <c r="A1223" s="5">
        <v>1162</v>
      </c>
      <c r="B1223" s="1832">
        <f>'Expenditures 15-22'!C127</f>
        <v>612777</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612777</v>
      </c>
      <c r="C1225" s="2" t="s">
        <v>569</v>
      </c>
      <c r="D1225" s="2" t="str">
        <f t="shared" si="18"/>
        <v>Error?</v>
      </c>
    </row>
    <row r="1226" spans="1:4" x14ac:dyDescent="0.2">
      <c r="A1226" s="5">
        <v>1165</v>
      </c>
      <c r="B1226" s="1832">
        <f>'Expenditures 15-22'!C151</f>
        <v>612777</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74513</v>
      </c>
      <c r="D1229" s="2" t="str">
        <f t="shared" si="18"/>
        <v>Error?</v>
      </c>
    </row>
    <row r="1230" spans="1:4" x14ac:dyDescent="0.2">
      <c r="A1230" s="10">
        <v>1169</v>
      </c>
      <c r="B1230" s="1832"/>
      <c r="D1230" s="2" t="str">
        <f t="shared" si="18"/>
        <v>OK</v>
      </c>
    </row>
    <row r="1231" spans="1:4" x14ac:dyDescent="0.2">
      <c r="A1231" s="5">
        <v>1170</v>
      </c>
      <c r="B1231" s="1832">
        <f>'Expenditures 15-22'!D127</f>
        <v>74513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74513</v>
      </c>
      <c r="C1233" s="2" t="s">
        <v>569</v>
      </c>
      <c r="D1233" s="2" t="str">
        <f t="shared" si="18"/>
        <v>Error?</v>
      </c>
    </row>
    <row r="1234" spans="1:4" x14ac:dyDescent="0.2">
      <c r="A1234" s="5">
        <v>1173</v>
      </c>
      <c r="B1234" s="1832">
        <f>'Expenditures 15-22'!D151</f>
        <v>74513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92829</v>
      </c>
      <c r="D1236" s="2" t="str">
        <f t="shared" si="18"/>
        <v>Error?</v>
      </c>
    </row>
    <row r="1237" spans="1:4" x14ac:dyDescent="0.2">
      <c r="A1237" s="5">
        <v>1176</v>
      </c>
      <c r="B1237" s="1832">
        <f>'Expenditures 15-22'!E124</f>
        <v>492277</v>
      </c>
      <c r="D1237" s="2" t="str">
        <f t="shared" si="18"/>
        <v>Error?</v>
      </c>
    </row>
    <row r="1238" spans="1:4" x14ac:dyDescent="0.2">
      <c r="A1238" s="10">
        <v>1177</v>
      </c>
      <c r="B1238" s="1832"/>
      <c r="D1238" s="2" t="str">
        <f t="shared" si="18"/>
        <v>OK</v>
      </c>
    </row>
    <row r="1239" spans="1:4" x14ac:dyDescent="0.2">
      <c r="A1239" s="5">
        <v>1178</v>
      </c>
      <c r="B1239" s="1832">
        <f>'Expenditures 15-22'!E127</f>
        <v>585106</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585106</v>
      </c>
      <c r="C1241" s="2" t="s">
        <v>569</v>
      </c>
      <c r="D1241" s="2" t="str">
        <f t="shared" si="18"/>
        <v>Error?</v>
      </c>
    </row>
    <row r="1242" spans="1:4" x14ac:dyDescent="0.2">
      <c r="A1242" s="5">
        <v>1181</v>
      </c>
      <c r="B1242" s="1832">
        <f>'Expenditures 15-22'!E151</f>
        <v>585106</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406463</v>
      </c>
      <c r="D1245" s="2" t="str">
        <f t="shared" si="18"/>
        <v>Error?</v>
      </c>
    </row>
    <row r="1246" spans="1:4" x14ac:dyDescent="0.2">
      <c r="A1246" s="10">
        <v>1185</v>
      </c>
      <c r="B1246" s="1832"/>
      <c r="D1246" s="2" t="str">
        <f t="shared" si="18"/>
        <v>OK</v>
      </c>
    </row>
    <row r="1247" spans="1:4" x14ac:dyDescent="0.2">
      <c r="A1247" s="5">
        <v>1186</v>
      </c>
      <c r="B1247" s="1832">
        <f>'Expenditures 15-22'!F127</f>
        <v>406463</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406463</v>
      </c>
      <c r="C1249" s="2" t="s">
        <v>569</v>
      </c>
      <c r="D1249" s="2" t="str">
        <f t="shared" si="18"/>
        <v>Error?</v>
      </c>
    </row>
    <row r="1250" spans="1:4" x14ac:dyDescent="0.2">
      <c r="A1250" s="5">
        <v>1189</v>
      </c>
      <c r="B1250" s="1832">
        <f>'Expenditures 15-22'!F151</f>
        <v>406463</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14436</v>
      </c>
      <c r="D1252" s="2" t="str">
        <f t="shared" si="18"/>
        <v>Error?</v>
      </c>
    </row>
    <row r="1253" spans="1:4" x14ac:dyDescent="0.2">
      <c r="A1253" s="5">
        <v>1192</v>
      </c>
      <c r="B1253" s="1832">
        <f>'Expenditures 15-22'!G124</f>
        <v>802893</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817329</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817329</v>
      </c>
      <c r="C1258" s="2" t="s">
        <v>569</v>
      </c>
      <c r="D1258" s="2" t="str">
        <f t="shared" si="18"/>
        <v>Error?</v>
      </c>
    </row>
    <row r="1259" spans="1:4" x14ac:dyDescent="0.2">
      <c r="A1259" s="5">
        <v>1198</v>
      </c>
      <c r="B1259" s="1832">
        <f>'Expenditures 15-22'!G151</f>
        <v>817329</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107265</v>
      </c>
      <c r="C1275" s="2" t="s">
        <v>569</v>
      </c>
      <c r="D1275" s="2" t="str">
        <f t="shared" si="18"/>
        <v>Error?</v>
      </c>
    </row>
    <row r="1276" spans="1:4" x14ac:dyDescent="0.2">
      <c r="A1276" s="5">
        <v>1215</v>
      </c>
      <c r="B1276" s="1832">
        <f>'Expenditures 15-22'!K124</f>
        <v>2388923</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2496188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2496188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2496188</v>
      </c>
      <c r="C1288" s="2" t="s">
        <v>569</v>
      </c>
      <c r="D1288" s="2" t="str">
        <f t="shared" si="19"/>
        <v>Error?</v>
      </c>
    </row>
    <row r="1289" spans="1:4" x14ac:dyDescent="0.2">
      <c r="A1289" s="5">
        <v>1228</v>
      </c>
      <c r="B1289" s="1832">
        <f>'Expenditures 15-22'!K152</f>
        <v>321164</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176978</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535000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711978</v>
      </c>
      <c r="C1317" s="2" t="s">
        <v>569</v>
      </c>
      <c r="D1317" s="2" t="str">
        <f t="shared" si="19"/>
        <v>Error?</v>
      </c>
    </row>
    <row r="1318" spans="1:4" x14ac:dyDescent="0.2">
      <c r="A1318" s="5">
        <v>1257</v>
      </c>
      <c r="B1318" s="1832">
        <f>'Expenditures 15-22'!H174</f>
        <v>711978</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176978</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535000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711978</v>
      </c>
      <c r="C1331" s="2" t="s">
        <v>569</v>
      </c>
      <c r="D1331" s="2" t="str">
        <f t="shared" si="19"/>
        <v>Error?</v>
      </c>
    </row>
    <row r="1332" spans="1:4" x14ac:dyDescent="0.2">
      <c r="A1332" s="5">
        <v>1271</v>
      </c>
      <c r="B1332" s="1832">
        <f>'Expenditures 15-22'!K174</f>
        <v>711978</v>
      </c>
      <c r="C1332" s="2" t="s">
        <v>569</v>
      </c>
      <c r="D1332" s="2" t="str">
        <f t="shared" si="19"/>
        <v>Error?</v>
      </c>
    </row>
    <row r="1333" spans="1:4" x14ac:dyDescent="0.2">
      <c r="A1333" s="5">
        <v>1272</v>
      </c>
      <c r="B1333" s="1832">
        <f>'Expenditures 15-22'!K175</f>
        <v>55041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508291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508291</v>
      </c>
      <c r="C1339" s="2" t="s">
        <v>569</v>
      </c>
      <c r="D1339" s="2" t="str">
        <f t="shared" si="19"/>
        <v>Error?</v>
      </c>
    </row>
    <row r="1340" spans="1:4" x14ac:dyDescent="0.2">
      <c r="A1340" s="5">
        <v>1279</v>
      </c>
      <c r="B1340" s="1832">
        <f>'Expenditures 15-22'!C210</f>
        <v>508291</v>
      </c>
      <c r="C1340" s="2" t="s">
        <v>569</v>
      </c>
      <c r="D1340" s="2" t="str">
        <f t="shared" si="19"/>
        <v>Error?</v>
      </c>
    </row>
    <row r="1341" spans="1:4" x14ac:dyDescent="0.2">
      <c r="A1341" s="5">
        <v>1280</v>
      </c>
      <c r="B1341" s="1832">
        <f>'Expenditures 15-22'!D182</f>
        <v>19878</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19878</v>
      </c>
      <c r="C1345" s="2" t="s">
        <v>569</v>
      </c>
      <c r="D1345" s="2" t="str">
        <f t="shared" si="20"/>
        <v>Error?</v>
      </c>
    </row>
    <row r="1346" spans="1:4" x14ac:dyDescent="0.2">
      <c r="A1346" s="5">
        <v>1285</v>
      </c>
      <c r="B1346" s="1832">
        <f>'Expenditures 15-22'!D210</f>
        <v>19878</v>
      </c>
      <c r="C1346" s="2" t="s">
        <v>569</v>
      </c>
      <c r="D1346" s="2" t="str">
        <f t="shared" si="20"/>
        <v>Error?</v>
      </c>
    </row>
    <row r="1347" spans="1:4" x14ac:dyDescent="0.2">
      <c r="A1347" s="5">
        <v>1286</v>
      </c>
      <c r="B1347" s="1832">
        <f>'Expenditures 15-22'!E182</f>
        <v>223240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223240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223240</v>
      </c>
      <c r="C1353" s="2" t="s">
        <v>569</v>
      </c>
      <c r="D1353" s="2" t="str">
        <f t="shared" si="20"/>
        <v>Error?</v>
      </c>
    </row>
    <row r="1354" spans="1:4" x14ac:dyDescent="0.2">
      <c r="A1354" s="5">
        <v>1293</v>
      </c>
      <c r="B1354" s="1832">
        <f>'Expenditures 15-22'!F182</f>
        <v>97427</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97427</v>
      </c>
      <c r="C1358" s="2" t="s">
        <v>569</v>
      </c>
      <c r="D1358" s="2" t="str">
        <f t="shared" si="20"/>
        <v>Error?</v>
      </c>
    </row>
    <row r="1359" spans="1:4" x14ac:dyDescent="0.2">
      <c r="A1359" s="5">
        <v>1298</v>
      </c>
      <c r="B1359" s="1832">
        <f>'Expenditures 15-22'!F210</f>
        <v>97427</v>
      </c>
      <c r="C1359" s="2" t="s">
        <v>569</v>
      </c>
      <c r="D1359" s="2" t="str">
        <f t="shared" si="20"/>
        <v>Error?</v>
      </c>
    </row>
    <row r="1360" spans="1:4" x14ac:dyDescent="0.2">
      <c r="A1360" s="5">
        <v>1299</v>
      </c>
      <c r="B1360" s="1832">
        <f>'Expenditures 15-22'!G182</f>
        <v>3950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3950</v>
      </c>
      <c r="C1364" s="2" t="s">
        <v>569</v>
      </c>
      <c r="D1364" s="2" t="str">
        <f t="shared" si="20"/>
        <v>Error?</v>
      </c>
    </row>
    <row r="1365" spans="1:4" x14ac:dyDescent="0.2">
      <c r="A1365" s="5">
        <v>1304</v>
      </c>
      <c r="B1365" s="1832">
        <f>'Expenditures 15-22'!G210</f>
        <v>3950</v>
      </c>
      <c r="C1365" s="2" t="s">
        <v>569</v>
      </c>
      <c r="D1365" s="2" t="str">
        <f t="shared" si="20"/>
        <v>Error?</v>
      </c>
    </row>
    <row r="1366" spans="1:4" x14ac:dyDescent="0.2">
      <c r="A1366" s="5">
        <v>1305</v>
      </c>
      <c r="B1366" s="1832">
        <f>'Expenditures 15-22'!H182</f>
        <v>3739</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3739</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3739</v>
      </c>
      <c r="C1376" s="2" t="s">
        <v>569</v>
      </c>
      <c r="D1376" s="2" t="str">
        <f t="shared" si="20"/>
        <v>Error?</v>
      </c>
    </row>
    <row r="1377" spans="1:4" x14ac:dyDescent="0.2">
      <c r="A1377" s="5">
        <v>1316</v>
      </c>
      <c r="B1377" s="1832">
        <f>'Expenditures 15-22'!K182</f>
        <v>856525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856525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856525</v>
      </c>
      <c r="C1388" s="2" t="s">
        <v>569</v>
      </c>
      <c r="D1388" s="2" t="str">
        <f t="shared" si="20"/>
        <v>Error?</v>
      </c>
    </row>
    <row r="1389" spans="1:4" x14ac:dyDescent="0.2">
      <c r="A1389" s="5">
        <v>1328</v>
      </c>
      <c r="B1389" s="1832">
        <f>'Expenditures 15-22'!K211</f>
        <v>121771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870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4886</v>
      </c>
      <c r="D1407" s="2" t="str">
        <f t="shared" ref="D1407:D1470" si="21">IF(ISBLANK(B1407),"OK",IF(A1407-B1407=0,"OK","Error?"))</f>
        <v>Error?</v>
      </c>
    </row>
    <row r="1408" spans="1:4" x14ac:dyDescent="0.2">
      <c r="A1408" s="5">
        <v>1347</v>
      </c>
      <c r="B1408" s="1832">
        <f>'Expenditures 15-22'!D223</f>
        <v>16387</v>
      </c>
      <c r="D1408" s="2" t="str">
        <f t="shared" si="21"/>
        <v>Error?</v>
      </c>
    </row>
    <row r="1409" spans="1:4" x14ac:dyDescent="0.2">
      <c r="A1409" s="5">
        <v>1348</v>
      </c>
      <c r="B1409" s="1832">
        <f>'Expenditures 15-22'!D224</f>
        <v>256</v>
      </c>
      <c r="D1409" s="2" t="str">
        <f t="shared" si="21"/>
        <v>Error?</v>
      </c>
    </row>
    <row r="1410" spans="1:4" x14ac:dyDescent="0.2">
      <c r="A1410" s="5">
        <v>1349</v>
      </c>
      <c r="B1410" s="1832">
        <f>'Expenditures 15-22'!D229</f>
        <v>234615</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3988</v>
      </c>
      <c r="D1412" s="2" t="str">
        <f t="shared" si="21"/>
        <v>Error?</v>
      </c>
    </row>
    <row r="1413" spans="1:4" x14ac:dyDescent="0.2">
      <c r="A1413" s="5">
        <v>1352</v>
      </c>
      <c r="B1413" s="1832">
        <f>'Expenditures 15-22'!D234</f>
        <v>23563</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27551</v>
      </c>
      <c r="C1417" s="2" t="s">
        <v>569</v>
      </c>
      <c r="D1417" s="2" t="str">
        <f t="shared" si="21"/>
        <v>Error?</v>
      </c>
    </row>
    <row r="1418" spans="1:4" x14ac:dyDescent="0.2">
      <c r="A1418" s="5">
        <v>1357</v>
      </c>
      <c r="B1418" s="1832">
        <f>'Expenditures 15-22'!D240</f>
        <v>1459</v>
      </c>
      <c r="D1418" s="2" t="str">
        <f t="shared" si="21"/>
        <v>Error?</v>
      </c>
    </row>
    <row r="1419" spans="1:4" x14ac:dyDescent="0.2">
      <c r="A1419" s="5">
        <v>1358</v>
      </c>
      <c r="B1419" s="1832">
        <f>'Expenditures 15-22'!D241</f>
        <v>8850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10309</v>
      </c>
      <c r="C1421" s="2" t="s">
        <v>569</v>
      </c>
      <c r="D1421" s="2" t="str">
        <f t="shared" si="21"/>
        <v>Error?</v>
      </c>
    </row>
    <row r="1422" spans="1:4" x14ac:dyDescent="0.2">
      <c r="A1422" s="5">
        <v>1361</v>
      </c>
      <c r="B1422" s="1832">
        <f>'Expenditures 15-22'!D245</f>
        <v>722</v>
      </c>
      <c r="D1422" s="2" t="str">
        <f t="shared" si="21"/>
        <v>Error?</v>
      </c>
    </row>
    <row r="1423" spans="1:4" x14ac:dyDescent="0.2">
      <c r="A1423" s="5">
        <v>1362</v>
      </c>
      <c r="B1423" s="1832">
        <f>'Expenditures 15-22'!D246</f>
        <v>2864</v>
      </c>
      <c r="D1423" s="2" t="str">
        <f t="shared" si="21"/>
        <v>Error?</v>
      </c>
    </row>
    <row r="1424" spans="1:4" x14ac:dyDescent="0.2">
      <c r="A1424" s="5">
        <v>1363</v>
      </c>
      <c r="B1424" s="1832">
        <f>'Expenditures 15-22'!D257</f>
        <v>40324</v>
      </c>
      <c r="C1424" s="2" t="s">
        <v>569</v>
      </c>
      <c r="D1424" s="2" t="str">
        <f t="shared" si="21"/>
        <v>Error?</v>
      </c>
    </row>
    <row r="1425" spans="1:4" x14ac:dyDescent="0.2">
      <c r="A1425" s="5">
        <v>1364</v>
      </c>
      <c r="B1425" s="1832">
        <f>'Expenditures 15-22'!D259</f>
        <v>56733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56733</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43447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112045</v>
      </c>
      <c r="D1431" s="2" t="str">
        <f t="shared" si="21"/>
        <v>Error?</v>
      </c>
    </row>
    <row r="1432" spans="1:4" x14ac:dyDescent="0.2">
      <c r="A1432" s="5">
        <v>1371</v>
      </c>
      <c r="B1432" s="1832">
        <f>'Expenditures 15-22'!D267</f>
        <v>93460</v>
      </c>
      <c r="D1432" s="2" t="str">
        <f t="shared" si="21"/>
        <v>Error?</v>
      </c>
    </row>
    <row r="1433" spans="1:4" x14ac:dyDescent="0.2">
      <c r="A1433" s="5">
        <v>1372</v>
      </c>
      <c r="B1433" s="1832">
        <f>'Expenditures 15-22'!D268</f>
        <v>69686</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318638</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6657</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6657</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460212</v>
      </c>
      <c r="C1446" s="2" t="s">
        <v>569</v>
      </c>
      <c r="D1446" s="2" t="str">
        <f t="shared" si="21"/>
        <v>Error?</v>
      </c>
    </row>
    <row r="1447" spans="1:4" x14ac:dyDescent="0.2">
      <c r="A1447" s="5">
        <v>1386</v>
      </c>
      <c r="B1447" s="1832">
        <f>'Expenditures 15-22'!D280</f>
        <v>7487</v>
      </c>
      <c r="D1447" s="2" t="str">
        <f t="shared" si="21"/>
        <v>Error?</v>
      </c>
    </row>
    <row r="1448" spans="1:4" x14ac:dyDescent="0.2">
      <c r="A1448" s="5">
        <v>1387</v>
      </c>
      <c r="B1448" s="1832">
        <f>'Expenditures 15-22'!D295</f>
        <v>759102</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870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4886</v>
      </c>
      <c r="C1471" s="2" t="s">
        <v>569</v>
      </c>
      <c r="D1471" s="2" t="str">
        <f t="shared" ref="D1471:D1534" si="22">IF(ISBLANK(B1471),"OK",IF(A1471-B1471=0,"OK","Error?"))</f>
        <v>Error?</v>
      </c>
    </row>
    <row r="1472" spans="1:4" x14ac:dyDescent="0.2">
      <c r="A1472" s="5">
        <v>1411</v>
      </c>
      <c r="B1472" s="1832">
        <f>'Expenditures 15-22'!K223</f>
        <v>16387</v>
      </c>
      <c r="C1472" s="2" t="s">
        <v>569</v>
      </c>
      <c r="D1472" s="2" t="str">
        <f t="shared" si="22"/>
        <v>Error?</v>
      </c>
    </row>
    <row r="1473" spans="1:4" x14ac:dyDescent="0.2">
      <c r="A1473" s="5">
        <v>1412</v>
      </c>
      <c r="B1473" s="1832">
        <f>'Expenditures 15-22'!K224</f>
        <v>256</v>
      </c>
      <c r="C1473" s="2" t="s">
        <v>569</v>
      </c>
      <c r="D1473" s="2" t="str">
        <f t="shared" si="22"/>
        <v>Error?</v>
      </c>
    </row>
    <row r="1474" spans="1:4" x14ac:dyDescent="0.2">
      <c r="A1474" s="5">
        <v>1413</v>
      </c>
      <c r="B1474" s="1832">
        <f>'Expenditures 15-22'!K229</f>
        <v>234615</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3988</v>
      </c>
      <c r="C1476" s="2" t="s">
        <v>569</v>
      </c>
      <c r="D1476" s="2" t="str">
        <f t="shared" si="22"/>
        <v>Error?</v>
      </c>
    </row>
    <row r="1477" spans="1:4" x14ac:dyDescent="0.2">
      <c r="A1477" s="5">
        <v>1416</v>
      </c>
      <c r="B1477" s="1832">
        <f>'Expenditures 15-22'!K234</f>
        <v>23563</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27551</v>
      </c>
      <c r="C1481" s="2" t="s">
        <v>569</v>
      </c>
      <c r="D1481" s="2" t="str">
        <f t="shared" si="22"/>
        <v>Error?</v>
      </c>
    </row>
    <row r="1482" spans="1:4" x14ac:dyDescent="0.2">
      <c r="A1482" s="5">
        <v>1421</v>
      </c>
      <c r="B1482" s="1832">
        <f>'Expenditures 15-22'!K240</f>
        <v>1459</v>
      </c>
      <c r="C1482" s="2" t="s">
        <v>569</v>
      </c>
      <c r="D1482" s="2" t="str">
        <f t="shared" si="22"/>
        <v>Error?</v>
      </c>
    </row>
    <row r="1483" spans="1:4" x14ac:dyDescent="0.2">
      <c r="A1483" s="5">
        <v>1422</v>
      </c>
      <c r="B1483" s="1832">
        <f>'Expenditures 15-22'!K241</f>
        <v>8850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10309</v>
      </c>
      <c r="C1485" s="2" t="s">
        <v>569</v>
      </c>
      <c r="D1485" s="2" t="str">
        <f t="shared" si="22"/>
        <v>Error?</v>
      </c>
    </row>
    <row r="1486" spans="1:4" x14ac:dyDescent="0.2">
      <c r="A1486" s="5">
        <v>1425</v>
      </c>
      <c r="B1486" s="1832">
        <f>'Expenditures 15-22'!K245</f>
        <v>722</v>
      </c>
      <c r="C1486" s="2" t="s">
        <v>569</v>
      </c>
      <c r="D1486" s="2" t="str">
        <f t="shared" si="22"/>
        <v>Error?</v>
      </c>
    </row>
    <row r="1487" spans="1:4" x14ac:dyDescent="0.2">
      <c r="A1487" s="5">
        <v>1426</v>
      </c>
      <c r="B1487" s="1832">
        <f>'Expenditures 15-22'!K246</f>
        <v>2864</v>
      </c>
      <c r="C1487" s="2" t="s">
        <v>569</v>
      </c>
      <c r="D1487" s="2" t="str">
        <f t="shared" si="22"/>
        <v>Error?</v>
      </c>
    </row>
    <row r="1488" spans="1:4" x14ac:dyDescent="0.2">
      <c r="A1488" s="5">
        <v>1427</v>
      </c>
      <c r="B1488" s="1832">
        <f>'Expenditures 15-22'!K257</f>
        <v>40324</v>
      </c>
      <c r="C1488" s="2" t="s">
        <v>569</v>
      </c>
      <c r="D1488" s="2" t="str">
        <f t="shared" si="22"/>
        <v>Error?</v>
      </c>
    </row>
    <row r="1489" spans="1:4" x14ac:dyDescent="0.2">
      <c r="A1489" s="5">
        <v>1428</v>
      </c>
      <c r="B1489" s="1832">
        <f>'Expenditures 15-22'!K259</f>
        <v>56733</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56733</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43447</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112045</v>
      </c>
      <c r="C1495" s="2" t="s">
        <v>569</v>
      </c>
      <c r="D1495" s="2" t="str">
        <f t="shared" si="22"/>
        <v>Error?</v>
      </c>
    </row>
    <row r="1496" spans="1:4" x14ac:dyDescent="0.2">
      <c r="A1496" s="5">
        <v>1435</v>
      </c>
      <c r="B1496" s="1832">
        <f>'Expenditures 15-22'!K267</f>
        <v>93460</v>
      </c>
      <c r="C1496" s="2" t="s">
        <v>569</v>
      </c>
      <c r="D1496" s="2" t="str">
        <f t="shared" si="22"/>
        <v>Error?</v>
      </c>
    </row>
    <row r="1497" spans="1:4" x14ac:dyDescent="0.2">
      <c r="A1497" s="5">
        <v>1436</v>
      </c>
      <c r="B1497" s="1832">
        <f>'Expenditures 15-22'!K268</f>
        <v>69686</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318638</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6657</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6657</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460212</v>
      </c>
      <c r="C1510" s="2" t="s">
        <v>569</v>
      </c>
      <c r="D1510" s="2" t="str">
        <f t="shared" si="22"/>
        <v>Error?</v>
      </c>
    </row>
    <row r="1511" spans="1:4" x14ac:dyDescent="0.2">
      <c r="A1511" s="5">
        <v>1450</v>
      </c>
      <c r="B1511" s="1832">
        <f>'Expenditures 15-22'!K280</f>
        <v>7487</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759102</v>
      </c>
      <c r="C1517" s="2" t="s">
        <v>569</v>
      </c>
      <c r="D1517" s="2" t="str">
        <f t="shared" si="22"/>
        <v>Error?</v>
      </c>
    </row>
    <row r="1518" spans="1:4" x14ac:dyDescent="0.2">
      <c r="A1518" s="5">
        <v>1457</v>
      </c>
      <c r="B1518" s="1832">
        <f>'Expenditures 15-22'!K296</f>
        <v>31201</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38100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38100</v>
      </c>
      <c r="C1535" s="2" t="s">
        <v>569</v>
      </c>
      <c r="D1535" s="2" t="str">
        <f t="shared" ref="D1535:D1598" si="23">IF(ISBLANK(B1535),"OK",IF(A1535-B1535=0,"OK","Error?"))</f>
        <v>Error?</v>
      </c>
    </row>
    <row r="1536" spans="1:4" x14ac:dyDescent="0.2">
      <c r="A1536" s="5">
        <v>1475</v>
      </c>
      <c r="B1536" s="1832">
        <f>'Expenditures 15-22'!E312</f>
        <v>38100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1026668</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1026668</v>
      </c>
      <c r="C1547" s="2" t="s">
        <v>569</v>
      </c>
      <c r="D1547" s="2" t="str">
        <f t="shared" si="23"/>
        <v>Error?</v>
      </c>
    </row>
    <row r="1548" spans="1:4" x14ac:dyDescent="0.2">
      <c r="A1548" s="5">
        <v>1487</v>
      </c>
      <c r="B1548" s="1832">
        <f>'Expenditures 15-22'!G312</f>
        <v>1026668</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1064768</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1064768</v>
      </c>
      <c r="C1559" s="2" t="s">
        <v>569</v>
      </c>
      <c r="D1559" s="2" t="str">
        <f t="shared" si="23"/>
        <v>Error?</v>
      </c>
    </row>
    <row r="1560" spans="1:4" x14ac:dyDescent="0.2">
      <c r="A1560" s="5">
        <v>1499</v>
      </c>
      <c r="B1560" s="1832">
        <f>'Expenditures 15-22'!K312</f>
        <v>1064768</v>
      </c>
      <c r="C1560" s="2" t="s">
        <v>569</v>
      </c>
      <c r="D1560" s="2" t="str">
        <f t="shared" si="23"/>
        <v>Error?</v>
      </c>
    </row>
    <row r="1561" spans="1:4" x14ac:dyDescent="0.2">
      <c r="A1561" s="5">
        <v>1500</v>
      </c>
      <c r="B1561" s="1832">
        <f>'Expenditures 15-22'!K313</f>
        <v>-6201</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8931079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9769728</v>
      </c>
      <c r="C1630" s="2" t="s">
        <v>569</v>
      </c>
      <c r="D1630" s="2" t="str">
        <f t="shared" si="24"/>
        <v>Error?</v>
      </c>
    </row>
    <row r="1631" spans="1:4" x14ac:dyDescent="0.2">
      <c r="A1631" s="5">
        <v>1570</v>
      </c>
      <c r="B1631" s="1832">
        <f>'Acct Summary 7-8'!D79</f>
        <v>1877728</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2198892</v>
      </c>
      <c r="C1644" s="2" t="s">
        <v>569</v>
      </c>
      <c r="D1644" s="2" t="str">
        <f t="shared" si="24"/>
        <v>Error?</v>
      </c>
    </row>
    <row r="1645" spans="1:4" x14ac:dyDescent="0.2">
      <c r="A1645" s="5">
        <v>1584</v>
      </c>
      <c r="B1645" s="1832">
        <f>'Acct Summary 7-8'!E79</f>
        <v>1923573</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1978614</v>
      </c>
      <c r="C1658" s="2" t="s">
        <v>569</v>
      </c>
      <c r="D1658" s="2" t="str">
        <f t="shared" si="24"/>
        <v>Error?</v>
      </c>
    </row>
    <row r="1659" spans="1:4" x14ac:dyDescent="0.2">
      <c r="A1659" s="5">
        <v>1598</v>
      </c>
      <c r="B1659" s="1832">
        <f>'Acct Summary 7-8'!F79</f>
        <v>831096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952867</v>
      </c>
      <c r="C1672" s="2" t="s">
        <v>569</v>
      </c>
      <c r="D1672" s="2" t="str">
        <f t="shared" si="25"/>
        <v>Error?</v>
      </c>
    </row>
    <row r="1673" spans="1:4" x14ac:dyDescent="0.2">
      <c r="A1673" s="5">
        <v>1612</v>
      </c>
      <c r="B1673" s="1832">
        <f>'Acct Summary 7-8'!G79</f>
        <v>976591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1007792</v>
      </c>
      <c r="C1686" s="2" t="s">
        <v>569</v>
      </c>
      <c r="D1686" s="2" t="str">
        <f t="shared" si="25"/>
        <v>Error?</v>
      </c>
    </row>
    <row r="1687" spans="1:4" x14ac:dyDescent="0.2">
      <c r="A1687" s="5">
        <v>1626</v>
      </c>
      <c r="B1687" s="1832">
        <f>'Acct Summary 7-8'!H79</f>
        <v>1211408</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1205207</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1466121</v>
      </c>
      <c r="C1744" s="2" t="s">
        <v>569</v>
      </c>
      <c r="D1744" s="2" t="str">
        <f t="shared" si="26"/>
        <v>Error?</v>
      </c>
    </row>
    <row r="1745" spans="1:5" x14ac:dyDescent="0.2">
      <c r="A1745" s="5">
        <v>1684</v>
      </c>
      <c r="B1745" s="1832">
        <f>'Tax Sched 23'!B5</f>
        <v>398404</v>
      </c>
      <c r="C1745" s="2" t="s">
        <v>569</v>
      </c>
      <c r="D1745" s="2" t="str">
        <f t="shared" si="26"/>
        <v>Error?</v>
      </c>
    </row>
    <row r="1746" spans="1:5" x14ac:dyDescent="0.2">
      <c r="A1746" s="5">
        <v>1685</v>
      </c>
      <c r="B1746" s="1832">
        <f>'Tax Sched 23'!B6</f>
        <v>180519</v>
      </c>
      <c r="C1746" s="2" t="s">
        <v>569</v>
      </c>
      <c r="D1746" s="2" t="str">
        <f t="shared" si="26"/>
        <v>Error?</v>
      </c>
    </row>
    <row r="1747" spans="1:5" x14ac:dyDescent="0.2">
      <c r="A1747" s="5">
        <v>1686</v>
      </c>
      <c r="B1747" s="1832">
        <f>'Tax Sched 23'!B7</f>
        <v>159375</v>
      </c>
      <c r="C1747" s="2" t="s">
        <v>569</v>
      </c>
      <c r="D1747" s="2" t="str">
        <f t="shared" si="26"/>
        <v>Error?</v>
      </c>
    </row>
    <row r="1748" spans="1:5" x14ac:dyDescent="0.2">
      <c r="A1748" s="5">
        <v>1687</v>
      </c>
      <c r="B1748" s="1832">
        <f>'Tax Sched 23'!B8</f>
        <v>312958</v>
      </c>
      <c r="C1748" s="2" t="s">
        <v>569</v>
      </c>
      <c r="D1748" s="2" t="str">
        <f t="shared" si="26"/>
        <v>Error?</v>
      </c>
    </row>
    <row r="1749" spans="1:5" x14ac:dyDescent="0.2">
      <c r="A1749" s="5">
        <v>1688</v>
      </c>
      <c r="B1749" s="1832">
        <f>'Tax Sched 23'!B10</f>
        <v>39861</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595996</v>
      </c>
      <c r="C1752" s="2" t="s">
        <v>569</v>
      </c>
      <c r="D1752" s="2" t="str">
        <f t="shared" si="26"/>
        <v>Error?</v>
      </c>
    </row>
    <row r="1753" spans="1:5" x14ac:dyDescent="0.2">
      <c r="A1753" s="5">
        <v>1692</v>
      </c>
      <c r="B1753" s="1832">
        <f>'Tax Sched 23'!B12</f>
        <v>39861</v>
      </c>
      <c r="C1753" s="2" t="s">
        <v>569</v>
      </c>
      <c r="D1753" s="2" t="str">
        <f t="shared" si="26"/>
        <v>Error?</v>
      </c>
    </row>
    <row r="1754" spans="1:5" x14ac:dyDescent="0.2">
      <c r="A1754" s="5">
        <v>1693</v>
      </c>
      <c r="B1754" s="1832">
        <f>'Tax Sched 23'!B14</f>
        <v>31882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3647513</v>
      </c>
      <c r="C1759" s="2" t="s">
        <v>569</v>
      </c>
      <c r="D1759" s="2" t="str">
        <f t="shared" si="26"/>
        <v>Error?</v>
      </c>
    </row>
    <row r="1760" spans="1:5" x14ac:dyDescent="0.2">
      <c r="A1760" s="5">
        <v>1699</v>
      </c>
      <c r="B1760" s="1832">
        <f>'Tax Sched 23'!D4</f>
        <v>823856</v>
      </c>
      <c r="C1760" s="2" t="s">
        <v>569</v>
      </c>
      <c r="D1760" s="2" t="str">
        <f t="shared" si="26"/>
        <v>Error?</v>
      </c>
    </row>
    <row r="1761" spans="1:7" x14ac:dyDescent="0.2">
      <c r="A1761" s="5">
        <v>1700</v>
      </c>
      <c r="B1761" s="1832">
        <f>'Tax Sched 23'!D5</f>
        <v>223874</v>
      </c>
      <c r="C1761" s="2" t="s">
        <v>569</v>
      </c>
      <c r="D1761" s="2" t="str">
        <f t="shared" si="26"/>
        <v>Error?</v>
      </c>
    </row>
    <row r="1762" spans="1:7" s="8" customFormat="1" x14ac:dyDescent="0.2">
      <c r="A1762" s="5">
        <v>1701</v>
      </c>
      <c r="B1762" s="1832">
        <f>'Tax Sched 23'!D6</f>
        <v>102499</v>
      </c>
      <c r="C1762" s="2" t="s">
        <v>569</v>
      </c>
      <c r="D1762" s="2" t="str">
        <f t="shared" si="26"/>
        <v>Error?</v>
      </c>
      <c r="E1762" s="9"/>
      <c r="G1762"/>
    </row>
    <row r="1763" spans="1:7" x14ac:dyDescent="0.2">
      <c r="A1763" s="5">
        <v>1702</v>
      </c>
      <c r="B1763" s="1832">
        <f>'Tax Sched 23'!D7</f>
        <v>89549</v>
      </c>
      <c r="C1763" s="2" t="s">
        <v>569</v>
      </c>
      <c r="D1763" s="2" t="str">
        <f t="shared" si="26"/>
        <v>Error?</v>
      </c>
    </row>
    <row r="1764" spans="1:7" x14ac:dyDescent="0.2">
      <c r="A1764" s="5">
        <v>1703</v>
      </c>
      <c r="B1764" s="1832">
        <f>'Tax Sched 23'!D8</f>
        <v>177123</v>
      </c>
      <c r="C1764" s="2" t="s">
        <v>569</v>
      </c>
      <c r="D1764" s="2" t="str">
        <f t="shared" si="26"/>
        <v>Error?</v>
      </c>
    </row>
    <row r="1765" spans="1:7" x14ac:dyDescent="0.2">
      <c r="A1765" s="5">
        <v>1704</v>
      </c>
      <c r="B1765" s="1832">
        <f>'Tax Sched 23'!D10</f>
        <v>22387</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337108</v>
      </c>
      <c r="C1768" s="2" t="s">
        <v>569</v>
      </c>
      <c r="D1768" s="2" t="str">
        <f t="shared" si="26"/>
        <v>Error?</v>
      </c>
    </row>
    <row r="1769" spans="1:7" x14ac:dyDescent="0.2">
      <c r="A1769" s="5">
        <v>1708</v>
      </c>
      <c r="B1769" s="1832">
        <f>'Tax Sched 23'!D12</f>
        <v>22387</v>
      </c>
      <c r="C1769" s="2" t="s">
        <v>569</v>
      </c>
      <c r="D1769" s="2" t="str">
        <f t="shared" si="26"/>
        <v>Error?</v>
      </c>
    </row>
    <row r="1770" spans="1:7" x14ac:dyDescent="0.2">
      <c r="A1770" s="5">
        <v>1709</v>
      </c>
      <c r="B1770" s="1832">
        <f>'Tax Sched 23'!D14</f>
        <v>17910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2056225</v>
      </c>
      <c r="C1775" s="2" t="s">
        <v>569</v>
      </c>
      <c r="D1775" s="2" t="str">
        <f t="shared" si="26"/>
        <v>Error?</v>
      </c>
    </row>
    <row r="1776" spans="1:7" x14ac:dyDescent="0.2">
      <c r="A1776" s="5">
        <v>1715</v>
      </c>
      <c r="B1776" s="1832">
        <f>'Tax Sched 23'!C4</f>
        <v>642265</v>
      </c>
      <c r="D1776" s="2" t="str">
        <f t="shared" si="26"/>
        <v>Error?</v>
      </c>
    </row>
    <row r="1777" spans="1:4" x14ac:dyDescent="0.2">
      <c r="A1777" s="5">
        <v>1716</v>
      </c>
      <c r="B1777" s="1832">
        <f>'Tax Sched 23'!C5</f>
        <v>174530</v>
      </c>
      <c r="D1777" s="2" t="str">
        <f t="shared" si="26"/>
        <v>Error?</v>
      </c>
    </row>
    <row r="1778" spans="1:4" x14ac:dyDescent="0.2">
      <c r="A1778" s="5">
        <v>1717</v>
      </c>
      <c r="B1778" s="1832">
        <f>'Tax Sched 23'!C6</f>
        <v>78020</v>
      </c>
      <c r="D1778" s="2" t="str">
        <f t="shared" si="26"/>
        <v>Error?</v>
      </c>
    </row>
    <row r="1779" spans="1:4" x14ac:dyDescent="0.2">
      <c r="A1779" s="5">
        <v>1718</v>
      </c>
      <c r="B1779" s="1832">
        <f>'Tax Sched 23'!C7</f>
        <v>69826</v>
      </c>
      <c r="D1779" s="2" t="str">
        <f t="shared" si="26"/>
        <v>Error?</v>
      </c>
    </row>
    <row r="1780" spans="1:4" x14ac:dyDescent="0.2">
      <c r="A1780" s="5">
        <v>1719</v>
      </c>
      <c r="B1780" s="1832">
        <f>'Tax Sched 23'!C8</f>
        <v>135835</v>
      </c>
      <c r="D1780" s="2" t="str">
        <f t="shared" si="26"/>
        <v>Error?</v>
      </c>
    </row>
    <row r="1781" spans="1:4" x14ac:dyDescent="0.2">
      <c r="A1781" s="5">
        <v>1720</v>
      </c>
      <c r="B1781" s="1832">
        <f>'Tax Sched 23'!C10</f>
        <v>17474</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258888</v>
      </c>
      <c r="D1784" s="2" t="str">
        <f t="shared" si="26"/>
        <v>Error?</v>
      </c>
    </row>
    <row r="1785" spans="1:4" x14ac:dyDescent="0.2">
      <c r="A1785" s="5">
        <v>1724</v>
      </c>
      <c r="B1785" s="1832">
        <f>'Tax Sched 23'!C12</f>
        <v>17474</v>
      </c>
      <c r="D1785" s="2" t="str">
        <f t="shared" si="26"/>
        <v>Error?</v>
      </c>
    </row>
    <row r="1786" spans="1:4" x14ac:dyDescent="0.2">
      <c r="A1786" s="5">
        <v>1725</v>
      </c>
      <c r="B1786" s="1832">
        <f>'Tax Sched 23'!C14</f>
        <v>13972</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1591288</v>
      </c>
      <c r="C1791" s="2" t="s">
        <v>569</v>
      </c>
      <c r="D1791" s="2" t="str">
        <f t="shared" ref="D1791:D1854" si="27">IF(ISBLANK(B1791),"OK",IF(A1791-B1791=0,"OK","Error?"))</f>
        <v>Error?</v>
      </c>
    </row>
    <row r="1792" spans="1:4" x14ac:dyDescent="0.2">
      <c r="A1792" s="5">
        <v>1731</v>
      </c>
      <c r="B1792" s="1832">
        <f>'Tax Sched 23'!F4</f>
        <v>871164</v>
      </c>
      <c r="C1792" s="2" t="s">
        <v>569</v>
      </c>
      <c r="D1792" s="2" t="str">
        <f t="shared" si="27"/>
        <v>Error?</v>
      </c>
    </row>
    <row r="1793" spans="1:4" x14ac:dyDescent="0.2">
      <c r="A1793" s="5">
        <v>1732</v>
      </c>
      <c r="B1793" s="1832">
        <f>'Tax Sched 23'!F5</f>
        <v>236731</v>
      </c>
      <c r="C1793" s="2" t="s">
        <v>569</v>
      </c>
      <c r="D1793" s="2" t="str">
        <f t="shared" si="27"/>
        <v>Error?</v>
      </c>
    </row>
    <row r="1794" spans="1:4" x14ac:dyDescent="0.2">
      <c r="A1794" s="5">
        <v>1733</v>
      </c>
      <c r="B1794" s="1832">
        <f>'Tax Sched 23'!F6</f>
        <v>105826</v>
      </c>
      <c r="C1794" s="2" t="s">
        <v>569</v>
      </c>
      <c r="D1794" s="2" t="str">
        <f t="shared" si="27"/>
        <v>Error?</v>
      </c>
    </row>
    <row r="1795" spans="1:4" x14ac:dyDescent="0.2">
      <c r="A1795" s="5">
        <v>1734</v>
      </c>
      <c r="B1795" s="1832">
        <f>'Tax Sched 23'!F7</f>
        <v>94711</v>
      </c>
      <c r="C1795" s="2" t="s">
        <v>569</v>
      </c>
      <c r="D1795" s="2" t="str">
        <f t="shared" si="27"/>
        <v>Error?</v>
      </c>
    </row>
    <row r="1796" spans="1:4" x14ac:dyDescent="0.2">
      <c r="A1796" s="5">
        <v>1735</v>
      </c>
      <c r="B1796" s="1832">
        <f>'Tax Sched 23'!F8</f>
        <v>184245</v>
      </c>
      <c r="C1796" s="2" t="s">
        <v>569</v>
      </c>
      <c r="D1796" s="2" t="str">
        <f t="shared" si="27"/>
        <v>Error?</v>
      </c>
    </row>
    <row r="1797" spans="1:4" x14ac:dyDescent="0.2">
      <c r="A1797" s="5">
        <v>1736</v>
      </c>
      <c r="B1797" s="1832">
        <f>'Tax Sched 23'!F10</f>
        <v>23702</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351154</v>
      </c>
      <c r="C1800" s="2" t="s">
        <v>569</v>
      </c>
      <c r="D1800" s="2" t="str">
        <f t="shared" si="27"/>
        <v>Error?</v>
      </c>
    </row>
    <row r="1801" spans="1:4" x14ac:dyDescent="0.2">
      <c r="A1801" s="5">
        <v>1740</v>
      </c>
      <c r="B1801" s="1832">
        <f>'Tax Sched 23'!F12</f>
        <v>23702</v>
      </c>
      <c r="C1801" s="2" t="s">
        <v>569</v>
      </c>
      <c r="D1801" s="2" t="str">
        <f t="shared" si="27"/>
        <v>Error?</v>
      </c>
    </row>
    <row r="1802" spans="1:4" x14ac:dyDescent="0.2">
      <c r="A1802" s="5">
        <v>1741</v>
      </c>
      <c r="B1802" s="1832">
        <f>'Tax Sched 23'!F14</f>
        <v>18952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2158413</v>
      </c>
      <c r="C1807" s="2" t="s">
        <v>569</v>
      </c>
      <c r="D1807" s="2" t="str">
        <f t="shared" si="27"/>
        <v>Error?</v>
      </c>
    </row>
    <row r="1808" spans="1:4" x14ac:dyDescent="0.2">
      <c r="A1808" s="5">
        <v>1747</v>
      </c>
      <c r="B1808" s="1832">
        <f>'Tax Sched 23'!E4</f>
        <v>1513429</v>
      </c>
      <c r="D1808" s="2" t="str">
        <f t="shared" si="27"/>
        <v>Error?</v>
      </c>
    </row>
    <row r="1809" spans="1:4" x14ac:dyDescent="0.2">
      <c r="A1809" s="5">
        <v>1748</v>
      </c>
      <c r="B1809" s="1832">
        <f>'Tax Sched 23'!E5</f>
        <v>411261</v>
      </c>
      <c r="D1809" s="2" t="str">
        <f t="shared" si="27"/>
        <v>Error?</v>
      </c>
    </row>
    <row r="1810" spans="1:4" x14ac:dyDescent="0.2">
      <c r="A1810" s="5">
        <v>1749</v>
      </c>
      <c r="B1810" s="1832">
        <f>'Tax Sched 23'!E6</f>
        <v>183846</v>
      </c>
      <c r="D1810" s="2" t="str">
        <f t="shared" si="27"/>
        <v>Error?</v>
      </c>
    </row>
    <row r="1811" spans="1:4" x14ac:dyDescent="0.2">
      <c r="A1811" s="5">
        <v>1750</v>
      </c>
      <c r="B1811" s="1832">
        <f>'Tax Sched 23'!E7</f>
        <v>164537</v>
      </c>
      <c r="D1811" s="2" t="str">
        <f t="shared" si="27"/>
        <v>Error?</v>
      </c>
    </row>
    <row r="1812" spans="1:4" x14ac:dyDescent="0.2">
      <c r="A1812" s="5">
        <v>1751</v>
      </c>
      <c r="B1812" s="1832">
        <f>'Tax Sched 23'!E8</f>
        <v>320080</v>
      </c>
      <c r="D1812" s="2" t="str">
        <f t="shared" si="27"/>
        <v>Error?</v>
      </c>
    </row>
    <row r="1813" spans="1:4" x14ac:dyDescent="0.2">
      <c r="A1813" s="5">
        <v>1752</v>
      </c>
      <c r="B1813" s="1832">
        <f>'Tax Sched 23'!E10</f>
        <v>41176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610042</v>
      </c>
      <c r="D1816" s="2" t="str">
        <f t="shared" si="27"/>
        <v>Error?</v>
      </c>
    </row>
    <row r="1817" spans="1:4" x14ac:dyDescent="0.2">
      <c r="A1817" s="5">
        <v>1756</v>
      </c>
      <c r="B1817" s="1832">
        <f>'Tax Sched 23'!E12</f>
        <v>41176</v>
      </c>
      <c r="D1817" s="2" t="str">
        <f t="shared" si="27"/>
        <v>Error?</v>
      </c>
    </row>
    <row r="1818" spans="1:4" x14ac:dyDescent="0.2">
      <c r="A1818" s="5">
        <v>1757</v>
      </c>
      <c r="B1818" s="1832">
        <f>'Tax Sched 23'!E14</f>
        <v>32924</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3749701</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6595000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31882</v>
      </c>
      <c r="D1972" s="2" t="str">
        <f t="shared" si="29"/>
        <v>Error?</v>
      </c>
    </row>
    <row r="1973" spans="1:5" x14ac:dyDescent="0.2">
      <c r="A1973" s="5">
        <v>1912</v>
      </c>
      <c r="B1973" s="1832">
        <f>'Rest Tax Levies-Tort Im 25'!H6</f>
        <v>9</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31891</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31891</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425290</v>
      </c>
      <c r="D2008" s="2" t="str">
        <f t="shared" si="30"/>
        <v>Error?</v>
      </c>
    </row>
    <row r="2009" spans="1:4" x14ac:dyDescent="0.2">
      <c r="A2009" s="5">
        <v>1948</v>
      </c>
      <c r="B2009" s="1832">
        <f>'Cap Outlay Deprec 26'!C8</f>
        <v>26499604</v>
      </c>
      <c r="D2009" s="2" t="str">
        <f t="shared" si="30"/>
        <v>Error?</v>
      </c>
    </row>
    <row r="2010" spans="1:4" x14ac:dyDescent="0.2">
      <c r="A2010" s="5">
        <v>1949</v>
      </c>
      <c r="B2010" s="1832">
        <f>'Cap Outlay Deprec 26'!C10</f>
        <v>3171205</v>
      </c>
      <c r="D2010" s="2" t="str">
        <f t="shared" si="30"/>
        <v>Error?</v>
      </c>
    </row>
    <row r="2011" spans="1:4" x14ac:dyDescent="0.2">
      <c r="A2011" s="5">
        <v>1950</v>
      </c>
      <c r="B2011" s="1832">
        <f>'Cap Outlay Deprec 26'!C12</f>
        <v>4458240</v>
      </c>
      <c r="D2011" s="2" t="str">
        <f t="shared" si="30"/>
        <v>Error?</v>
      </c>
    </row>
    <row r="2012" spans="1:4" x14ac:dyDescent="0.2">
      <c r="A2012" s="5">
        <v>1951</v>
      </c>
      <c r="B2012" s="1832">
        <f>'Cap Outlay Deprec 26'!C13</f>
        <v>1107302</v>
      </c>
      <c r="D2012" s="2" t="str">
        <f t="shared" si="30"/>
        <v>Error?</v>
      </c>
    </row>
    <row r="2013" spans="1:4" x14ac:dyDescent="0.2">
      <c r="A2013" s="5">
        <v>1952</v>
      </c>
      <c r="B2013" s="1832">
        <f>'Cap Outlay Deprec 26'!C16</f>
        <v>35672127</v>
      </c>
      <c r="C2013" s="2" t="s">
        <v>569</v>
      </c>
      <c r="D2013" s="2" t="str">
        <f t="shared" si="30"/>
        <v>Error?</v>
      </c>
    </row>
    <row r="2014" spans="1:4" x14ac:dyDescent="0.2">
      <c r="A2014" s="5">
        <v>1953</v>
      </c>
      <c r="B2014" s="1832">
        <f>'Cap Outlay Deprec 26'!D5</f>
        <v>7636</v>
      </c>
      <c r="D2014" s="2" t="str">
        <f t="shared" si="30"/>
        <v>Error?</v>
      </c>
    </row>
    <row r="2015" spans="1:4" x14ac:dyDescent="0.2">
      <c r="A2015" s="5">
        <v>1954</v>
      </c>
      <c r="B2015" s="1832">
        <f>'Cap Outlay Deprec 26'!D8</f>
        <v>1187663</v>
      </c>
      <c r="D2015" s="2" t="str">
        <f t="shared" si="30"/>
        <v>Error?</v>
      </c>
    </row>
    <row r="2016" spans="1:4" x14ac:dyDescent="0.2">
      <c r="A2016" s="5">
        <v>1955</v>
      </c>
      <c r="B2016" s="1832">
        <f>'Cap Outlay Deprec 26'!D10</f>
        <v>333377</v>
      </c>
      <c r="D2016" s="2" t="str">
        <f t="shared" si="30"/>
        <v>Error?</v>
      </c>
    </row>
    <row r="2017" spans="1:4" x14ac:dyDescent="0.2">
      <c r="A2017" s="5">
        <v>1956</v>
      </c>
      <c r="B2017" s="1832">
        <f>'Cap Outlay Deprec 26'!D12</f>
        <v>984189</v>
      </c>
      <c r="D2017" s="2" t="str">
        <f t="shared" si="30"/>
        <v>Error?</v>
      </c>
    </row>
    <row r="2018" spans="1:4" x14ac:dyDescent="0.2">
      <c r="A2018" s="5">
        <v>1957</v>
      </c>
      <c r="B2018" s="1832">
        <f>'Cap Outlay Deprec 26'!D13</f>
        <v>85475</v>
      </c>
      <c r="D2018" s="2" t="str">
        <f t="shared" si="30"/>
        <v>Error?</v>
      </c>
    </row>
    <row r="2019" spans="1:4" x14ac:dyDescent="0.2">
      <c r="A2019" s="5">
        <v>1958</v>
      </c>
      <c r="B2019" s="1832">
        <f>'Cap Outlay Deprec 26'!D16</f>
        <v>2622451</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522487</v>
      </c>
      <c r="D2023" s="2" t="str">
        <f t="shared" si="30"/>
        <v>Error?</v>
      </c>
    </row>
    <row r="2024" spans="1:4" x14ac:dyDescent="0.2">
      <c r="A2024" s="5">
        <v>1963</v>
      </c>
      <c r="B2024" s="1832">
        <f>'Cap Outlay Deprec 26'!E13</f>
        <v>28750</v>
      </c>
      <c r="D2024" s="2" t="str">
        <f t="shared" si="30"/>
        <v>Error?</v>
      </c>
    </row>
    <row r="2025" spans="1:4" x14ac:dyDescent="0.2">
      <c r="A2025" s="5">
        <v>1964</v>
      </c>
      <c r="B2025" s="1832">
        <f>'Cap Outlay Deprec 26'!E16</f>
        <v>551237</v>
      </c>
      <c r="C2025" s="2" t="s">
        <v>569</v>
      </c>
      <c r="D2025" s="2" t="str">
        <f t="shared" si="30"/>
        <v>Error?</v>
      </c>
    </row>
    <row r="2026" spans="1:4" x14ac:dyDescent="0.2">
      <c r="A2026" s="5">
        <v>1965</v>
      </c>
      <c r="B2026" s="1832">
        <f>'Cap Outlay Deprec 26'!F5</f>
        <v>432926</v>
      </c>
      <c r="C2026" s="2" t="s">
        <v>569</v>
      </c>
      <c r="D2026" s="2" t="str">
        <f t="shared" si="30"/>
        <v>Error?</v>
      </c>
    </row>
    <row r="2027" spans="1:4" x14ac:dyDescent="0.2">
      <c r="A2027" s="5">
        <v>1966</v>
      </c>
      <c r="B2027" s="1832">
        <f>'Cap Outlay Deprec 26'!F8</f>
        <v>27687267</v>
      </c>
      <c r="C2027" s="2" t="s">
        <v>569</v>
      </c>
      <c r="D2027" s="2" t="str">
        <f t="shared" si="30"/>
        <v>Error?</v>
      </c>
    </row>
    <row r="2028" spans="1:4" x14ac:dyDescent="0.2">
      <c r="A2028" s="5">
        <v>1967</v>
      </c>
      <c r="B2028" s="1832">
        <f>'Cap Outlay Deprec 26'!F10</f>
        <v>3504582</v>
      </c>
      <c r="C2028" s="2" t="s">
        <v>569</v>
      </c>
      <c r="D2028" s="2" t="str">
        <f t="shared" si="30"/>
        <v>Error?</v>
      </c>
    </row>
    <row r="2029" spans="1:4" x14ac:dyDescent="0.2">
      <c r="A2029" s="5">
        <v>1968</v>
      </c>
      <c r="B2029" s="1832">
        <f>'Cap Outlay Deprec 26'!F12</f>
        <v>4919942</v>
      </c>
      <c r="C2029" s="2" t="s">
        <v>569</v>
      </c>
      <c r="D2029" s="2" t="str">
        <f t="shared" si="30"/>
        <v>Error?</v>
      </c>
    </row>
    <row r="2030" spans="1:4" x14ac:dyDescent="0.2">
      <c r="A2030" s="5">
        <v>1969</v>
      </c>
      <c r="B2030" s="1832">
        <f>'Cap Outlay Deprec 26'!F13</f>
        <v>1164027</v>
      </c>
      <c r="C2030" s="2" t="s">
        <v>569</v>
      </c>
      <c r="D2030" s="2" t="str">
        <f t="shared" si="30"/>
        <v>Error?</v>
      </c>
    </row>
    <row r="2031" spans="1:4" x14ac:dyDescent="0.2">
      <c r="A2031" s="5">
        <v>1970</v>
      </c>
      <c r="B2031" s="1832">
        <f>'Cap Outlay Deprec 26'!F16</f>
        <v>37743341</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9963541</v>
      </c>
      <c r="D2033" s="2" t="str">
        <f t="shared" si="30"/>
        <v>Error?</v>
      </c>
    </row>
    <row r="2034" spans="1:4" x14ac:dyDescent="0.2">
      <c r="A2034" s="5">
        <v>1973</v>
      </c>
      <c r="B2034" s="1832">
        <f>'Cap Outlay Deprec 26'!H10</f>
        <v>1255419</v>
      </c>
      <c r="D2034" s="2" t="str">
        <f t="shared" si="30"/>
        <v>Error?</v>
      </c>
    </row>
    <row r="2035" spans="1:4" x14ac:dyDescent="0.2">
      <c r="A2035" s="5">
        <v>1974</v>
      </c>
      <c r="B2035" s="1832">
        <f>'Cap Outlay Deprec 26'!H12</f>
        <v>2280081</v>
      </c>
      <c r="D2035" s="2" t="str">
        <f t="shared" si="30"/>
        <v>Error?</v>
      </c>
    </row>
    <row r="2036" spans="1:4" x14ac:dyDescent="0.2">
      <c r="A2036" s="5">
        <v>1975</v>
      </c>
      <c r="B2036" s="1832">
        <f>'Cap Outlay Deprec 26'!H13</f>
        <v>1018212</v>
      </c>
      <c r="D2036" s="2" t="str">
        <f t="shared" si="30"/>
        <v>Error?</v>
      </c>
    </row>
    <row r="2037" spans="1:4" x14ac:dyDescent="0.2">
      <c r="A2037" s="5">
        <v>1976</v>
      </c>
      <c r="B2037" s="1832">
        <f>'Cap Outlay Deprec 26'!H16</f>
        <v>14524547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471989</v>
      </c>
      <c r="D2039" s="2" t="str">
        <f t="shared" si="30"/>
        <v>Error?</v>
      </c>
    </row>
    <row r="2040" spans="1:4" x14ac:dyDescent="0.2">
      <c r="A2040" s="5">
        <v>1979</v>
      </c>
      <c r="B2040" s="1832">
        <f>'Cap Outlay Deprec 26'!I10</f>
        <v>169366</v>
      </c>
      <c r="D2040" s="2" t="str">
        <f t="shared" si="30"/>
        <v>Error?</v>
      </c>
    </row>
    <row r="2041" spans="1:4" x14ac:dyDescent="0.2">
      <c r="A2041" s="5">
        <v>1980</v>
      </c>
      <c r="B2041" s="1832">
        <f>'Cap Outlay Deprec 26'!I12</f>
        <v>491995</v>
      </c>
      <c r="D2041" s="2" t="str">
        <f t="shared" si="30"/>
        <v>Error?</v>
      </c>
    </row>
    <row r="2042" spans="1:4" x14ac:dyDescent="0.2">
      <c r="A2042" s="5">
        <v>1981</v>
      </c>
      <c r="B2042" s="1832">
        <f>'Cap Outlay Deprec 26'!I13</f>
        <v>47588</v>
      </c>
      <c r="D2042" s="2" t="str">
        <f t="shared" si="30"/>
        <v>Error?</v>
      </c>
    </row>
    <row r="2043" spans="1:4" x14ac:dyDescent="0.2">
      <c r="A2043" s="5">
        <v>1982</v>
      </c>
      <c r="B2043" s="1832">
        <f>'Cap Outlay Deprec 26'!I16</f>
        <v>1184130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522487</v>
      </c>
      <c r="D2047" s="2" t="str">
        <f t="shared" ref="D2047:D2110" si="31">IF(ISBLANK(B2047),"OK",IF(A2047-B2047=0,"OK","Error?"))</f>
        <v>Error?</v>
      </c>
    </row>
    <row r="2048" spans="1:4" x14ac:dyDescent="0.2">
      <c r="A2048" s="5">
        <v>1987</v>
      </c>
      <c r="B2048" s="1832">
        <f>'Cap Outlay Deprec 26'!J13</f>
        <v>28750</v>
      </c>
      <c r="D2048" s="2" t="str">
        <f t="shared" si="31"/>
        <v>Error?</v>
      </c>
    </row>
    <row r="2049" spans="1:4" x14ac:dyDescent="0.2">
      <c r="A2049" s="5">
        <v>1988</v>
      </c>
      <c r="B2049" s="1832">
        <f>'Cap Outlay Deprec 26'!J16</f>
        <v>551237</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10435530</v>
      </c>
      <c r="C2051" s="2" t="s">
        <v>569</v>
      </c>
      <c r="D2051" s="2" t="str">
        <f t="shared" si="31"/>
        <v>Error?</v>
      </c>
    </row>
    <row r="2052" spans="1:4" x14ac:dyDescent="0.2">
      <c r="A2052" s="5">
        <v>1991</v>
      </c>
      <c r="B2052" s="1832">
        <f>'Cap Outlay Deprec 26'!K10</f>
        <v>1424785</v>
      </c>
      <c r="C2052" s="2" t="s">
        <v>569</v>
      </c>
      <c r="D2052" s="2" t="str">
        <f t="shared" si="31"/>
        <v>Error?</v>
      </c>
    </row>
    <row r="2053" spans="1:4" x14ac:dyDescent="0.2">
      <c r="A2053" s="5">
        <v>1992</v>
      </c>
      <c r="B2053" s="1832">
        <f>'Cap Outlay Deprec 26'!K12</f>
        <v>2249589</v>
      </c>
      <c r="C2053" s="2" t="s">
        <v>569</v>
      </c>
      <c r="D2053" s="2" t="str">
        <f t="shared" si="31"/>
        <v>Error?</v>
      </c>
    </row>
    <row r="2054" spans="1:4" x14ac:dyDescent="0.2">
      <c r="A2054" s="5">
        <v>1993</v>
      </c>
      <c r="B2054" s="1832">
        <f>'Cap Outlay Deprec 26'!K13</f>
        <v>1037050</v>
      </c>
      <c r="C2054" s="2" t="s">
        <v>569</v>
      </c>
      <c r="D2054" s="2" t="str">
        <f t="shared" si="31"/>
        <v>Error?</v>
      </c>
    </row>
    <row r="2055" spans="1:4" x14ac:dyDescent="0.2">
      <c r="A2055" s="5">
        <v>1994</v>
      </c>
      <c r="B2055" s="1832">
        <f>'Cap Outlay Deprec 26'!K16</f>
        <v>15157440</v>
      </c>
      <c r="C2055" s="2" t="s">
        <v>569</v>
      </c>
      <c r="D2055" s="2" t="str">
        <f t="shared" si="31"/>
        <v>Error?</v>
      </c>
    </row>
    <row r="2056" spans="1:4" x14ac:dyDescent="0.2">
      <c r="A2056" s="5">
        <v>1995</v>
      </c>
      <c r="B2056" s="1832">
        <f>'Cap Outlay Deprec 26'!L5</f>
        <v>432926</v>
      </c>
      <c r="C2056" s="2" t="s">
        <v>569</v>
      </c>
      <c r="D2056" s="2" t="str">
        <f t="shared" si="31"/>
        <v>Error?</v>
      </c>
    </row>
    <row r="2057" spans="1:4" x14ac:dyDescent="0.2">
      <c r="A2057" s="5">
        <v>1996</v>
      </c>
      <c r="B2057" s="1832">
        <f>'Cap Outlay Deprec 26'!L8</f>
        <v>17251737</v>
      </c>
      <c r="C2057" s="2" t="s">
        <v>569</v>
      </c>
      <c r="D2057" s="2" t="str">
        <f t="shared" si="31"/>
        <v>Error?</v>
      </c>
    </row>
    <row r="2058" spans="1:4" x14ac:dyDescent="0.2">
      <c r="A2058" s="5">
        <v>1997</v>
      </c>
      <c r="B2058" s="1832">
        <f>'Cap Outlay Deprec 26'!L10</f>
        <v>2079797</v>
      </c>
      <c r="C2058" s="2" t="s">
        <v>569</v>
      </c>
      <c r="D2058" s="2" t="str">
        <f t="shared" si="31"/>
        <v>Error?</v>
      </c>
    </row>
    <row r="2059" spans="1:4" x14ac:dyDescent="0.2">
      <c r="A2059" s="5">
        <v>1998</v>
      </c>
      <c r="B2059" s="1832">
        <f>'Cap Outlay Deprec 26'!L12</f>
        <v>2670353</v>
      </c>
      <c r="C2059" s="2" t="s">
        <v>569</v>
      </c>
      <c r="D2059" s="2" t="str">
        <f t="shared" si="31"/>
        <v>Error?</v>
      </c>
    </row>
    <row r="2060" spans="1:4" x14ac:dyDescent="0.2">
      <c r="A2060" s="5">
        <v>1999</v>
      </c>
      <c r="B2060" s="1832">
        <f>'Cap Outlay Deprec 26'!L13</f>
        <v>126977</v>
      </c>
      <c r="C2060" s="2" t="s">
        <v>569</v>
      </c>
      <c r="D2060" s="2" t="str">
        <f t="shared" si="31"/>
        <v>Error?</v>
      </c>
    </row>
    <row r="2061" spans="1:4" x14ac:dyDescent="0.2">
      <c r="A2061" s="5">
        <v>2000</v>
      </c>
      <c r="B2061" s="1832">
        <f>'Cap Outlay Deprec 26'!L16</f>
        <v>22585901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1330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576403</v>
      </c>
      <c r="C2088" s="2" t="s">
        <v>569</v>
      </c>
      <c r="D2088" s="2" t="str">
        <f t="shared" si="31"/>
        <v>Error?</v>
      </c>
    </row>
    <row r="2089" spans="1:4" x14ac:dyDescent="0.2">
      <c r="A2089" s="5">
        <v>2028</v>
      </c>
      <c r="B2089" s="1832">
        <f>'Expenditures 15-22'!K92</f>
        <v>1736180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56348</v>
      </c>
      <c r="D2435" s="2" t="str">
        <f t="shared" si="37"/>
        <v>Error?</v>
      </c>
    </row>
    <row r="2436" spans="1:4" x14ac:dyDescent="0.2">
      <c r="A2436" s="10">
        <v>2375</v>
      </c>
      <c r="B2436" s="1832"/>
      <c r="D2436" s="2" t="str">
        <f t="shared" si="37"/>
        <v>OK</v>
      </c>
    </row>
    <row r="2437" spans="1:4" x14ac:dyDescent="0.2">
      <c r="A2437" s="5">
        <v>2376</v>
      </c>
      <c r="B2437" s="1832">
        <f>'Assets-Liab 5-6'!D38</f>
        <v>39126</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625894</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1861582</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2796972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11428543</v>
      </c>
      <c r="C2553" s="2" t="s">
        <v>569</v>
      </c>
      <c r="D2553" s="2" t="str">
        <f t="shared" si="38"/>
        <v>Error?</v>
      </c>
    </row>
    <row r="2554" spans="1:4" x14ac:dyDescent="0.2">
      <c r="A2554" s="5">
        <v>2493</v>
      </c>
      <c r="B2554" s="1832">
        <f>'Acct Summary 7-8'!C7</f>
        <v>4108867</v>
      </c>
      <c r="C2554" s="2" t="s">
        <v>569</v>
      </c>
      <c r="D2554" s="2" t="str">
        <f t="shared" si="38"/>
        <v>Error?</v>
      </c>
    </row>
    <row r="2555" spans="1:4" x14ac:dyDescent="0.2">
      <c r="A2555" s="5">
        <v>2494</v>
      </c>
      <c r="B2555" s="1832">
        <f>'Acct Summary 7-8'!C8</f>
        <v>18334382</v>
      </c>
      <c r="C2555" s="2" t="s">
        <v>569</v>
      </c>
      <c r="D2555" s="2" t="str">
        <f t="shared" si="38"/>
        <v>Error?</v>
      </c>
    </row>
    <row r="2556" spans="1:4" x14ac:dyDescent="0.2">
      <c r="A2556" s="5">
        <v>2495</v>
      </c>
      <c r="B2556" s="1832">
        <f>'Acct Summary 7-8'!C12</f>
        <v>10762824</v>
      </c>
      <c r="C2556" s="2" t="s">
        <v>569</v>
      </c>
      <c r="D2556" s="2" t="str">
        <f t="shared" si="38"/>
        <v>Error?</v>
      </c>
    </row>
    <row r="2557" spans="1:4" x14ac:dyDescent="0.2">
      <c r="A2557" s="5">
        <v>2496</v>
      </c>
      <c r="B2557" s="1832">
        <f>'Acct Summary 7-8'!C13</f>
        <v>4274035</v>
      </c>
      <c r="C2557" s="2" t="s">
        <v>569</v>
      </c>
      <c r="D2557" s="2" t="str">
        <f t="shared" si="38"/>
        <v>Error?</v>
      </c>
    </row>
    <row r="2558" spans="1:4" x14ac:dyDescent="0.2">
      <c r="A2558" s="5">
        <v>2497</v>
      </c>
      <c r="B2558" s="1832">
        <f>'Acct Summary 7-8'!C14</f>
        <v>146291</v>
      </c>
      <c r="C2558" s="2" t="s">
        <v>569</v>
      </c>
      <c r="D2558" s="2" t="str">
        <f t="shared" si="38"/>
        <v>Error?</v>
      </c>
    </row>
    <row r="2559" spans="1:4" x14ac:dyDescent="0.2">
      <c r="A2559" s="5">
        <v>2498</v>
      </c>
      <c r="B2559" s="1832">
        <f>'Acct Summary 7-8'!C15</f>
        <v>2312583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17495733</v>
      </c>
      <c r="C2561" s="2" t="s">
        <v>569</v>
      </c>
      <c r="D2561" s="2" t="str">
        <f t="shared" si="39"/>
        <v>Error?</v>
      </c>
    </row>
    <row r="2562" spans="1:4" x14ac:dyDescent="0.2">
      <c r="A2562" s="5">
        <v>2501</v>
      </c>
      <c r="B2562" s="1832">
        <f>'Acct Summary 7-8'!C20</f>
        <v>838649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684109</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2092189</v>
      </c>
      <c r="C2566" s="2" t="s">
        <v>569</v>
      </c>
      <c r="D2566" s="2" t="str">
        <f t="shared" si="39"/>
        <v>Error?</v>
      </c>
    </row>
    <row r="2567" spans="1:4" x14ac:dyDescent="0.2">
      <c r="A2567" s="5">
        <v>2506</v>
      </c>
      <c r="B2567" s="1832">
        <f>'Acct Summary 7-8'!D7</f>
        <v>41054</v>
      </c>
      <c r="C2567" s="2" t="s">
        <v>569</v>
      </c>
      <c r="D2567" s="2" t="str">
        <f t="shared" si="39"/>
        <v>Error?</v>
      </c>
    </row>
    <row r="2568" spans="1:4" x14ac:dyDescent="0.2">
      <c r="A2568" s="5">
        <v>2507</v>
      </c>
      <c r="B2568" s="1832">
        <f>'Acct Summary 7-8'!D8</f>
        <v>2817352</v>
      </c>
      <c r="C2568" s="2" t="s">
        <v>569</v>
      </c>
      <c r="D2568" s="2" t="str">
        <f t="shared" si="39"/>
        <v>Error?</v>
      </c>
    </row>
    <row r="2569" spans="1:4" x14ac:dyDescent="0.2">
      <c r="A2569" s="5">
        <v>2508</v>
      </c>
      <c r="B2569" s="1832">
        <f>'Acct Summary 7-8'!D13</f>
        <v>2496188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2496188</v>
      </c>
      <c r="C2573" s="2" t="s">
        <v>569</v>
      </c>
      <c r="D2573" s="2" t="str">
        <f t="shared" si="39"/>
        <v>Error?</v>
      </c>
    </row>
    <row r="2574" spans="1:4" x14ac:dyDescent="0.2">
      <c r="A2574" s="5">
        <v>2513</v>
      </c>
      <c r="B2574" s="1832">
        <f>'Acct Summary 7-8'!D20</f>
        <v>321164</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184731</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793565</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978296</v>
      </c>
      <c r="C2595" s="2" t="s">
        <v>569</v>
      </c>
      <c r="D2595" s="2" t="str">
        <f t="shared" si="39"/>
        <v>Error?</v>
      </c>
    </row>
    <row r="2596" spans="1:4" x14ac:dyDescent="0.2">
      <c r="A2596" s="5">
        <v>2535</v>
      </c>
      <c r="B2596" s="1832">
        <f>'Acct Summary 7-8'!F13</f>
        <v>856525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856525</v>
      </c>
      <c r="C2600" s="2" t="s">
        <v>569</v>
      </c>
      <c r="D2600" s="2" t="str">
        <f t="shared" si="39"/>
        <v>Error?</v>
      </c>
    </row>
    <row r="2601" spans="1:4" x14ac:dyDescent="0.2">
      <c r="A2601" s="5">
        <v>2540</v>
      </c>
      <c r="B2601" s="1832">
        <f>'Acct Summary 7-8'!F20</f>
        <v>121771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790303</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790303</v>
      </c>
      <c r="C2606" s="2" t="s">
        <v>569</v>
      </c>
      <c r="D2606" s="2" t="str">
        <f t="shared" si="39"/>
        <v>Error?</v>
      </c>
    </row>
    <row r="2607" spans="1:4" x14ac:dyDescent="0.2">
      <c r="A2607" s="5">
        <v>2546</v>
      </c>
      <c r="B2607" s="1832">
        <f>'Acct Summary 7-8'!G12</f>
        <v>234615</v>
      </c>
      <c r="C2607" s="2" t="s">
        <v>569</v>
      </c>
      <c r="D2607" s="2" t="str">
        <f t="shared" si="39"/>
        <v>Error?</v>
      </c>
    </row>
    <row r="2608" spans="1:4" x14ac:dyDescent="0.2">
      <c r="A2608" s="5">
        <v>2547</v>
      </c>
      <c r="B2608" s="1832">
        <f>'Acct Summary 7-8'!G13</f>
        <v>460212</v>
      </c>
      <c r="C2608" s="2" t="s">
        <v>569</v>
      </c>
      <c r="D2608" s="2" t="str">
        <f t="shared" si="39"/>
        <v>Error?</v>
      </c>
    </row>
    <row r="2609" spans="1:4" x14ac:dyDescent="0.2">
      <c r="A2609" s="5">
        <v>2548</v>
      </c>
      <c r="B2609" s="1832">
        <f>'Acct Summary 7-8'!G14</f>
        <v>7487</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759102</v>
      </c>
      <c r="C2612" s="2" t="s">
        <v>569</v>
      </c>
      <c r="D2612" s="2" t="str">
        <f t="shared" si="39"/>
        <v>Error?</v>
      </c>
    </row>
    <row r="2613" spans="1:4" x14ac:dyDescent="0.2">
      <c r="A2613" s="5">
        <v>2552</v>
      </c>
      <c r="B2613" s="1832">
        <f>'Acct Summary 7-8'!G20</f>
        <v>31201</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767019</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767019</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711978</v>
      </c>
      <c r="C2634" s="2" t="s">
        <v>569</v>
      </c>
      <c r="D2634" s="2" t="str">
        <f t="shared" si="40"/>
        <v>Error?</v>
      </c>
    </row>
    <row r="2635" spans="1:4" x14ac:dyDescent="0.2">
      <c r="A2635" s="5">
        <v>2574</v>
      </c>
      <c r="B2635" s="1832">
        <f>'Acct Summary 7-8'!E17</f>
        <v>711978</v>
      </c>
      <c r="C2635" s="2" t="s">
        <v>569</v>
      </c>
      <c r="D2635" s="2" t="str">
        <f t="shared" si="40"/>
        <v>Error?</v>
      </c>
    </row>
    <row r="2636" spans="1:4" x14ac:dyDescent="0.2">
      <c r="A2636" s="5">
        <v>2575</v>
      </c>
      <c r="B2636" s="1832">
        <f>'Acct Summary 7-8'!E20</f>
        <v>55041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258435</v>
      </c>
      <c r="C2655" s="2" t="s">
        <v>569</v>
      </c>
      <c r="D2655" s="2" t="str">
        <f t="shared" si="40"/>
        <v>Error?</v>
      </c>
    </row>
    <row r="2656" spans="1:4" x14ac:dyDescent="0.2">
      <c r="A2656" s="5">
        <v>2595</v>
      </c>
      <c r="B2656" s="1832">
        <f>'Acct Summary 7-8'!H6</f>
        <v>800132</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1058567</v>
      </c>
      <c r="C2658" s="2" t="s">
        <v>569</v>
      </c>
      <c r="D2658" s="2" t="str">
        <f t="shared" si="40"/>
        <v>Error?</v>
      </c>
    </row>
    <row r="2659" spans="1:4" x14ac:dyDescent="0.2">
      <c r="A2659" s="5">
        <v>2598</v>
      </c>
      <c r="B2659" s="1832">
        <f>'Acct Summary 7-8'!H13</f>
        <v>1064768</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1064768</v>
      </c>
      <c r="C2661" s="2" t="s">
        <v>569</v>
      </c>
      <c r="D2661" s="2" t="str">
        <f t="shared" si="40"/>
        <v>Error?</v>
      </c>
    </row>
    <row r="2662" spans="1:4" x14ac:dyDescent="0.2">
      <c r="A2662" s="5">
        <v>2601</v>
      </c>
      <c r="B2662" s="1832">
        <f>'Acct Summary 7-8'!H20</f>
        <v>-6201</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21546</v>
      </c>
      <c r="D2718" s="2" t="str">
        <f t="shared" si="41"/>
        <v>Error?</v>
      </c>
    </row>
    <row r="2719" spans="1:4" x14ac:dyDescent="0.2">
      <c r="A2719" s="5">
        <v>2658</v>
      </c>
      <c r="B2719" s="1832">
        <f>'Expenditures 15-22'!D51</f>
        <v>6602</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28148</v>
      </c>
      <c r="C2724" s="2" t="s">
        <v>569</v>
      </c>
      <c r="D2724" s="2" t="str">
        <f t="shared" si="41"/>
        <v>Error?</v>
      </c>
    </row>
    <row r="2725" spans="1:4" x14ac:dyDescent="0.2">
      <c r="A2725" s="5">
        <v>2664</v>
      </c>
      <c r="B2725" s="1832">
        <f>'Expenditures 15-22'!D247</f>
        <v>4132</v>
      </c>
      <c r="D2725" s="2" t="str">
        <f t="shared" si="41"/>
        <v>Error?</v>
      </c>
    </row>
    <row r="2726" spans="1:4" x14ac:dyDescent="0.2">
      <c r="A2726" s="5">
        <v>2665</v>
      </c>
      <c r="B2726" s="1832">
        <f>'Expenditures 15-22'!K247</f>
        <v>4132</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1992</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575073</v>
      </c>
      <c r="C2789" s="2" t="s">
        <v>569</v>
      </c>
      <c r="D2789" s="2" t="str">
        <f t="shared" si="42"/>
        <v>Error?</v>
      </c>
    </row>
    <row r="2790" spans="1:4" x14ac:dyDescent="0.2">
      <c r="A2790" s="5">
        <v>2729</v>
      </c>
      <c r="B2790" s="1832">
        <f>'Expenditures 15-22'!E102</f>
        <v>575073</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24111</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105372</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587563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292994</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587563</v>
      </c>
      <c r="D2912" s="2" t="str">
        <f t="shared" si="44"/>
        <v>Error?</v>
      </c>
    </row>
    <row r="2913" spans="1:4" x14ac:dyDescent="0.2">
      <c r="A2913" s="5">
        <v>2852</v>
      </c>
      <c r="B2913" s="1832">
        <f>'Assets-Liab 5-6'!I41</f>
        <v>587563</v>
      </c>
      <c r="C2913" s="2" t="s">
        <v>569</v>
      </c>
      <c r="D2913" s="2" t="str">
        <f t="shared" si="44"/>
        <v>Error?</v>
      </c>
    </row>
    <row r="2914" spans="1:4" x14ac:dyDescent="0.2">
      <c r="A2914" s="5">
        <v>2853</v>
      </c>
      <c r="B2914" s="1832">
        <f>'Assets-Liab 5-6'!L33</f>
        <v>187837</v>
      </c>
      <c r="D2914" s="2" t="str">
        <f t="shared" si="44"/>
        <v>Error?</v>
      </c>
    </row>
    <row r="2915" spans="1:4" x14ac:dyDescent="0.2">
      <c r="A2915" s="10">
        <v>2854</v>
      </c>
      <c r="B2915" s="1832"/>
      <c r="D2915" s="2" t="str">
        <f t="shared" si="44"/>
        <v>OK</v>
      </c>
    </row>
    <row r="2916" spans="1:4" x14ac:dyDescent="0.2">
      <c r="A2916" s="5">
        <v>2855</v>
      </c>
      <c r="B2916" s="1832">
        <f>'Assets-Liab 5-6'!L34</f>
        <v>187837</v>
      </c>
      <c r="C2916" s="2" t="s">
        <v>569</v>
      </c>
      <c r="D2916" s="2" t="str">
        <f t="shared" si="44"/>
        <v>Error?</v>
      </c>
    </row>
    <row r="2917" spans="1:4" x14ac:dyDescent="0.2">
      <c r="A2917" s="5">
        <v>2856</v>
      </c>
      <c r="B2917" s="1832">
        <f>'Assets-Liab 5-6'!L41</f>
        <v>292994</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24060</v>
      </c>
      <c r="D2949" s="2" t="str">
        <f t="shared" si="45"/>
        <v>Error?</v>
      </c>
    </row>
    <row r="2950" spans="1:4" x14ac:dyDescent="0.2">
      <c r="A2950" s="5">
        <v>2889</v>
      </c>
      <c r="B2950" s="1832">
        <f>'Expenditures 15-22'!E79</f>
        <v>551013</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1330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24060</v>
      </c>
      <c r="C2973" s="2" t="s">
        <v>569</v>
      </c>
      <c r="D2973" s="2" t="str">
        <f t="shared" si="45"/>
        <v>Error?</v>
      </c>
    </row>
    <row r="2974" spans="1:4" x14ac:dyDescent="0.2">
      <c r="A2974" s="5">
        <v>2913</v>
      </c>
      <c r="B2974" s="1832">
        <f>'Expenditures 15-22'!K79</f>
        <v>552343</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1992</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553749</v>
      </c>
      <c r="D3055" s="2" t="str">
        <f t="shared" si="46"/>
        <v>Error?</v>
      </c>
    </row>
    <row r="3056" spans="1:4" x14ac:dyDescent="0.2">
      <c r="A3056" s="5">
        <v>2995</v>
      </c>
      <c r="B3056" s="1832">
        <f>'Expenditures 15-22'!D10</f>
        <v>121679</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64144</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739572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55503</v>
      </c>
      <c r="D3064" s="2" t="str">
        <f t="shared" si="46"/>
        <v>Error?</v>
      </c>
    </row>
    <row r="3065" spans="1:4" x14ac:dyDescent="0.2">
      <c r="A3065" s="5">
        <v>3004</v>
      </c>
      <c r="B3065" s="1832">
        <f>'Expenditures 15-22'!K219</f>
        <v>55503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105157</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51729</v>
      </c>
      <c r="C3225" s="2" t="s">
        <v>569</v>
      </c>
      <c r="D3225" s="2" t="str">
        <f t="shared" si="49"/>
        <v>Error?</v>
      </c>
    </row>
    <row r="3226" spans="1:4" x14ac:dyDescent="0.2">
      <c r="A3226" s="5">
        <v>3165</v>
      </c>
      <c r="B3226" s="1832">
        <f>'Acct Summary 7-8'!I8</f>
        <v>51729</v>
      </c>
      <c r="C3226" s="2" t="s">
        <v>569</v>
      </c>
      <c r="D3226" s="2" t="str">
        <f t="shared" si="49"/>
        <v>Error?</v>
      </c>
    </row>
    <row r="3227" spans="1:4" x14ac:dyDescent="0.2">
      <c r="A3227" s="5">
        <v>3166</v>
      </c>
      <c r="B3227" s="1832">
        <f>'Acct Summary 7-8'!I20</f>
        <v>51729</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838649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321164</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121771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31201</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55041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-6201</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51729</v>
      </c>
      <c r="C3320" s="2" t="s">
        <v>569</v>
      </c>
      <c r="D3320" s="2" t="str">
        <f t="shared" si="50"/>
        <v>Error?</v>
      </c>
    </row>
    <row r="3321" spans="1:4" x14ac:dyDescent="0.2">
      <c r="A3321" s="5">
        <v>3260</v>
      </c>
      <c r="B3321" s="1832">
        <f>'Acct Summary 7-8'!I79</f>
        <v>535834</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587563</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87411</v>
      </c>
      <c r="D3366" s="2" t="str">
        <f t="shared" si="51"/>
        <v>Error?</v>
      </c>
    </row>
    <row r="3367" spans="1:4" x14ac:dyDescent="0.2">
      <c r="A3367" s="5">
        <v>3306</v>
      </c>
      <c r="B3367" s="1832">
        <f>'Expenditures 15-22'!C19</f>
        <v>151555</v>
      </c>
      <c r="D3367" s="2" t="str">
        <f t="shared" si="51"/>
        <v>Error?</v>
      </c>
    </row>
    <row r="3368" spans="1:4" x14ac:dyDescent="0.2">
      <c r="A3368" s="5">
        <v>3307</v>
      </c>
      <c r="B3368" s="1832">
        <f>'Expenditures 15-22'!D8</f>
        <v>7453</v>
      </c>
      <c r="D3368" s="2" t="str">
        <f t="shared" si="51"/>
        <v>Error?</v>
      </c>
    </row>
    <row r="3369" spans="1:4" x14ac:dyDescent="0.2">
      <c r="A3369" s="5">
        <v>3308</v>
      </c>
      <c r="B3369" s="1832">
        <f>'Expenditures 15-22'!D19</f>
        <v>9129</v>
      </c>
      <c r="D3369" s="2" t="str">
        <f t="shared" si="51"/>
        <v>Error?</v>
      </c>
    </row>
    <row r="3370" spans="1:4" x14ac:dyDescent="0.2">
      <c r="A3370" s="5">
        <v>3309</v>
      </c>
      <c r="B3370" s="1832">
        <f>'Expenditures 15-22'!E8</f>
        <v>812871</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907735</v>
      </c>
      <c r="C3380" s="2" t="s">
        <v>569</v>
      </c>
      <c r="D3380" s="2" t="str">
        <f t="shared" si="51"/>
        <v>Error?</v>
      </c>
    </row>
    <row r="3381" spans="1:4" x14ac:dyDescent="0.2">
      <c r="A3381" s="5">
        <v>3320</v>
      </c>
      <c r="B3381" s="1832">
        <f>'Expenditures 15-22'!K19</f>
        <v>160684</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71109</v>
      </c>
      <c r="D3387" s="2" t="str">
        <f t="shared" si="51"/>
        <v>Error?</v>
      </c>
    </row>
    <row r="3388" spans="1:4" x14ac:dyDescent="0.2">
      <c r="A3388" s="5">
        <v>3327</v>
      </c>
      <c r="B3388" s="1832">
        <f>'Expenditures 15-22'!D217</f>
        <v>62141</v>
      </c>
      <c r="D3388" s="2" t="str">
        <f t="shared" si="51"/>
        <v>Error?</v>
      </c>
    </row>
    <row r="3389" spans="1:4" x14ac:dyDescent="0.2">
      <c r="A3389" s="5">
        <v>3328</v>
      </c>
      <c r="B3389" s="1832">
        <f>'Expenditures 15-22'!D228</f>
        <v>3884</v>
      </c>
      <c r="D3389" s="2" t="str">
        <f t="shared" si="51"/>
        <v>Error?</v>
      </c>
    </row>
    <row r="3390" spans="1:4" x14ac:dyDescent="0.2">
      <c r="A3390" s="5">
        <v>3329</v>
      </c>
      <c r="B3390" s="1832">
        <f>'Expenditures 15-22'!K215</f>
        <v>71109</v>
      </c>
      <c r="C3390" s="2" t="s">
        <v>569</v>
      </c>
      <c r="D3390" s="2" t="str">
        <f t="shared" si="51"/>
        <v>Error?</v>
      </c>
    </row>
    <row r="3391" spans="1:4" x14ac:dyDescent="0.2">
      <c r="A3391" s="5">
        <v>3330</v>
      </c>
      <c r="B3391" s="1832">
        <f>'Expenditures 15-22'!K217</f>
        <v>62141</v>
      </c>
      <c r="C3391" s="2" t="s">
        <v>569</v>
      </c>
      <c r="D3391" s="2" t="str">
        <f t="shared" ref="D3391:D3454" si="52">IF(ISBLANK(B3391),"OK",IF(A3391-B3391=0,"OK","Error?"))</f>
        <v>Error?</v>
      </c>
    </row>
    <row r="3392" spans="1:4" x14ac:dyDescent="0.2">
      <c r="A3392" s="5">
        <v>3331</v>
      </c>
      <c r="B3392" s="1832">
        <f>'Expenditures 15-22'!K228</f>
        <v>3884</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3211229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1535690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925134</v>
      </c>
      <c r="D3417" s="2" t="str">
        <f t="shared" si="52"/>
        <v>Error?</v>
      </c>
    </row>
    <row r="3418" spans="1:4" x14ac:dyDescent="0.2">
      <c r="A3418" s="10">
        <v>3357</v>
      </c>
      <c r="B3418" s="1832"/>
      <c r="D3418" s="2" t="str">
        <f t="shared" si="52"/>
        <v>OK</v>
      </c>
    </row>
    <row r="3419" spans="1:4" x14ac:dyDescent="0.2">
      <c r="A3419" s="5">
        <v>3358</v>
      </c>
      <c r="B3419" s="1832">
        <f>'Assets-Liab 5-6'!F4</f>
        <v>523379</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1007792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1205207</v>
      </c>
      <c r="D3425" s="2" t="str">
        <f t="shared" si="52"/>
        <v>Error?</v>
      </c>
    </row>
    <row r="3426" spans="1:4" x14ac:dyDescent="0.2">
      <c r="A3426" s="10">
        <v>3365</v>
      </c>
      <c r="B3426" s="1832"/>
      <c r="D3426" s="2" t="str">
        <f t="shared" si="52"/>
        <v>OK</v>
      </c>
    </row>
    <row r="3427" spans="1:4" x14ac:dyDescent="0.2">
      <c r="A3427" s="5">
        <v>3366</v>
      </c>
      <c r="B3427" s="1832">
        <f>'Assets-Liab 5-6'!I4</f>
        <v>482191</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292994</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382675</v>
      </c>
      <c r="C3446" s="2" t="s">
        <v>569</v>
      </c>
      <c r="D3446" s="2" t="str">
        <f t="shared" si="52"/>
        <v>Error?</v>
      </c>
    </row>
    <row r="3447" spans="1:4" x14ac:dyDescent="0.2">
      <c r="A3447" s="5">
        <v>3386</v>
      </c>
      <c r="B3447" s="1832">
        <f>'Tax Sched 23'!D16</f>
        <v>217145</v>
      </c>
      <c r="C3447" s="2" t="s">
        <v>569</v>
      </c>
      <c r="D3447" s="2" t="str">
        <f t="shared" si="52"/>
        <v>Error?</v>
      </c>
    </row>
    <row r="3448" spans="1:4" x14ac:dyDescent="0.2">
      <c r="A3448" s="5">
        <v>3387</v>
      </c>
      <c r="B3448" s="1832">
        <f>'Tax Sched 23'!C16</f>
        <v>165530</v>
      </c>
      <c r="D3448" s="2" t="str">
        <f t="shared" si="52"/>
        <v>Error?</v>
      </c>
    </row>
    <row r="3449" spans="1:4" x14ac:dyDescent="0.2">
      <c r="A3449" s="5">
        <v>3388</v>
      </c>
      <c r="B3449" s="1832">
        <f>'Tax Sched 23'!F16</f>
        <v>224524</v>
      </c>
      <c r="C3449" s="2" t="s">
        <v>569</v>
      </c>
      <c r="D3449" s="2" t="str">
        <f t="shared" si="52"/>
        <v>Error?</v>
      </c>
    </row>
    <row r="3450" spans="1:4" x14ac:dyDescent="0.2">
      <c r="A3450" s="5">
        <v>3389</v>
      </c>
      <c r="B3450" s="1832">
        <f>'Tax Sched 23'!E16</f>
        <v>390054</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24111</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24111</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24111</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1992</v>
      </c>
      <c r="E3521" s="4" t="s">
        <v>134</v>
      </c>
    </row>
    <row r="3522" spans="1:5" x14ac:dyDescent="0.2">
      <c r="A3522" s="10">
        <v>3461</v>
      </c>
      <c r="B3522" s="1832"/>
      <c r="D3522" s="4" t="s">
        <v>1992</v>
      </c>
      <c r="E3522" s="4" t="s">
        <v>134</v>
      </c>
    </row>
    <row r="3523" spans="1:5" x14ac:dyDescent="0.2">
      <c r="A3523" s="10">
        <v>3462</v>
      </c>
      <c r="B3523" s="1832"/>
      <c r="D3523" s="4" t="s">
        <v>1992</v>
      </c>
      <c r="E3523" s="4" t="s">
        <v>134</v>
      </c>
    </row>
    <row r="3524" spans="1:5" x14ac:dyDescent="0.2">
      <c r="A3524" s="10">
        <v>3463</v>
      </c>
      <c r="B3524" s="1832"/>
      <c r="D3524" s="4" t="s">
        <v>1992</v>
      </c>
      <c r="E3524" s="4" t="s">
        <v>134</v>
      </c>
    </row>
    <row r="3525" spans="1:5" x14ac:dyDescent="0.2">
      <c r="A3525" s="10">
        <v>3464</v>
      </c>
      <c r="B3525" s="1832"/>
      <c r="D3525" s="4" t="s">
        <v>1992</v>
      </c>
      <c r="E3525" s="4" t="s">
        <v>134</v>
      </c>
    </row>
    <row r="3526" spans="1:5" x14ac:dyDescent="0.2">
      <c r="A3526" s="10">
        <v>3465</v>
      </c>
      <c r="B3526" s="1832"/>
      <c r="D3526" s="4" t="s">
        <v>1992</v>
      </c>
      <c r="E3526" s="4" t="s">
        <v>134</v>
      </c>
    </row>
    <row r="3527" spans="1:5" x14ac:dyDescent="0.2">
      <c r="A3527" s="10">
        <v>3466</v>
      </c>
      <c r="B3527" s="1832"/>
      <c r="D3527" s="4" t="s">
        <v>1992</v>
      </c>
      <c r="E3527" s="4" t="s">
        <v>134</v>
      </c>
    </row>
    <row r="3528" spans="1:5" x14ac:dyDescent="0.2">
      <c r="A3528" s="10">
        <v>3467</v>
      </c>
      <c r="B3528" s="1832"/>
      <c r="D3528" s="4" t="s">
        <v>1992</v>
      </c>
      <c r="E3528" s="4" t="s">
        <v>134</v>
      </c>
    </row>
    <row r="3529" spans="1:5" x14ac:dyDescent="0.2">
      <c r="A3529" s="10">
        <v>3468</v>
      </c>
      <c r="B3529" s="1832"/>
      <c r="D3529" s="4" t="s">
        <v>1992</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93338</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93338</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93338</v>
      </c>
      <c r="D3567" s="2" t="str">
        <f t="shared" si="54"/>
        <v>Error?</v>
      </c>
    </row>
    <row r="3568" spans="1:4" x14ac:dyDescent="0.2">
      <c r="A3568" s="5">
        <v>3507</v>
      </c>
      <c r="B3568" s="1832">
        <f>'Assets-Liab 5-6'!K41</f>
        <v>93338</v>
      </c>
      <c r="C3568" s="2" t="s">
        <v>569</v>
      </c>
      <c r="D3568" s="2" t="str">
        <f t="shared" si="54"/>
        <v>Error?</v>
      </c>
    </row>
    <row r="3569" spans="1:4" x14ac:dyDescent="0.2">
      <c r="A3569" s="5">
        <v>3508</v>
      </c>
      <c r="B3569" s="1832">
        <f>'Acct Summary 7-8'!K4</f>
        <v>41718</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41718</v>
      </c>
      <c r="C3571" s="2" t="s">
        <v>569</v>
      </c>
      <c r="D3571" s="2" t="str">
        <f t="shared" si="54"/>
        <v>Error?</v>
      </c>
    </row>
    <row r="3572" spans="1:4" x14ac:dyDescent="0.2">
      <c r="A3572" s="5">
        <v>3511</v>
      </c>
      <c r="B3572" s="1832">
        <f>'Acct Summary 7-8'!K13</f>
        <v>51503</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51503</v>
      </c>
      <c r="C3575" s="2" t="s">
        <v>569</v>
      </c>
      <c r="D3575" s="2" t="str">
        <f t="shared" si="54"/>
        <v>Error?</v>
      </c>
    </row>
    <row r="3576" spans="1:4" x14ac:dyDescent="0.2">
      <c r="A3576" s="5">
        <v>3515</v>
      </c>
      <c r="B3576" s="1832">
        <f>'Acct Summary 7-8'!K20</f>
        <v>-9785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-9785</v>
      </c>
      <c r="C3588" s="2" t="s">
        <v>569</v>
      </c>
      <c r="D3588" s="2" t="str">
        <f t="shared" si="55"/>
        <v>Error?</v>
      </c>
    </row>
    <row r="3589" spans="1:4" x14ac:dyDescent="0.2">
      <c r="A3589" s="5">
        <v>3528</v>
      </c>
      <c r="B3589" s="1832">
        <f>'Acct Summary 7-8'!K79</f>
        <v>103123</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93338</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51503</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51503</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51503</v>
      </c>
      <c r="C3649" s="2" t="s">
        <v>569</v>
      </c>
      <c r="D3649" s="2" t="str">
        <f t="shared" si="56"/>
        <v>Error?</v>
      </c>
    </row>
    <row r="3650" spans="1:4" x14ac:dyDescent="0.2">
      <c r="A3650" s="5">
        <v>3589</v>
      </c>
      <c r="B3650" s="1832">
        <f>'Expenditures 15-22'!G367</f>
        <v>51503</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51503</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51503</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51503</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51503</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-9785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56788</v>
      </c>
      <c r="D3721" s="2" t="str">
        <f t="shared" si="57"/>
        <v>Error?</v>
      </c>
    </row>
    <row r="3722" spans="1:4" x14ac:dyDescent="0.2">
      <c r="A3722" s="5">
        <v>3661</v>
      </c>
      <c r="B3722" s="1832">
        <f>'Expenditures 15-22'!D285</f>
        <v>56788</v>
      </c>
      <c r="C3722" s="2" t="s">
        <v>569</v>
      </c>
      <c r="D3722" s="2" t="str">
        <f t="shared" si="57"/>
        <v>Error?</v>
      </c>
    </row>
    <row r="3723" spans="1:4" x14ac:dyDescent="0.2">
      <c r="A3723" s="5">
        <v>3662</v>
      </c>
      <c r="B3723" s="1832">
        <f>'Expenditures 15-22'!K283</f>
        <v>56788</v>
      </c>
      <c r="C3723" s="2" t="s">
        <v>569</v>
      </c>
      <c r="D3723" s="2" t="str">
        <f t="shared" si="57"/>
        <v>Error?</v>
      </c>
    </row>
    <row r="3724" spans="1:4" x14ac:dyDescent="0.2">
      <c r="A3724" s="5">
        <v>3663</v>
      </c>
      <c r="B3724" s="1832">
        <f>'Expenditures 15-22'!K285</f>
        <v>56788</v>
      </c>
      <c r="C3724" s="2" t="s">
        <v>569</v>
      </c>
      <c r="D3724" s="2" t="str">
        <f t="shared" si="57"/>
        <v>Error?</v>
      </c>
    </row>
    <row r="3725" spans="1:4" x14ac:dyDescent="0.2">
      <c r="A3725" s="5">
        <v>3664</v>
      </c>
      <c r="B3725" s="1832">
        <f>'Tax Sched 23'!B13</f>
        <v>39861</v>
      </c>
      <c r="C3725" s="2" t="s">
        <v>569</v>
      </c>
      <c r="D3725" s="2" t="str">
        <f t="shared" si="57"/>
        <v>Error?</v>
      </c>
    </row>
    <row r="3726" spans="1:4" x14ac:dyDescent="0.2">
      <c r="A3726" s="5">
        <v>3665</v>
      </c>
      <c r="B3726" s="1832">
        <f>'Tax Sched 23'!D13</f>
        <v>22387</v>
      </c>
      <c r="C3726" s="2" t="s">
        <v>569</v>
      </c>
      <c r="D3726" s="2" t="str">
        <f t="shared" si="57"/>
        <v>Error?</v>
      </c>
    </row>
    <row r="3727" spans="1:4" x14ac:dyDescent="0.2">
      <c r="A3727" s="5">
        <v>3666</v>
      </c>
      <c r="B3727" s="1832">
        <f>'Tax Sched 23'!C13</f>
        <v>17474</v>
      </c>
      <c r="D3727" s="2" t="str">
        <f t="shared" si="57"/>
        <v>Error?</v>
      </c>
    </row>
    <row r="3728" spans="1:4" x14ac:dyDescent="0.2">
      <c r="A3728" s="5">
        <v>3667</v>
      </c>
      <c r="B3728" s="1832">
        <f>'Tax Sched 23'!F13</f>
        <v>23702</v>
      </c>
      <c r="C3728" s="2" t="s">
        <v>569</v>
      </c>
      <c r="D3728" s="2" t="str">
        <f t="shared" si="57"/>
        <v>Error?</v>
      </c>
    </row>
    <row r="3729" spans="1:4" x14ac:dyDescent="0.2">
      <c r="A3729" s="5">
        <v>3668</v>
      </c>
      <c r="B3729" s="1832">
        <f>'Tax Sched 23'!E13</f>
        <v>41176</v>
      </c>
      <c r="D3729" s="2" t="str">
        <f t="shared" si="57"/>
        <v>Error?</v>
      </c>
    </row>
    <row r="3730" spans="1:4" x14ac:dyDescent="0.2">
      <c r="A3730" s="5">
        <v>3669</v>
      </c>
      <c r="B3730" s="1832">
        <f>'ICR Computation 30'!E10</f>
        <v>533682.18000000005</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6445864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24780246</v>
      </c>
      <c r="C4122" s="2" t="s">
        <v>569</v>
      </c>
      <c r="D4122" s="2" t="str">
        <f t="shared" si="63"/>
        <v>Error?</v>
      </c>
    </row>
    <row r="4123" spans="1:4" x14ac:dyDescent="0.2">
      <c r="A4123" s="5">
        <v>4062</v>
      </c>
      <c r="B4123" s="1832">
        <f>'Acct Summary 7-8'!D10</f>
        <v>2817352</v>
      </c>
      <c r="C4123" s="2" t="s">
        <v>569</v>
      </c>
      <c r="D4123" s="2" t="str">
        <f t="shared" si="63"/>
        <v>Error?</v>
      </c>
    </row>
    <row r="4124" spans="1:4" x14ac:dyDescent="0.2">
      <c r="A4124" s="5">
        <v>4063</v>
      </c>
      <c r="B4124" s="1832">
        <f>'Acct Summary 7-8'!E10</f>
        <v>767019</v>
      </c>
      <c r="C4124" s="2" t="s">
        <v>569</v>
      </c>
      <c r="D4124" s="2" t="str">
        <f t="shared" si="63"/>
        <v>Error?</v>
      </c>
    </row>
    <row r="4125" spans="1:4" x14ac:dyDescent="0.2">
      <c r="A4125" s="5">
        <v>4064</v>
      </c>
      <c r="B4125" s="1832">
        <f>'Acct Summary 7-8'!F10</f>
        <v>978296</v>
      </c>
      <c r="C4125" s="2" t="s">
        <v>569</v>
      </c>
      <c r="D4125" s="2" t="str">
        <f t="shared" si="63"/>
        <v>Error?</v>
      </c>
    </row>
    <row r="4126" spans="1:4" x14ac:dyDescent="0.2">
      <c r="A4126" s="5">
        <v>4065</v>
      </c>
      <c r="B4126" s="1832">
        <f>'Acct Summary 7-8'!G10</f>
        <v>790303</v>
      </c>
      <c r="C4126" s="2" t="s">
        <v>569</v>
      </c>
      <c r="D4126" s="2" t="str">
        <f t="shared" si="63"/>
        <v>Error?</v>
      </c>
    </row>
    <row r="4127" spans="1:4" x14ac:dyDescent="0.2">
      <c r="A4127" s="5">
        <v>4066</v>
      </c>
      <c r="B4127" s="1832">
        <f>'Acct Summary 7-8'!H10</f>
        <v>1058567</v>
      </c>
      <c r="C4127" s="2" t="s">
        <v>569</v>
      </c>
      <c r="D4127" s="2" t="str">
        <f t="shared" si="63"/>
        <v>Error?</v>
      </c>
    </row>
    <row r="4128" spans="1:4" x14ac:dyDescent="0.2">
      <c r="A4128" s="5">
        <v>4067</v>
      </c>
      <c r="B4128" s="1832">
        <f>'Acct Summary 7-8'!I10</f>
        <v>51729</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41718</v>
      </c>
      <c r="C4130" s="2" t="s">
        <v>569</v>
      </c>
      <c r="D4130" s="2" t="str">
        <f t="shared" si="63"/>
        <v>Error?</v>
      </c>
    </row>
    <row r="4131" spans="1:4" x14ac:dyDescent="0.2">
      <c r="A4131" s="5">
        <v>4070</v>
      </c>
      <c r="B4131" s="1832">
        <f>'Acct Summary 7-8'!C18</f>
        <v>6445864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23941597</v>
      </c>
      <c r="C4136" s="2" t="s">
        <v>569</v>
      </c>
      <c r="D4136" s="2" t="str">
        <f t="shared" si="63"/>
        <v>Error?</v>
      </c>
    </row>
    <row r="4137" spans="1:4" x14ac:dyDescent="0.2">
      <c r="A4137" s="5">
        <v>4076</v>
      </c>
      <c r="B4137" s="1832">
        <f>'Acct Summary 7-8'!D19</f>
        <v>2496188</v>
      </c>
      <c r="C4137" s="2" t="s">
        <v>569</v>
      </c>
      <c r="D4137" s="2" t="str">
        <f t="shared" si="63"/>
        <v>Error?</v>
      </c>
    </row>
    <row r="4138" spans="1:4" x14ac:dyDescent="0.2">
      <c r="A4138" s="5">
        <v>4077</v>
      </c>
      <c r="B4138" s="1832">
        <f>'Acct Summary 7-8'!E19</f>
        <v>711978</v>
      </c>
      <c r="C4138" s="2" t="s">
        <v>569</v>
      </c>
      <c r="D4138" s="2" t="str">
        <f t="shared" si="63"/>
        <v>Error?</v>
      </c>
    </row>
    <row r="4139" spans="1:4" x14ac:dyDescent="0.2">
      <c r="A4139" s="5">
        <v>4078</v>
      </c>
      <c r="B4139" s="1832">
        <f>'Acct Summary 7-8'!F19</f>
        <v>856525</v>
      </c>
      <c r="C4139" s="2" t="s">
        <v>569</v>
      </c>
      <c r="D4139" s="2" t="str">
        <f t="shared" si="63"/>
        <v>Error?</v>
      </c>
    </row>
    <row r="4140" spans="1:4" x14ac:dyDescent="0.2">
      <c r="A4140" s="5">
        <v>4079</v>
      </c>
      <c r="B4140" s="1832">
        <f>'Acct Summary 7-8'!G19</f>
        <v>759102</v>
      </c>
      <c r="C4140" s="2" t="s">
        <v>569</v>
      </c>
      <c r="D4140" s="2" t="str">
        <f t="shared" si="63"/>
        <v>Error?</v>
      </c>
    </row>
    <row r="4141" spans="1:4" x14ac:dyDescent="0.2">
      <c r="A4141" s="5">
        <v>4080</v>
      </c>
      <c r="B4141" s="1832">
        <f>'Acct Summary 7-8'!H19</f>
        <v>1064768</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51503</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6060000</v>
      </c>
      <c r="C4171" s="2" t="s">
        <v>569</v>
      </c>
      <c r="D4171" s="2" t="str">
        <f t="shared" si="64"/>
        <v>Error?</v>
      </c>
    </row>
    <row r="4172" spans="1:4" x14ac:dyDescent="0.2">
      <c r="A4172" s="5">
        <v>4111</v>
      </c>
      <c r="B4172" s="1832">
        <f>'Short-Term Long-Term Debt 24'!J49</f>
        <v>4081386</v>
      </c>
      <c r="C4172" s="2" t="s">
        <v>569</v>
      </c>
      <c r="D4172" s="2" t="str">
        <f t="shared" si="64"/>
        <v>Error?</v>
      </c>
    </row>
    <row r="4173" spans="1:4" x14ac:dyDescent="0.2">
      <c r="A4173" s="5">
        <v>4112</v>
      </c>
      <c r="B4173" s="1832">
        <f>'Short-Term Long-Term Debt 24'!H49</f>
        <v>535000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1894</v>
      </c>
    </row>
    <row r="4236" spans="1:5" x14ac:dyDescent="0.2">
      <c r="A4236" s="10">
        <v>4175</v>
      </c>
      <c r="B4236" s="1832"/>
      <c r="D4236" s="2" t="str">
        <f t="shared" si="65"/>
        <v>OK</v>
      </c>
      <c r="E4236" s="4" t="s">
        <v>1894</v>
      </c>
    </row>
    <row r="4237" spans="1:5" x14ac:dyDescent="0.2">
      <c r="A4237" s="10">
        <v>4176</v>
      </c>
      <c r="B4237" s="1832"/>
      <c r="D4237" s="2" t="str">
        <f t="shared" si="65"/>
        <v>OK</v>
      </c>
      <c r="E4237" s="4" t="s">
        <v>1894</v>
      </c>
    </row>
    <row r="4238" spans="1:5" x14ac:dyDescent="0.2">
      <c r="A4238" s="10">
        <v>4177</v>
      </c>
      <c r="B4238" s="1832"/>
      <c r="D4238" s="2" t="str">
        <f t="shared" si="65"/>
        <v>OK</v>
      </c>
      <c r="E4238" s="4" t="s">
        <v>1894</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1834.1</v>
      </c>
      <c r="C4265" s="2" t="s">
        <v>569</v>
      </c>
      <c r="D4265" s="2" t="str">
        <f t="shared" si="65"/>
        <v>Error?</v>
      </c>
      <c r="E4265" s="125"/>
    </row>
    <row r="4266" spans="1:5" x14ac:dyDescent="0.2">
      <c r="A4266" s="12">
        <v>4205</v>
      </c>
      <c r="B4266" s="1832">
        <f>('FP Info 3'!F10)*100000</f>
        <v>498.4</v>
      </c>
      <c r="C4266" s="2" t="s">
        <v>569</v>
      </c>
      <c r="D4266" s="2" t="str">
        <f t="shared" si="65"/>
        <v>Error?</v>
      </c>
      <c r="E4266" s="125"/>
    </row>
    <row r="4267" spans="1:5" x14ac:dyDescent="0.2">
      <c r="A4267" s="12">
        <v>4206</v>
      </c>
      <c r="B4267" s="1832">
        <f>('FP Info 3'!H10)*100000</f>
        <v>199.4</v>
      </c>
      <c r="C4267" s="2" t="s">
        <v>569</v>
      </c>
      <c r="D4267" s="2" t="str">
        <f t="shared" si="65"/>
        <v>Error?</v>
      </c>
      <c r="E4267" s="125"/>
    </row>
    <row r="4268" spans="1:5" x14ac:dyDescent="0.2">
      <c r="A4268" s="12">
        <v>4207</v>
      </c>
      <c r="B4268" s="1832">
        <f>('FP Info 3'!J10)*100000</f>
        <v>2532</v>
      </c>
      <c r="C4268" s="2" t="s">
        <v>569</v>
      </c>
      <c r="D4268" s="2" t="str">
        <f t="shared" si="65"/>
        <v>Error?</v>
      </c>
    </row>
    <row r="4269" spans="1:5" x14ac:dyDescent="0.2">
      <c r="A4269" s="12">
        <v>4208</v>
      </c>
      <c r="B4269" s="1832">
        <f>'FP Info 3'!J16</f>
        <v>13509050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61199</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20876</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5754</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49405</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49405</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1894</v>
      </c>
    </row>
    <row r="4400" spans="1:5" x14ac:dyDescent="0.2">
      <c r="A4400" s="10">
        <v>4339</v>
      </c>
      <c r="B4400" s="1832"/>
      <c r="D4400" s="2" t="str">
        <f t="shared" si="67"/>
        <v>OK</v>
      </c>
      <c r="E4400" s="4" t="s">
        <v>1894</v>
      </c>
    </row>
    <row r="4401" spans="1:5" x14ac:dyDescent="0.2">
      <c r="A4401" s="10">
        <v>4340</v>
      </c>
      <c r="B4401" s="1832"/>
      <c r="D4401" s="2" t="str">
        <f t="shared" si="67"/>
        <v>OK</v>
      </c>
      <c r="E4401" s="4" t="s">
        <v>1894</v>
      </c>
    </row>
    <row r="4402" spans="1:5" x14ac:dyDescent="0.2">
      <c r="A4402" s="10">
        <v>4341</v>
      </c>
      <c r="B4402" s="1832"/>
      <c r="D4402" s="2" t="str">
        <f t="shared" si="67"/>
        <v>OK</v>
      </c>
      <c r="E4402" s="4" t="s">
        <v>1894</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10811</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139902</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49.9</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639714</v>
      </c>
      <c r="D4852" s="2" t="str">
        <f t="shared" si="74"/>
        <v>Error?</v>
      </c>
    </row>
    <row r="4853" spans="1:4" x14ac:dyDescent="0.2">
      <c r="A4853" s="5">
        <v>4792</v>
      </c>
      <c r="B4853" s="1832">
        <f>'Revenues 9-14'!D265</f>
        <v>41054</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82516160</v>
      </c>
      <c r="D4995" s="2" t="str">
        <f t="shared" si="77"/>
        <v>Error?</v>
      </c>
    </row>
    <row r="4996" spans="1:4" x14ac:dyDescent="0.2">
      <c r="A4996" s="12">
        <v>4935</v>
      </c>
      <c r="B4996" s="1832">
        <f>'FP Info 3'!H31</f>
        <v>11387230.08</v>
      </c>
      <c r="D4996" s="2" t="str">
        <f t="shared" si="77"/>
        <v>Error?</v>
      </c>
    </row>
    <row r="4997" spans="1:4" x14ac:dyDescent="0.2">
      <c r="A4997" s="12">
        <v>4936</v>
      </c>
      <c r="B4997" s="1832">
        <f>'FP Info 3'!H37</f>
        <v>6060000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39861</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1466121</v>
      </c>
      <c r="D5061" s="2" t="str">
        <f t="shared" si="78"/>
        <v>Error?</v>
      </c>
    </row>
    <row r="5062" spans="1:4" x14ac:dyDescent="0.2">
      <c r="A5062" s="10">
        <v>5001</v>
      </c>
      <c r="B5062" s="1832"/>
      <c r="D5062" s="2" t="str">
        <f t="shared" si="78"/>
        <v>OK</v>
      </c>
    </row>
    <row r="5063" spans="1:4" x14ac:dyDescent="0.2">
      <c r="A5063" s="5">
        <v>5002</v>
      </c>
      <c r="B5063" s="1832">
        <f>'Revenues 9-14'!C7</f>
        <v>31882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1537864</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292642</v>
      </c>
      <c r="D5069" s="2" t="str">
        <f t="shared" si="78"/>
        <v>Error?</v>
      </c>
    </row>
    <row r="5070" spans="1:4" x14ac:dyDescent="0.2">
      <c r="A5070" s="5">
        <v>5009</v>
      </c>
      <c r="B5070" s="1832">
        <f>'Revenues 9-14'!C17</f>
        <v>5645</v>
      </c>
      <c r="D5070" s="2" t="str">
        <f t="shared" si="78"/>
        <v>Error?</v>
      </c>
    </row>
    <row r="5071" spans="1:4" x14ac:dyDescent="0.2">
      <c r="A5071" s="5">
        <v>5010</v>
      </c>
      <c r="B5071" s="1832">
        <f>'Revenues 9-14'!C18</f>
        <v>298287</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1622</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1622</v>
      </c>
      <c r="C5087" s="2" t="s">
        <v>569</v>
      </c>
      <c r="D5087" s="2" t="str">
        <f t="shared" si="78"/>
        <v>Error?</v>
      </c>
    </row>
    <row r="5088" spans="1:4" x14ac:dyDescent="0.2">
      <c r="A5088" s="5">
        <v>5027</v>
      </c>
      <c r="B5088" s="1832">
        <f>'Revenues 9-14'!C65</f>
        <v>204697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204697</v>
      </c>
      <c r="C5090" s="2" t="s">
        <v>569</v>
      </c>
      <c r="D5090" s="2" t="str">
        <f t="shared" si="78"/>
        <v>Error?</v>
      </c>
    </row>
    <row r="5091" spans="1:4" x14ac:dyDescent="0.2">
      <c r="A5091" s="5">
        <v>5030</v>
      </c>
      <c r="B5091" s="1832">
        <f>'Revenues 9-14'!C70</f>
        <v>21071</v>
      </c>
      <c r="D5091" s="2" t="str">
        <f t="shared" si="78"/>
        <v>Error?</v>
      </c>
    </row>
    <row r="5092" spans="1:4" x14ac:dyDescent="0.2">
      <c r="A5092" s="5">
        <v>5031</v>
      </c>
      <c r="B5092" s="1832">
        <f>'Revenues 9-14'!C71</f>
        <v>22550</v>
      </c>
      <c r="D5092" s="2" t="str">
        <f t="shared" si="78"/>
        <v>Error?</v>
      </c>
    </row>
    <row r="5093" spans="1:4" x14ac:dyDescent="0.2">
      <c r="A5093" s="5">
        <v>5032</v>
      </c>
      <c r="B5093" s="1832">
        <f>'Revenues 9-14'!C72</f>
        <v>9893</v>
      </c>
      <c r="D5093" s="2" t="str">
        <f t="shared" si="78"/>
        <v>Error?</v>
      </c>
    </row>
    <row r="5094" spans="1:4" x14ac:dyDescent="0.2">
      <c r="A5094" s="5">
        <v>5033</v>
      </c>
      <c r="B5094" s="1832">
        <f>'Revenues 9-14'!C73</f>
        <v>1888</v>
      </c>
      <c r="D5094" s="2" t="str">
        <f t="shared" si="78"/>
        <v>Error?</v>
      </c>
    </row>
    <row r="5095" spans="1:4" x14ac:dyDescent="0.2">
      <c r="A5095" s="5">
        <v>5034</v>
      </c>
      <c r="B5095" s="1832">
        <f>'Revenues 9-14'!C74</f>
        <v>55760</v>
      </c>
      <c r="D5095" s="2" t="str">
        <f t="shared" si="78"/>
        <v>Error?</v>
      </c>
    </row>
    <row r="5096" spans="1:4" x14ac:dyDescent="0.2">
      <c r="A5096" s="5">
        <v>5035</v>
      </c>
      <c r="B5096" s="1832">
        <f>'Revenues 9-14'!C75</f>
        <v>192493</v>
      </c>
      <c r="C5096" s="2" t="s">
        <v>569</v>
      </c>
      <c r="D5096" s="2" t="str">
        <f t="shared" si="78"/>
        <v>Error?</v>
      </c>
    </row>
    <row r="5097" spans="1:4" x14ac:dyDescent="0.2">
      <c r="A5097" s="5">
        <v>5036</v>
      </c>
      <c r="B5097" s="1832">
        <f>'Revenues 9-14'!C77</f>
        <v>59218</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59218</v>
      </c>
      <c r="C5102" s="2" t="s">
        <v>569</v>
      </c>
      <c r="D5102" s="2" t="str">
        <f t="shared" si="78"/>
        <v>Error?</v>
      </c>
    </row>
    <row r="5103" spans="1:4" x14ac:dyDescent="0.2">
      <c r="A5103" s="5">
        <v>5042</v>
      </c>
      <c r="B5103" s="1832">
        <f>'Revenues 9-14'!C84</f>
        <v>11465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11465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7647</v>
      </c>
      <c r="D5114" s="2" t="str">
        <f t="shared" si="78"/>
        <v>Error?</v>
      </c>
    </row>
    <row r="5115" spans="1:4" x14ac:dyDescent="0.2">
      <c r="A5115" s="5">
        <v>5054</v>
      </c>
      <c r="B5115" s="1832">
        <f>'Revenues 9-14'!C98</f>
        <v>468172</v>
      </c>
      <c r="D5115" s="2" t="str">
        <f t="shared" si="78"/>
        <v>Error?</v>
      </c>
    </row>
    <row r="5116" spans="1:4" x14ac:dyDescent="0.2">
      <c r="A5116" s="5">
        <v>5055</v>
      </c>
      <c r="B5116" s="1832">
        <f>'Revenues 9-14'!C99</f>
        <v>1931</v>
      </c>
      <c r="D5116" s="2" t="str">
        <f t="shared" si="78"/>
        <v>Error?</v>
      </c>
    </row>
    <row r="5117" spans="1:4" x14ac:dyDescent="0.2">
      <c r="A5117" s="5">
        <v>5056</v>
      </c>
      <c r="B5117" s="1832">
        <f>'Revenues 9-14'!C105</f>
        <v>1576</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491326</v>
      </c>
      <c r="C5120" s="2" t="s">
        <v>569</v>
      </c>
      <c r="D5120" s="2" t="str">
        <f t="shared" si="79"/>
        <v>Error?</v>
      </c>
    </row>
    <row r="5121" spans="1:4" x14ac:dyDescent="0.2">
      <c r="A5121" s="5">
        <v>5060</v>
      </c>
      <c r="B5121" s="1832">
        <f>'Revenues 9-14'!C109</f>
        <v>2796972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10549518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10549518</v>
      </c>
      <c r="C5132" s="2" t="s">
        <v>569</v>
      </c>
      <c r="D5132" s="2" t="str">
        <f t="shared" si="79"/>
        <v>Error?</v>
      </c>
    </row>
    <row r="5133" spans="1:4" x14ac:dyDescent="0.2">
      <c r="A5133" s="5">
        <v>5072</v>
      </c>
      <c r="B5133" s="1832">
        <f>'Revenues 9-14'!C125</f>
        <v>228492</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3647</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232139</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37184</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51271</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11580</v>
      </c>
      <c r="D5167" s="2" t="str">
        <f t="shared" si="79"/>
        <v>Error?</v>
      </c>
    </row>
    <row r="5168" spans="1:4" x14ac:dyDescent="0.2">
      <c r="A5168" s="5">
        <v>5107</v>
      </c>
      <c r="B5168" s="1832">
        <f>'Revenues 9-14'!C148</f>
        <v>14398</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569637</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1894</v>
      </c>
    </row>
    <row r="5200" spans="1:5" x14ac:dyDescent="0.2">
      <c r="A5200" s="10">
        <v>5139</v>
      </c>
      <c r="B5200" s="1832"/>
      <c r="D5200" s="2" t="str">
        <f t="shared" si="80"/>
        <v>OK</v>
      </c>
      <c r="E5200" s="4" t="s">
        <v>1894</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879025</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11428543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561023</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190834</v>
      </c>
      <c r="D5241" s="2" t="str">
        <f t="shared" si="80"/>
        <v>Error?</v>
      </c>
    </row>
    <row r="5242" spans="1:4" x14ac:dyDescent="0.2">
      <c r="A5242" s="5">
        <v>5181</v>
      </c>
      <c r="B5242" s="1832">
        <f>'Revenues 9-14'!C194</f>
        <v>337028</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1088885</v>
      </c>
      <c r="C5246" s="2" t="s">
        <v>569</v>
      </c>
      <c r="D5246" s="2" t="str">
        <f t="shared" si="80"/>
        <v>Error?</v>
      </c>
    </row>
    <row r="5247" spans="1:4" x14ac:dyDescent="0.2">
      <c r="A5247" s="5">
        <v>5186</v>
      </c>
      <c r="B5247" s="1832">
        <f>'Revenues 9-14'!C200</f>
        <v>945684</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1894</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1006883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23388</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527625</v>
      </c>
      <c r="D5278" s="2" t="str">
        <f t="shared" si="81"/>
        <v>Error?</v>
      </c>
    </row>
    <row r="5279" spans="1:4" x14ac:dyDescent="0.2">
      <c r="A5279" s="5">
        <v>5218</v>
      </c>
      <c r="B5279" s="1832">
        <f>'Revenues 9-14'!C214</f>
        <v>595624</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1146637</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1894</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4108867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4108867</v>
      </c>
      <c r="C5326" s="2" t="s">
        <v>569</v>
      </c>
      <c r="D5326" s="2" t="str">
        <f t="shared" si="82"/>
        <v>Error?</v>
      </c>
    </row>
    <row r="5327" spans="1:5" x14ac:dyDescent="0.2">
      <c r="A5327" s="5">
        <v>5266</v>
      </c>
      <c r="B5327" s="1832">
        <f>'Revenues 9-14'!C268</f>
        <v>18334382</v>
      </c>
      <c r="C5327" s="2" t="s">
        <v>569</v>
      </c>
      <c r="D5327" s="2" t="str">
        <f t="shared" si="82"/>
        <v>Error?</v>
      </c>
    </row>
    <row r="5328" spans="1:5" x14ac:dyDescent="0.2">
      <c r="A5328" s="5">
        <v>5267</v>
      </c>
      <c r="B5328" s="1832">
        <f>'Revenues 9-14'!D5</f>
        <v>398404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398404</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90820</v>
      </c>
      <c r="D5337" s="2" t="str">
        <f t="shared" si="82"/>
        <v>Error?</v>
      </c>
    </row>
    <row r="5338" spans="1:4" x14ac:dyDescent="0.2">
      <c r="A5338" s="5">
        <v>5277</v>
      </c>
      <c r="B5338" s="1832">
        <f>'Revenues 9-14'!D17</f>
        <v>1462</v>
      </c>
      <c r="D5338" s="2" t="str">
        <f t="shared" si="82"/>
        <v>Error?</v>
      </c>
    </row>
    <row r="5339" spans="1:4" x14ac:dyDescent="0.2">
      <c r="A5339" s="5">
        <v>5278</v>
      </c>
      <c r="B5339" s="1832">
        <f>'Revenues 9-14'!D18</f>
        <v>92282</v>
      </c>
      <c r="C5339" s="2" t="s">
        <v>569</v>
      </c>
      <c r="D5339" s="2" t="str">
        <f t="shared" si="82"/>
        <v>Error?</v>
      </c>
    </row>
    <row r="5340" spans="1:4" x14ac:dyDescent="0.2">
      <c r="A5340" s="5">
        <v>5279</v>
      </c>
      <c r="B5340" s="1832">
        <f>'Revenues 9-14'!D65</f>
        <v>36216</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36216</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4715</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151896</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157207</v>
      </c>
      <c r="C5355" s="2" t="s">
        <v>569</v>
      </c>
      <c r="D5355" s="2" t="str">
        <f t="shared" si="82"/>
        <v>Error?</v>
      </c>
    </row>
    <row r="5356" spans="1:4" x14ac:dyDescent="0.2">
      <c r="A5356" s="5">
        <v>5295</v>
      </c>
      <c r="B5356" s="1832">
        <f>'Revenues 9-14'!D109</f>
        <v>684109</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1987189</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1987189</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55000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105000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2092189</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1894</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41054</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41054</v>
      </c>
      <c r="C5507" s="2" t="s">
        <v>569</v>
      </c>
      <c r="D5507" s="2" t="str">
        <f t="shared" si="85"/>
        <v>Error?</v>
      </c>
    </row>
    <row r="5508" spans="1:4" x14ac:dyDescent="0.2">
      <c r="A5508" s="5">
        <v>5447</v>
      </c>
      <c r="B5508" s="1832">
        <f>'Revenues 9-14'!D268</f>
        <v>2817352</v>
      </c>
      <c r="C5508" s="2" t="s">
        <v>569</v>
      </c>
      <c r="D5508" s="2" t="str">
        <f t="shared" si="85"/>
        <v>Error?</v>
      </c>
    </row>
    <row r="5509" spans="1:4" x14ac:dyDescent="0.2">
      <c r="A5509" s="5">
        <v>5448</v>
      </c>
      <c r="B5509" s="1832">
        <f>'Revenues 9-14'!E5</f>
        <v>180519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180519</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670</v>
      </c>
      <c r="D5517" s="2" t="str">
        <f t="shared" si="85"/>
        <v>Error?</v>
      </c>
    </row>
    <row r="5518" spans="1:4" x14ac:dyDescent="0.2">
      <c r="A5518" s="5">
        <v>5457</v>
      </c>
      <c r="B5518" s="1832">
        <f>'Revenues 9-14'!E18</f>
        <v>670</v>
      </c>
      <c r="C5518" s="2" t="s">
        <v>569</v>
      </c>
      <c r="D5518" s="2" t="str">
        <f t="shared" si="85"/>
        <v>Error?</v>
      </c>
    </row>
    <row r="5519" spans="1:4" x14ac:dyDescent="0.2">
      <c r="A5519" s="5">
        <v>5458</v>
      </c>
      <c r="B5519" s="1832">
        <f>'Revenues 9-14'!E65</f>
        <v>35846</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35846</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549984</v>
      </c>
      <c r="C5526" s="2" t="s">
        <v>569</v>
      </c>
      <c r="D5526" s="2" t="str">
        <f t="shared" si="85"/>
        <v>Error?</v>
      </c>
    </row>
    <row r="5527" spans="1:4" x14ac:dyDescent="0.2">
      <c r="A5527" s="5">
        <v>5466</v>
      </c>
      <c r="B5527" s="1832">
        <f>'Revenues 9-14'!E109</f>
        <v>767019</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767019</v>
      </c>
      <c r="C5552" s="2" t="s">
        <v>569</v>
      </c>
      <c r="D5552" s="2" t="str">
        <f t="shared" si="85"/>
        <v>Error?</v>
      </c>
    </row>
    <row r="5553" spans="1:4" x14ac:dyDescent="0.2">
      <c r="A5553" s="5">
        <v>5492</v>
      </c>
      <c r="B5553" s="1832">
        <f>'Revenues 9-14'!F5</f>
        <v>159375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159375</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585</v>
      </c>
      <c r="D5561" s="2" t="str">
        <f t="shared" si="85"/>
        <v>Error?</v>
      </c>
    </row>
    <row r="5562" spans="1:4" x14ac:dyDescent="0.2">
      <c r="A5562" s="5">
        <v>5501</v>
      </c>
      <c r="B5562" s="1832">
        <f>'Revenues 9-14'!F18</f>
        <v>585</v>
      </c>
      <c r="C5562" s="2" t="s">
        <v>569</v>
      </c>
      <c r="D5562" s="2" t="str">
        <f t="shared" si="85"/>
        <v>Error?</v>
      </c>
    </row>
    <row r="5563" spans="1:4" x14ac:dyDescent="0.2">
      <c r="A5563" s="5">
        <v>5502</v>
      </c>
      <c r="B5563" s="1832">
        <f>'Revenues 9-14'!F42</f>
        <v>4078</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1730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5808</v>
      </c>
      <c r="C5579" s="2" t="s">
        <v>569</v>
      </c>
      <c r="D5579" s="2" t="str">
        <f t="shared" si="86"/>
        <v>Error?</v>
      </c>
    </row>
    <row r="5580" spans="1:4" x14ac:dyDescent="0.2">
      <c r="A5580" s="5">
        <v>5519</v>
      </c>
      <c r="B5580" s="1832">
        <f>'Revenues 9-14'!F65</f>
        <v>12723</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12723</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6240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6240</v>
      </c>
      <c r="C5587" s="2" t="s">
        <v>569</v>
      </c>
      <c r="D5587" s="2" t="str">
        <f t="shared" si="86"/>
        <v>Error?</v>
      </c>
    </row>
    <row r="5588" spans="1:4" x14ac:dyDescent="0.2">
      <c r="A5588" s="5">
        <v>5527</v>
      </c>
      <c r="B5588" s="1832">
        <f>'Revenues 9-14'!F109</f>
        <v>184731</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540721</v>
      </c>
      <c r="D5615" s="2" t="str">
        <f t="shared" si="86"/>
        <v>Error?</v>
      </c>
    </row>
    <row r="5616" spans="1:4" x14ac:dyDescent="0.2">
      <c r="A5616" s="10">
        <v>5555</v>
      </c>
      <c r="B5616" s="1832"/>
      <c r="D5616" s="2" t="str">
        <f t="shared" si="86"/>
        <v>OK</v>
      </c>
    </row>
    <row r="5617" spans="1:5" x14ac:dyDescent="0.2">
      <c r="A5617" s="5">
        <v>5556</v>
      </c>
      <c r="B5617" s="1832">
        <f>'Revenues 9-14'!F153</f>
        <v>130844</v>
      </c>
      <c r="D5617" s="2" t="str">
        <f t="shared" si="86"/>
        <v>Error?</v>
      </c>
    </row>
    <row r="5618" spans="1:5" x14ac:dyDescent="0.2">
      <c r="A5618" s="5">
        <v>5557</v>
      </c>
      <c r="B5618" s="1832">
        <f>'Revenues 9-14'!F155</f>
        <v>671565</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122000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1894</v>
      </c>
    </row>
    <row r="5631" spans="1:5" x14ac:dyDescent="0.2">
      <c r="A5631" s="10">
        <v>5570</v>
      </c>
      <c r="B5631" s="1832"/>
      <c r="D5631" s="2" t="str">
        <f t="shared" ref="D5631:D5694" si="87">IF(ISBLANK(B5631),"OK",IF(A5631-B5631=0,"OK","Error?"))</f>
        <v>OK</v>
      </c>
      <c r="E5631" s="4" t="s">
        <v>1894</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793565</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793565</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1894</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1894</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978296</v>
      </c>
      <c r="C5720" s="2" t="s">
        <v>569</v>
      </c>
      <c r="D5720" s="2" t="str">
        <f t="shared" si="88"/>
        <v>Error?</v>
      </c>
    </row>
    <row r="5721" spans="1:4" x14ac:dyDescent="0.2">
      <c r="A5721" s="5">
        <v>5660</v>
      </c>
      <c r="B5721" s="1832">
        <f>'Revenues 9-14'!G5</f>
        <v>312958</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382675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695633</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71093</v>
      </c>
      <c r="D5728" s="2" t="str">
        <f t="shared" si="88"/>
        <v>Error?</v>
      </c>
    </row>
    <row r="5729" spans="1:4" x14ac:dyDescent="0.2">
      <c r="A5729" s="5">
        <v>5668</v>
      </c>
      <c r="B5729" s="1832">
        <f>'Revenues 9-14'!G17</f>
        <v>2576</v>
      </c>
      <c r="D5729" s="2" t="str">
        <f t="shared" si="88"/>
        <v>Error?</v>
      </c>
    </row>
    <row r="5730" spans="1:4" x14ac:dyDescent="0.2">
      <c r="A5730" s="5">
        <v>5669</v>
      </c>
      <c r="B5730" s="1832">
        <f>'Revenues 9-14'!G18</f>
        <v>73669</v>
      </c>
      <c r="C5730" s="2" t="s">
        <v>569</v>
      </c>
      <c r="D5730" s="2" t="str">
        <f t="shared" si="88"/>
        <v>Error?</v>
      </c>
    </row>
    <row r="5731" spans="1:4" x14ac:dyDescent="0.2">
      <c r="A5731" s="5">
        <v>5670</v>
      </c>
      <c r="B5731" s="1832">
        <f>'Revenues 9-14'!G65</f>
        <v>21001</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21001</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1894</v>
      </c>
    </row>
    <row r="5768" spans="1:5" x14ac:dyDescent="0.2">
      <c r="A5768" s="10">
        <v>5707</v>
      </c>
      <c r="B5768" s="1832"/>
      <c r="D5768" s="2" t="str">
        <f t="shared" si="89"/>
        <v>OK</v>
      </c>
      <c r="E5768" s="4" t="s">
        <v>1894</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1894</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1894</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790303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50000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50000</v>
      </c>
      <c r="C5878" s="2" t="s">
        <v>569</v>
      </c>
      <c r="D5878" s="2" t="str">
        <f t="shared" si="90"/>
        <v>Error?</v>
      </c>
    </row>
    <row r="5879" spans="1:4" x14ac:dyDescent="0.2">
      <c r="A5879" s="5">
        <v>5818</v>
      </c>
      <c r="B5879" s="1832">
        <f>'Revenues 9-14'!H65</f>
        <v>20000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20000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188435</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800132</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800132</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1058567</v>
      </c>
      <c r="C5915" s="2" t="s">
        <v>569</v>
      </c>
      <c r="D5915" s="2" t="str">
        <f t="shared" si="91"/>
        <v>Error?</v>
      </c>
    </row>
    <row r="5916" spans="1:4" x14ac:dyDescent="0.2">
      <c r="A5916" s="5">
        <v>5855</v>
      </c>
      <c r="B5916" s="1832">
        <f>'Revenues 9-14'!I5</f>
        <v>39861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39861</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146</v>
      </c>
      <c r="D5922" s="2" t="str">
        <f t="shared" si="91"/>
        <v>Error?</v>
      </c>
    </row>
    <row r="5923" spans="1:4" x14ac:dyDescent="0.2">
      <c r="A5923" s="5">
        <v>5862</v>
      </c>
      <c r="B5923" s="1832">
        <f>'Revenues 9-14'!I18</f>
        <v>146</v>
      </c>
      <c r="C5923" s="2" t="s">
        <v>569</v>
      </c>
      <c r="D5923" s="2" t="str">
        <f t="shared" si="91"/>
        <v>Error?</v>
      </c>
    </row>
    <row r="5924" spans="1:4" x14ac:dyDescent="0.2">
      <c r="A5924" s="5">
        <v>5863</v>
      </c>
      <c r="B5924" s="1832">
        <f>'Revenues 9-14'!I65</f>
        <v>11722</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11722</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51729</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39861</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39861</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146</v>
      </c>
      <c r="D5991" s="2" t="str">
        <f t="shared" si="92"/>
        <v>Error?</v>
      </c>
    </row>
    <row r="5992" spans="1:4" x14ac:dyDescent="0.2">
      <c r="A5992" s="5">
        <v>5931</v>
      </c>
      <c r="B5992" s="1832">
        <f>'Revenues 9-14'!K18</f>
        <v>146</v>
      </c>
      <c r="C5992" s="2" t="s">
        <v>569</v>
      </c>
      <c r="D5992" s="2" t="str">
        <f t="shared" si="92"/>
        <v>Error?</v>
      </c>
    </row>
    <row r="5993" spans="1:4" x14ac:dyDescent="0.2">
      <c r="A5993" s="5">
        <v>5932</v>
      </c>
      <c r="B5993" s="1832">
        <f>'Revenues 9-14'!K65</f>
        <v>1711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1711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41718</v>
      </c>
      <c r="C6023" s="2" t="s">
        <v>569</v>
      </c>
      <c r="D6023" s="2" t="str">
        <f t="shared" si="93"/>
        <v>Error?</v>
      </c>
    </row>
    <row r="6024" spans="1:5" x14ac:dyDescent="0.2">
      <c r="A6024" s="5">
        <v>5963</v>
      </c>
      <c r="B6024" s="1832">
        <f>'Revenues 9-14'!G109</f>
        <v>790303</v>
      </c>
      <c r="C6024" s="2" t="s">
        <v>569</v>
      </c>
      <c r="D6024" s="2" t="str">
        <f t="shared" si="93"/>
        <v>Error?</v>
      </c>
    </row>
    <row r="6025" spans="1:5" x14ac:dyDescent="0.2">
      <c r="A6025" s="5">
        <v>5964</v>
      </c>
      <c r="B6025" s="1832">
        <f>'Revenues 9-14'!H109</f>
        <v>258435</v>
      </c>
      <c r="C6025" s="2" t="s">
        <v>569</v>
      </c>
      <c r="D6025" s="2" t="str">
        <f t="shared" si="93"/>
        <v>Error?</v>
      </c>
    </row>
    <row r="6026" spans="1:5" x14ac:dyDescent="0.2">
      <c r="A6026" s="5">
        <v>5965</v>
      </c>
      <c r="B6026" s="1832">
        <f>'Revenues 9-14'!I109</f>
        <v>51729</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41718</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81331</v>
      </c>
      <c r="D6031" s="2" t="str">
        <f t="shared" si="93"/>
        <v>Error?</v>
      </c>
    </row>
    <row r="6032" spans="1:5" x14ac:dyDescent="0.2">
      <c r="A6032" s="5">
        <v>5971</v>
      </c>
      <c r="B6032" s="1832">
        <f>'Acct Summary 7-8'!G15</f>
        <v>56788</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100914</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1785.9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209028</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209028</v>
      </c>
      <c r="D6215" s="2" t="str">
        <f t="shared" si="96"/>
        <v>Error?</v>
      </c>
      <c r="E6215" s="2" t="s">
        <v>189</v>
      </c>
    </row>
    <row r="6216" spans="1:5" x14ac:dyDescent="0.2">
      <c r="A6216">
        <v>6155</v>
      </c>
      <c r="B6216" s="1832">
        <f>'Assets-Liab 5-6'!J41</f>
        <v>209028</v>
      </c>
      <c r="D6216" s="2" t="str">
        <f t="shared" si="96"/>
        <v>Error?</v>
      </c>
      <c r="E6216" s="2" t="s">
        <v>189</v>
      </c>
    </row>
    <row r="6217" spans="1:5" x14ac:dyDescent="0.2">
      <c r="A6217">
        <v>6156</v>
      </c>
      <c r="B6217" s="1832">
        <f>'Assets-Liab 5-6'!J4</f>
        <v>209028</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598360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598360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598360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619590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619590</v>
      </c>
      <c r="D6229" s="2" t="str">
        <f t="shared" si="96"/>
        <v>Error?</v>
      </c>
      <c r="E6229" s="2" t="s">
        <v>189</v>
      </c>
    </row>
    <row r="6230" spans="1:5" x14ac:dyDescent="0.2">
      <c r="A6230">
        <v>6169</v>
      </c>
      <c r="B6230" s="1832">
        <f>'Acct Summary 7-8'!J20</f>
        <v>-21230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-21230</v>
      </c>
      <c r="D6263" s="2" t="str">
        <f t="shared" si="96"/>
        <v>Error?</v>
      </c>
      <c r="E6263" s="2" t="s">
        <v>189</v>
      </c>
    </row>
    <row r="6264" spans="1:5" x14ac:dyDescent="0.2">
      <c r="A6264">
        <v>6203</v>
      </c>
      <c r="B6264" s="1832">
        <f>'Acct Summary 7-8'!J79</f>
        <v>230258</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209028</v>
      </c>
      <c r="D6266" s="2" t="str">
        <f t="shared" si="96"/>
        <v>Error?</v>
      </c>
      <c r="E6266" s="2" t="s">
        <v>189</v>
      </c>
    </row>
    <row r="6267" spans="1:5" x14ac:dyDescent="0.2">
      <c r="A6267">
        <v>6206</v>
      </c>
      <c r="B6267" s="1832">
        <f>'Acct Summary 7-8'!C82</f>
        <v>838649</v>
      </c>
      <c r="D6267" s="2" t="str">
        <f t="shared" si="96"/>
        <v>Error?</v>
      </c>
      <c r="E6267" s="2" t="s">
        <v>189</v>
      </c>
    </row>
    <row r="6268" spans="1:5" x14ac:dyDescent="0.2">
      <c r="A6268">
        <v>6207</v>
      </c>
      <c r="B6268" s="1832">
        <f>'Acct Summary 7-8'!D82</f>
        <v>321164</v>
      </c>
      <c r="D6268" s="2" t="str">
        <f t="shared" si="96"/>
        <v>Error?</v>
      </c>
      <c r="E6268" s="2" t="s">
        <v>189</v>
      </c>
    </row>
    <row r="6269" spans="1:5" x14ac:dyDescent="0.2">
      <c r="A6269">
        <v>6208</v>
      </c>
      <c r="B6269" s="1832">
        <f>'Acct Summary 7-8'!E82</f>
        <v>55041</v>
      </c>
      <c r="D6269" s="2" t="str">
        <f t="shared" si="96"/>
        <v>Error?</v>
      </c>
      <c r="E6269" s="2" t="s">
        <v>189</v>
      </c>
    </row>
    <row r="6270" spans="1:5" x14ac:dyDescent="0.2">
      <c r="A6270">
        <v>6209</v>
      </c>
      <c r="B6270" s="1832">
        <f>'Acct Summary 7-8'!F82</f>
        <v>121771</v>
      </c>
      <c r="D6270" s="2" t="str">
        <f t="shared" si="96"/>
        <v>Error?</v>
      </c>
      <c r="E6270" s="2" t="s">
        <v>189</v>
      </c>
    </row>
    <row r="6271" spans="1:5" x14ac:dyDescent="0.2">
      <c r="A6271">
        <v>6210</v>
      </c>
      <c r="B6271" s="1832">
        <f>'Acct Summary 7-8'!G82</f>
        <v>31201</v>
      </c>
      <c r="D6271" s="2" t="str">
        <f t="shared" ref="D6271:D6334" si="97">IF(ISBLANK(B6271),"OK",IF(A6271-B6271=0,"OK","Error?"))</f>
        <v>Error?</v>
      </c>
      <c r="E6271" s="2" t="s">
        <v>189</v>
      </c>
    </row>
    <row r="6272" spans="1:5" x14ac:dyDescent="0.2">
      <c r="A6272">
        <v>6211</v>
      </c>
      <c r="B6272" s="1832">
        <f>'Acct Summary 7-8'!H82</f>
        <v>-6201</v>
      </c>
      <c r="D6272" s="2" t="str">
        <f t="shared" si="97"/>
        <v>Error?</v>
      </c>
      <c r="E6272" s="2" t="s">
        <v>189</v>
      </c>
    </row>
    <row r="6273" spans="1:5" x14ac:dyDescent="0.2">
      <c r="A6273">
        <v>6212</v>
      </c>
      <c r="B6273" s="1832">
        <f>'Acct Summary 7-8'!I82</f>
        <v>51729</v>
      </c>
      <c r="D6273" s="2" t="str">
        <f t="shared" si="97"/>
        <v>Error?</v>
      </c>
      <c r="E6273" s="2" t="s">
        <v>189</v>
      </c>
    </row>
    <row r="6274" spans="1:5" x14ac:dyDescent="0.2">
      <c r="A6274">
        <v>6213</v>
      </c>
      <c r="B6274" s="1832">
        <f>'Acct Summary 7-8'!J82</f>
        <v>-21230</v>
      </c>
      <c r="D6274" s="2" t="str">
        <f t="shared" si="97"/>
        <v>Error?</v>
      </c>
      <c r="E6274" s="2" t="s">
        <v>189</v>
      </c>
    </row>
    <row r="6275" spans="1:5" x14ac:dyDescent="0.2">
      <c r="A6275">
        <v>6214</v>
      </c>
      <c r="B6275" s="1832">
        <f>'Acct Summary 7-8'!K82</f>
        <v>-9785</v>
      </c>
      <c r="D6275" s="2" t="str">
        <f t="shared" si="97"/>
        <v>Error?</v>
      </c>
      <c r="E6275" s="2" t="s">
        <v>189</v>
      </c>
    </row>
    <row r="6276" spans="1:5" x14ac:dyDescent="0.2">
      <c r="A6276">
        <v>6215</v>
      </c>
      <c r="B6276" s="1832">
        <f>'Acct Summary 7-8'!C83</f>
        <v>8.584159149568954E-2</v>
      </c>
      <c r="D6276" s="2" t="str">
        <f t="shared" si="97"/>
        <v>Error?</v>
      </c>
      <c r="E6276" s="2" t="s">
        <v>189</v>
      </c>
    </row>
    <row r="6277" spans="1:5" x14ac:dyDescent="0.2">
      <c r="A6277">
        <v>6216</v>
      </c>
      <c r="B6277" s="1832">
        <f>'Acct Summary 7-8'!D83</f>
        <v>0.14605719607875239</v>
      </c>
      <c r="D6277" s="2" t="str">
        <f t="shared" si="97"/>
        <v>Error?</v>
      </c>
      <c r="E6277" s="2" t="s">
        <v>189</v>
      </c>
    </row>
    <row r="6278" spans="1:5" x14ac:dyDescent="0.2">
      <c r="A6278">
        <v>6217</v>
      </c>
      <c r="B6278" s="1832">
        <f>'Acct Summary 7-8'!E83</f>
        <v>2.7817957418677923E-2</v>
      </c>
      <c r="D6278" s="2" t="str">
        <f t="shared" si="97"/>
        <v>Error?</v>
      </c>
      <c r="E6278" s="2" t="s">
        <v>189</v>
      </c>
    </row>
    <row r="6279" spans="1:5" x14ac:dyDescent="0.2">
      <c r="A6279">
        <v>6218</v>
      </c>
      <c r="B6279" s="1832">
        <f>'Acct Summary 7-8'!F83</f>
        <v>0.12779433016360101</v>
      </c>
      <c r="D6279" s="2" t="str">
        <f t="shared" si="97"/>
        <v>Error?</v>
      </c>
      <c r="E6279" s="2" t="s">
        <v>189</v>
      </c>
    </row>
    <row r="6280" spans="1:5" x14ac:dyDescent="0.2">
      <c r="A6280">
        <v>6219</v>
      </c>
      <c r="B6280" s="1832">
        <f>'Acct Summary 7-8'!G83</f>
        <v>3.0959761538095161E-2</v>
      </c>
      <c r="D6280" s="2" t="str">
        <f t="shared" si="97"/>
        <v>Error?</v>
      </c>
      <c r="E6280" s="2" t="s">
        <v>189</v>
      </c>
    </row>
    <row r="6281" spans="1:5" x14ac:dyDescent="0.2">
      <c r="A6281">
        <v>6220</v>
      </c>
      <c r="B6281" s="1832">
        <f>'Acct Summary 7-8'!H83</f>
        <v>-5.1451742314805671E-3</v>
      </c>
      <c r="D6281" s="2" t="str">
        <f t="shared" si="97"/>
        <v>Error?</v>
      </c>
      <c r="E6281" s="2" t="s">
        <v>189</v>
      </c>
    </row>
    <row r="6282" spans="1:5" x14ac:dyDescent="0.2">
      <c r="A6282">
        <v>6221</v>
      </c>
      <c r="B6282" s="1832">
        <f>'Acct Summary 7-8'!I83</f>
        <v>8.8039920825511472E-2</v>
      </c>
      <c r="D6282" s="2" t="str">
        <f t="shared" si="97"/>
        <v>Error?</v>
      </c>
      <c r="E6282" s="2" t="s">
        <v>189</v>
      </c>
    </row>
    <row r="6283" spans="1:5" x14ac:dyDescent="0.2">
      <c r="A6283">
        <v>6222</v>
      </c>
      <c r="B6283" s="1832">
        <f>'Acct Summary 7-8'!J83</f>
        <v>-0.10156534052854163</v>
      </c>
      <c r="D6283" s="2" t="str">
        <f t="shared" si="97"/>
        <v>Error?</v>
      </c>
      <c r="E6283" s="2" t="s">
        <v>189</v>
      </c>
    </row>
    <row r="6284" spans="1:5" x14ac:dyDescent="0.2">
      <c r="A6284">
        <v>6223</v>
      </c>
      <c r="B6284" s="1832">
        <f>'Acct Summary 7-8'!K83</f>
        <v>-0.10483404401208511</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595996</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595996</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2202</v>
      </c>
      <c r="D6305" s="2" t="str">
        <f t="shared" si="97"/>
        <v>Error?</v>
      </c>
      <c r="E6305" s="2" t="s">
        <v>189</v>
      </c>
    </row>
    <row r="6306" spans="1:5" x14ac:dyDescent="0.2">
      <c r="A6306">
        <v>6245</v>
      </c>
      <c r="B6306" s="1832">
        <f>'Revenues 9-14'!J18</f>
        <v>2202</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162</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162</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596</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12000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598360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14087</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1893</v>
      </c>
    </row>
    <row r="6383" spans="1:6" x14ac:dyDescent="0.2">
      <c r="A6383" s="126">
        <v>6322</v>
      </c>
      <c r="B6383" s="1832"/>
      <c r="D6383" s="2" t="str">
        <f t="shared" si="98"/>
        <v>OK</v>
      </c>
      <c r="E6383" s="2" t="s">
        <v>189</v>
      </c>
      <c r="F6383" s="1" t="s">
        <v>1893</v>
      </c>
    </row>
    <row r="6384" spans="1:6" x14ac:dyDescent="0.2">
      <c r="A6384" s="126">
        <v>6323</v>
      </c>
      <c r="B6384" s="1832"/>
      <c r="D6384" s="2" t="str">
        <f t="shared" si="98"/>
        <v>OK</v>
      </c>
      <c r="E6384" s="2" t="s">
        <v>189</v>
      </c>
      <c r="F6384" s="1" t="s">
        <v>1893</v>
      </c>
    </row>
    <row r="6385" spans="1:6" x14ac:dyDescent="0.2">
      <c r="A6385" s="126">
        <v>6324</v>
      </c>
      <c r="B6385" s="1832"/>
      <c r="D6385" s="2" t="str">
        <f t="shared" si="98"/>
        <v>OK</v>
      </c>
      <c r="E6385" s="2" t="s">
        <v>189</v>
      </c>
      <c r="F6385" s="1" t="s">
        <v>1893</v>
      </c>
    </row>
    <row r="6386" spans="1:6" x14ac:dyDescent="0.2">
      <c r="A6386" s="126">
        <v>6325</v>
      </c>
      <c r="B6386" s="1832"/>
      <c r="D6386" s="2" t="str">
        <f t="shared" si="98"/>
        <v>OK</v>
      </c>
      <c r="E6386" s="2" t="s">
        <v>189</v>
      </c>
      <c r="F6386" s="1" t="s">
        <v>1893</v>
      </c>
    </row>
    <row r="6387" spans="1:6" x14ac:dyDescent="0.2">
      <c r="A6387" s="126">
        <v>6326</v>
      </c>
      <c r="B6387" s="1832"/>
      <c r="D6387" s="2" t="str">
        <f t="shared" si="98"/>
        <v>OK</v>
      </c>
      <c r="E6387" s="2" t="s">
        <v>189</v>
      </c>
      <c r="F6387" s="1" t="s">
        <v>1893</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1893</v>
      </c>
    </row>
    <row r="6411" spans="1:6" x14ac:dyDescent="0.2">
      <c r="A6411" s="126">
        <v>6350</v>
      </c>
      <c r="B6411" s="1832"/>
      <c r="D6411" s="2" t="str">
        <f t="shared" si="99"/>
        <v>OK</v>
      </c>
      <c r="E6411" s="2" t="s">
        <v>189</v>
      </c>
      <c r="F6411" s="1" t="s">
        <v>1893</v>
      </c>
    </row>
    <row r="6412" spans="1:6" x14ac:dyDescent="0.2">
      <c r="A6412" s="126">
        <v>6351</v>
      </c>
      <c r="B6412" s="1832"/>
      <c r="D6412" s="2" t="str">
        <f t="shared" si="99"/>
        <v>OK</v>
      </c>
      <c r="E6412" s="2" t="s">
        <v>189</v>
      </c>
      <c r="F6412" s="1" t="s">
        <v>1893</v>
      </c>
    </row>
    <row r="6413" spans="1:6" x14ac:dyDescent="0.2">
      <c r="A6413" s="126">
        <v>6352</v>
      </c>
      <c r="B6413" s="1832"/>
      <c r="D6413" s="2" t="str">
        <f t="shared" si="99"/>
        <v>OK</v>
      </c>
      <c r="E6413" s="2" t="s">
        <v>189</v>
      </c>
      <c r="F6413" s="1" t="s">
        <v>1893</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1989</v>
      </c>
    </row>
    <row r="6417" spans="1:5" x14ac:dyDescent="0.2">
      <c r="A6417" s="126">
        <v>6356</v>
      </c>
      <c r="B6417" s="1832"/>
      <c r="D6417" s="2" t="str">
        <f t="shared" si="99"/>
        <v>OK</v>
      </c>
      <c r="E6417" s="4" t="s">
        <v>1989</v>
      </c>
    </row>
    <row r="6418" spans="1:5" x14ac:dyDescent="0.2">
      <c r="A6418" s="126">
        <v>6357</v>
      </c>
      <c r="B6418" s="1832"/>
      <c r="D6418" s="2" t="str">
        <f t="shared" si="99"/>
        <v>OK</v>
      </c>
      <c r="E6418" s="4" t="s">
        <v>1989</v>
      </c>
    </row>
    <row r="6419" spans="1:5" x14ac:dyDescent="0.2">
      <c r="A6419" s="126">
        <v>6358</v>
      </c>
      <c r="B6419" s="1832"/>
      <c r="D6419" s="2" t="str">
        <f t="shared" si="99"/>
        <v>OK</v>
      </c>
      <c r="E6419" s="4" t="s">
        <v>1989</v>
      </c>
    </row>
    <row r="6420" spans="1:5" x14ac:dyDescent="0.2">
      <c r="A6420" s="126">
        <v>6359</v>
      </c>
      <c r="B6420" s="1832"/>
      <c r="D6420" s="2" t="str">
        <f t="shared" si="99"/>
        <v>OK</v>
      </c>
      <c r="E6420" s="4" t="s">
        <v>1989</v>
      </c>
    </row>
    <row r="6421" spans="1:5" x14ac:dyDescent="0.2">
      <c r="A6421" s="126">
        <v>6360</v>
      </c>
      <c r="B6421" s="1832"/>
      <c r="D6421" s="2" t="str">
        <f t="shared" si="99"/>
        <v>OK</v>
      </c>
      <c r="E6421" s="4" t="s">
        <v>1989</v>
      </c>
    </row>
    <row r="6422" spans="1:5" x14ac:dyDescent="0.2">
      <c r="A6422" s="126">
        <v>6361</v>
      </c>
      <c r="B6422" s="1832"/>
      <c r="D6422" s="2" t="str">
        <f t="shared" si="99"/>
        <v>OK</v>
      </c>
      <c r="E6422" s="4" t="s">
        <v>1989</v>
      </c>
    </row>
    <row r="6423" spans="1:5" x14ac:dyDescent="0.2">
      <c r="A6423" s="126">
        <v>6362</v>
      </c>
      <c r="B6423" s="1832"/>
      <c r="D6423" s="2" t="str">
        <f t="shared" si="99"/>
        <v>OK</v>
      </c>
      <c r="E6423" s="4" t="s">
        <v>1989</v>
      </c>
    </row>
    <row r="6424" spans="1:5" x14ac:dyDescent="0.2">
      <c r="A6424" s="126">
        <v>6363</v>
      </c>
      <c r="B6424" s="1832"/>
      <c r="D6424" s="2" t="str">
        <f t="shared" si="99"/>
        <v>OK</v>
      </c>
      <c r="E6424" s="4" t="s">
        <v>1989</v>
      </c>
    </row>
    <row r="6425" spans="1:5" x14ac:dyDescent="0.2">
      <c r="A6425" s="126">
        <v>6364</v>
      </c>
      <c r="B6425" s="1832"/>
      <c r="D6425" s="2" t="str">
        <f t="shared" si="99"/>
        <v>OK</v>
      </c>
      <c r="E6425" s="4" t="s">
        <v>1989</v>
      </c>
    </row>
    <row r="6426" spans="1:5" x14ac:dyDescent="0.2">
      <c r="A6426" s="126">
        <v>6365</v>
      </c>
      <c r="B6426" s="1832"/>
      <c r="D6426" s="2" t="str">
        <f t="shared" si="99"/>
        <v>OK</v>
      </c>
      <c r="E6426" s="4" t="s">
        <v>1989</v>
      </c>
    </row>
    <row r="6427" spans="1:5" x14ac:dyDescent="0.2">
      <c r="A6427" s="126">
        <v>6366</v>
      </c>
      <c r="B6427" s="1832"/>
      <c r="D6427" s="2" t="str">
        <f t="shared" si="99"/>
        <v>OK</v>
      </c>
      <c r="E6427" s="4" t="s">
        <v>1989</v>
      </c>
    </row>
    <row r="6428" spans="1:5" x14ac:dyDescent="0.2">
      <c r="A6428" s="126">
        <v>6367</v>
      </c>
      <c r="B6428" s="1832"/>
      <c r="D6428" s="2" t="str">
        <f t="shared" si="99"/>
        <v>OK</v>
      </c>
      <c r="E6428" s="4" t="s">
        <v>1989</v>
      </c>
    </row>
    <row r="6429" spans="1:5" x14ac:dyDescent="0.2">
      <c r="A6429" s="126">
        <v>6368</v>
      </c>
      <c r="B6429" s="1832"/>
      <c r="D6429" s="2" t="str">
        <f t="shared" si="99"/>
        <v>OK</v>
      </c>
      <c r="E6429" s="4" t="s">
        <v>1989</v>
      </c>
    </row>
    <row r="6430" spans="1:5" x14ac:dyDescent="0.2">
      <c r="A6430" s="126">
        <v>6369</v>
      </c>
      <c r="B6430" s="1832"/>
      <c r="D6430" s="2" t="str">
        <f t="shared" si="99"/>
        <v>OK</v>
      </c>
      <c r="E6430" s="4" t="s">
        <v>1989</v>
      </c>
    </row>
    <row r="6431" spans="1:5" x14ac:dyDescent="0.2">
      <c r="A6431" s="126">
        <v>6370</v>
      </c>
      <c r="B6431" s="1832"/>
      <c r="D6431" s="2" t="str">
        <f t="shared" si="99"/>
        <v>OK</v>
      </c>
      <c r="E6431" s="4" t="s">
        <v>1989</v>
      </c>
    </row>
    <row r="6432" spans="1:5" x14ac:dyDescent="0.2">
      <c r="A6432" s="126">
        <v>6371</v>
      </c>
      <c r="B6432" s="1832"/>
      <c r="D6432" s="2" t="str">
        <f t="shared" si="99"/>
        <v>OK</v>
      </c>
      <c r="E6432" s="4" t="s">
        <v>1989</v>
      </c>
    </row>
    <row r="6433" spans="1:5" x14ac:dyDescent="0.2">
      <c r="A6433" s="126">
        <v>6372</v>
      </c>
      <c r="B6433" s="1832"/>
      <c r="D6433" s="2" t="str">
        <f t="shared" si="99"/>
        <v>OK</v>
      </c>
      <c r="E6433" s="4" t="s">
        <v>1989</v>
      </c>
    </row>
    <row r="6434" spans="1:5" x14ac:dyDescent="0.2">
      <c r="A6434" s="126">
        <v>6373</v>
      </c>
      <c r="B6434" s="1832"/>
      <c r="D6434" s="2" t="str">
        <f t="shared" si="99"/>
        <v>OK</v>
      </c>
      <c r="E6434" s="4" t="s">
        <v>1989</v>
      </c>
    </row>
    <row r="6435" spans="1:5" x14ac:dyDescent="0.2">
      <c r="A6435" s="126">
        <v>6374</v>
      </c>
      <c r="B6435" s="1832"/>
      <c r="D6435" s="2" t="str">
        <f t="shared" si="99"/>
        <v>OK</v>
      </c>
      <c r="E6435" s="4" t="s">
        <v>1989</v>
      </c>
    </row>
    <row r="6436" spans="1:5" x14ac:dyDescent="0.2">
      <c r="A6436" s="126">
        <v>6375</v>
      </c>
      <c r="B6436" s="1832"/>
      <c r="D6436" s="2" t="str">
        <f t="shared" si="99"/>
        <v>OK</v>
      </c>
      <c r="E6436" s="4" t="s">
        <v>1989</v>
      </c>
    </row>
    <row r="6437" spans="1:5" x14ac:dyDescent="0.2">
      <c r="A6437" s="126">
        <v>6376</v>
      </c>
      <c r="B6437" s="1832"/>
      <c r="D6437" s="2" t="str">
        <f t="shared" si="99"/>
        <v>OK</v>
      </c>
      <c r="E6437" s="4" t="s">
        <v>1989</v>
      </c>
    </row>
    <row r="6438" spans="1:5" x14ac:dyDescent="0.2">
      <c r="A6438" s="126">
        <v>6377</v>
      </c>
      <c r="B6438" s="1832"/>
      <c r="D6438" s="2" t="str">
        <f t="shared" si="99"/>
        <v>OK</v>
      </c>
      <c r="E6438" s="4" t="s">
        <v>1989</v>
      </c>
    </row>
    <row r="6439" spans="1:5" x14ac:dyDescent="0.2">
      <c r="A6439" s="126">
        <v>6378</v>
      </c>
      <c r="B6439" s="1832"/>
      <c r="D6439" s="2" t="str">
        <f t="shared" si="99"/>
        <v>OK</v>
      </c>
      <c r="E6439" s="4" t="s">
        <v>1989</v>
      </c>
    </row>
    <row r="6440" spans="1:5" x14ac:dyDescent="0.2">
      <c r="A6440" s="126">
        <v>6379</v>
      </c>
      <c r="B6440" s="1832"/>
      <c r="D6440" s="2" t="str">
        <f t="shared" si="99"/>
        <v>OK</v>
      </c>
      <c r="E6440" s="4" t="s">
        <v>1989</v>
      </c>
    </row>
    <row r="6441" spans="1:5" x14ac:dyDescent="0.2">
      <c r="A6441" s="126">
        <v>6380</v>
      </c>
      <c r="B6441" s="1832"/>
      <c r="D6441" s="2" t="str">
        <f t="shared" si="99"/>
        <v>OK</v>
      </c>
      <c r="E6441" s="4" t="s">
        <v>1989</v>
      </c>
    </row>
    <row r="6442" spans="1:5" x14ac:dyDescent="0.2">
      <c r="A6442" s="126">
        <v>6381</v>
      </c>
      <c r="B6442" s="1832"/>
      <c r="D6442" s="2" t="str">
        <f t="shared" si="99"/>
        <v>OK</v>
      </c>
      <c r="E6442" s="4" t="s">
        <v>1989</v>
      </c>
    </row>
    <row r="6443" spans="1:5" x14ac:dyDescent="0.2">
      <c r="A6443" s="126">
        <v>6382</v>
      </c>
      <c r="B6443" s="1832"/>
      <c r="D6443" s="2" t="str">
        <f t="shared" si="99"/>
        <v>OK</v>
      </c>
      <c r="E6443" s="4" t="s">
        <v>1989</v>
      </c>
    </row>
    <row r="6444" spans="1:5" x14ac:dyDescent="0.2">
      <c r="A6444" s="126">
        <v>6383</v>
      </c>
      <c r="B6444" s="1832"/>
      <c r="D6444" s="2" t="str">
        <f t="shared" si="99"/>
        <v>OK</v>
      </c>
      <c r="E6444" s="4" t="s">
        <v>1989</v>
      </c>
    </row>
    <row r="6445" spans="1:5" x14ac:dyDescent="0.2">
      <c r="A6445" s="126">
        <v>6384</v>
      </c>
      <c r="B6445" s="1832"/>
      <c r="D6445" s="2" t="str">
        <f t="shared" si="99"/>
        <v>OK</v>
      </c>
      <c r="E6445" s="4" t="s">
        <v>1989</v>
      </c>
    </row>
    <row r="6446" spans="1:5" x14ac:dyDescent="0.2">
      <c r="A6446" s="126">
        <v>6385</v>
      </c>
      <c r="B6446" s="1832"/>
      <c r="D6446" s="2" t="str">
        <f t="shared" si="99"/>
        <v>OK</v>
      </c>
      <c r="E6446" s="4" t="s">
        <v>1989</v>
      </c>
    </row>
    <row r="6447" spans="1:5" x14ac:dyDescent="0.2">
      <c r="A6447" s="126">
        <v>6386</v>
      </c>
      <c r="B6447" s="1832"/>
      <c r="D6447" s="2" t="str">
        <f t="shared" si="99"/>
        <v>OK</v>
      </c>
      <c r="E6447" s="4" t="s">
        <v>1989</v>
      </c>
    </row>
    <row r="6448" spans="1:5" x14ac:dyDescent="0.2">
      <c r="A6448" s="126">
        <v>6387</v>
      </c>
      <c r="B6448" s="1832"/>
      <c r="D6448" s="2" t="str">
        <f t="shared" si="99"/>
        <v>OK</v>
      </c>
      <c r="E6448" s="4" t="s">
        <v>1989</v>
      </c>
    </row>
    <row r="6449" spans="1:5" x14ac:dyDescent="0.2">
      <c r="A6449" s="126">
        <v>6388</v>
      </c>
      <c r="B6449" s="1832"/>
      <c r="D6449" s="2" t="str">
        <f t="shared" si="99"/>
        <v>OK</v>
      </c>
      <c r="E6449" s="4" t="s">
        <v>1989</v>
      </c>
    </row>
    <row r="6450" spans="1:5" x14ac:dyDescent="0.2">
      <c r="A6450" s="126">
        <v>6389</v>
      </c>
      <c r="B6450" s="1832"/>
      <c r="D6450" s="2" t="str">
        <f t="shared" si="99"/>
        <v>OK</v>
      </c>
      <c r="E6450" s="4" t="s">
        <v>1989</v>
      </c>
    </row>
    <row r="6451" spans="1:5" x14ac:dyDescent="0.2">
      <c r="A6451" s="126">
        <v>6390</v>
      </c>
      <c r="B6451" s="1832"/>
      <c r="D6451" s="2" t="str">
        <f t="shared" si="99"/>
        <v>OK</v>
      </c>
      <c r="E6451" s="4" t="s">
        <v>1989</v>
      </c>
    </row>
    <row r="6452" spans="1:5" x14ac:dyDescent="0.2">
      <c r="A6452" s="126">
        <v>6391</v>
      </c>
      <c r="B6452" s="1832"/>
      <c r="D6452" s="2" t="str">
        <f t="shared" si="99"/>
        <v>OK</v>
      </c>
      <c r="E6452" s="4" t="s">
        <v>1989</v>
      </c>
    </row>
    <row r="6453" spans="1:5" x14ac:dyDescent="0.2">
      <c r="A6453" s="126">
        <v>6392</v>
      </c>
      <c r="B6453" s="1832"/>
      <c r="D6453" s="2" t="str">
        <f t="shared" si="99"/>
        <v>OK</v>
      </c>
      <c r="E6453" s="4" t="s">
        <v>1989</v>
      </c>
    </row>
    <row r="6454" spans="1:5" x14ac:dyDescent="0.2">
      <c r="A6454" s="126">
        <v>6393</v>
      </c>
      <c r="B6454" s="1832"/>
      <c r="D6454" s="2" t="str">
        <f t="shared" si="99"/>
        <v>OK</v>
      </c>
      <c r="E6454" s="4" t="s">
        <v>1989</v>
      </c>
    </row>
    <row r="6455" spans="1:5" x14ac:dyDescent="0.2">
      <c r="A6455" s="126">
        <v>6394</v>
      </c>
      <c r="B6455" s="1832"/>
      <c r="D6455" s="2" t="str">
        <f t="shared" si="99"/>
        <v>OK</v>
      </c>
      <c r="E6455" s="4" t="s">
        <v>1989</v>
      </c>
    </row>
    <row r="6456" spans="1:5" x14ac:dyDescent="0.2">
      <c r="A6456" s="126">
        <v>6395</v>
      </c>
      <c r="B6456" s="1832"/>
      <c r="D6456" s="2" t="str">
        <f t="shared" si="99"/>
        <v>OK</v>
      </c>
      <c r="E6456" s="4" t="s">
        <v>1989</v>
      </c>
    </row>
    <row r="6457" spans="1:5" x14ac:dyDescent="0.2">
      <c r="A6457" s="126">
        <v>6396</v>
      </c>
      <c r="B6457" s="1832"/>
      <c r="D6457" s="2" t="str">
        <f t="shared" si="99"/>
        <v>OK</v>
      </c>
      <c r="E6457" s="4" t="s">
        <v>1989</v>
      </c>
    </row>
    <row r="6458" spans="1:5" x14ac:dyDescent="0.2">
      <c r="A6458" s="126">
        <v>6397</v>
      </c>
      <c r="B6458" s="1832"/>
      <c r="D6458" s="2" t="str">
        <f t="shared" si="99"/>
        <v>OK</v>
      </c>
      <c r="E6458" s="4" t="s">
        <v>1989</v>
      </c>
    </row>
    <row r="6459" spans="1:5" x14ac:dyDescent="0.2">
      <c r="A6459" s="126">
        <v>6398</v>
      </c>
      <c r="B6459" s="1832"/>
      <c r="D6459" s="2" t="str">
        <f t="shared" si="99"/>
        <v>OK</v>
      </c>
      <c r="E6459" s="4" t="s">
        <v>1989</v>
      </c>
    </row>
    <row r="6460" spans="1:5" x14ac:dyDescent="0.2">
      <c r="A6460" s="126">
        <v>6399</v>
      </c>
      <c r="B6460" s="1832"/>
      <c r="D6460" s="2" t="str">
        <f t="shared" si="99"/>
        <v>OK</v>
      </c>
      <c r="E6460" s="4" t="s">
        <v>1989</v>
      </c>
    </row>
    <row r="6461" spans="1:5" x14ac:dyDescent="0.2">
      <c r="A6461" s="126">
        <v>6400</v>
      </c>
      <c r="B6461" s="1832"/>
      <c r="D6461" s="2" t="str">
        <f t="shared" si="99"/>
        <v>OK</v>
      </c>
      <c r="E6461" s="4" t="s">
        <v>1989</v>
      </c>
    </row>
    <row r="6462" spans="1:5" x14ac:dyDescent="0.2">
      <c r="A6462" s="126">
        <v>6401</v>
      </c>
      <c r="B6462" s="1832"/>
      <c r="D6462" s="2" t="str">
        <f t="shared" si="99"/>
        <v>OK</v>
      </c>
      <c r="E6462" s="4" t="s">
        <v>1989</v>
      </c>
    </row>
    <row r="6463" spans="1:5" x14ac:dyDescent="0.2">
      <c r="A6463" s="126">
        <v>6402</v>
      </c>
      <c r="B6463" s="1832"/>
      <c r="D6463" s="2" t="str">
        <f t="shared" ref="D6463:D6526" si="100">IF(ISBLANK(B6463),"OK",IF(A6463-B6463=0,"OK","Error?"))</f>
        <v>OK</v>
      </c>
      <c r="E6463" s="4" t="s">
        <v>1989</v>
      </c>
    </row>
    <row r="6464" spans="1:5" x14ac:dyDescent="0.2">
      <c r="A6464" s="126">
        <v>6403</v>
      </c>
      <c r="B6464" s="1832"/>
      <c r="D6464" s="2" t="str">
        <f t="shared" si="100"/>
        <v>OK</v>
      </c>
      <c r="E6464" s="4" t="s">
        <v>1989</v>
      </c>
    </row>
    <row r="6465" spans="1:5" x14ac:dyDescent="0.2">
      <c r="A6465" s="126">
        <v>6404</v>
      </c>
      <c r="B6465" s="1832"/>
      <c r="D6465" s="2" t="str">
        <f t="shared" si="100"/>
        <v>OK</v>
      </c>
      <c r="E6465" s="4" t="s">
        <v>1989</v>
      </c>
    </row>
    <row r="6466" spans="1:5" x14ac:dyDescent="0.2">
      <c r="A6466" s="126">
        <v>6405</v>
      </c>
      <c r="B6466" s="1832"/>
      <c r="D6466" s="2" t="str">
        <f t="shared" si="100"/>
        <v>OK</v>
      </c>
      <c r="E6466" s="4" t="s">
        <v>1989</v>
      </c>
    </row>
    <row r="6467" spans="1:5" x14ac:dyDescent="0.2">
      <c r="A6467" s="126">
        <v>6406</v>
      </c>
      <c r="B6467" s="1832"/>
      <c r="D6467" s="2" t="str">
        <f t="shared" si="100"/>
        <v>OK</v>
      </c>
      <c r="E6467" s="4" t="s">
        <v>1989</v>
      </c>
    </row>
    <row r="6468" spans="1:5" x14ac:dyDescent="0.2">
      <c r="A6468" s="126">
        <v>6407</v>
      </c>
      <c r="B6468" s="1832"/>
      <c r="D6468" s="2" t="str">
        <f t="shared" si="100"/>
        <v>OK</v>
      </c>
      <c r="E6468" s="4" t="s">
        <v>1989</v>
      </c>
    </row>
    <row r="6469" spans="1:5" x14ac:dyDescent="0.2">
      <c r="A6469" s="126">
        <v>6408</v>
      </c>
      <c r="B6469" s="1832"/>
      <c r="D6469" s="2" t="str">
        <f t="shared" si="100"/>
        <v>OK</v>
      </c>
      <c r="E6469" s="4" t="s">
        <v>1989</v>
      </c>
    </row>
    <row r="6470" spans="1:5" x14ac:dyDescent="0.2">
      <c r="A6470" s="126">
        <v>6409</v>
      </c>
      <c r="B6470" s="1832"/>
      <c r="D6470" s="2" t="str">
        <f t="shared" si="100"/>
        <v>OK</v>
      </c>
      <c r="E6470" s="4" t="s">
        <v>1989</v>
      </c>
    </row>
    <row r="6471" spans="1:5" x14ac:dyDescent="0.2">
      <c r="A6471" s="126">
        <v>6410</v>
      </c>
      <c r="B6471" s="1832"/>
      <c r="D6471" s="2" t="str">
        <f t="shared" si="100"/>
        <v>OK</v>
      </c>
      <c r="E6471" s="4" t="s">
        <v>1989</v>
      </c>
    </row>
    <row r="6472" spans="1:5" x14ac:dyDescent="0.2">
      <c r="A6472" s="126">
        <v>6411</v>
      </c>
      <c r="B6472" s="1832"/>
      <c r="D6472" s="2" t="str">
        <f t="shared" si="100"/>
        <v>OK</v>
      </c>
      <c r="E6472" s="4" t="s">
        <v>1989</v>
      </c>
    </row>
    <row r="6473" spans="1:5" x14ac:dyDescent="0.2">
      <c r="A6473" s="126">
        <v>6412</v>
      </c>
      <c r="B6473" s="1832"/>
      <c r="D6473" s="2" t="str">
        <f t="shared" si="100"/>
        <v>OK</v>
      </c>
      <c r="E6473" s="4" t="s">
        <v>1989</v>
      </c>
    </row>
    <row r="6474" spans="1:5" x14ac:dyDescent="0.2">
      <c r="A6474" s="126">
        <v>6413</v>
      </c>
      <c r="B6474" s="1832"/>
      <c r="D6474" s="2" t="str">
        <f t="shared" si="100"/>
        <v>OK</v>
      </c>
      <c r="E6474" s="4" t="s">
        <v>1989</v>
      </c>
    </row>
    <row r="6475" spans="1:5" x14ac:dyDescent="0.2">
      <c r="A6475" s="126">
        <v>6414</v>
      </c>
      <c r="B6475" s="1832"/>
      <c r="D6475" s="2" t="str">
        <f t="shared" si="100"/>
        <v>OK</v>
      </c>
      <c r="E6475" s="4" t="s">
        <v>1989</v>
      </c>
    </row>
    <row r="6476" spans="1:5" x14ac:dyDescent="0.2">
      <c r="A6476" s="126">
        <v>6415</v>
      </c>
      <c r="B6476" s="1832"/>
      <c r="D6476" s="2" t="str">
        <f t="shared" si="100"/>
        <v>OK</v>
      </c>
      <c r="E6476" s="4" t="s">
        <v>1989</v>
      </c>
    </row>
    <row r="6477" spans="1:5" x14ac:dyDescent="0.2">
      <c r="A6477" s="126">
        <v>6416</v>
      </c>
      <c r="B6477" s="1832"/>
      <c r="D6477" s="2" t="str">
        <f t="shared" si="100"/>
        <v>OK</v>
      </c>
      <c r="E6477" s="4" t="s">
        <v>1989</v>
      </c>
    </row>
    <row r="6478" spans="1:5" x14ac:dyDescent="0.2">
      <c r="A6478" s="126">
        <v>6417</v>
      </c>
      <c r="B6478" s="1832"/>
      <c r="D6478" s="2" t="str">
        <f t="shared" si="100"/>
        <v>OK</v>
      </c>
      <c r="E6478" s="4" t="s">
        <v>1989</v>
      </c>
    </row>
    <row r="6479" spans="1:5" x14ac:dyDescent="0.2">
      <c r="A6479" s="126">
        <v>6418</v>
      </c>
      <c r="B6479" s="1832"/>
      <c r="D6479" s="2" t="str">
        <f t="shared" si="100"/>
        <v>OK</v>
      </c>
      <c r="E6479" s="4" t="s">
        <v>1989</v>
      </c>
    </row>
    <row r="6480" spans="1:5" x14ac:dyDescent="0.2">
      <c r="A6480" s="126">
        <v>6419</v>
      </c>
      <c r="B6480" s="1832"/>
      <c r="D6480" s="2" t="str">
        <f t="shared" si="100"/>
        <v>OK</v>
      </c>
      <c r="E6480" s="4" t="s">
        <v>1989</v>
      </c>
    </row>
    <row r="6481" spans="1:5" x14ac:dyDescent="0.2">
      <c r="A6481" s="126">
        <v>6420</v>
      </c>
      <c r="B6481" s="1832"/>
      <c r="D6481" s="2" t="str">
        <f t="shared" si="100"/>
        <v>OK</v>
      </c>
      <c r="E6481" s="4" t="s">
        <v>1989</v>
      </c>
    </row>
    <row r="6482" spans="1:5" x14ac:dyDescent="0.2">
      <c r="A6482" s="126">
        <v>6421</v>
      </c>
      <c r="B6482" s="1832"/>
      <c r="D6482" s="2" t="str">
        <f t="shared" si="100"/>
        <v>OK</v>
      </c>
      <c r="E6482" s="4" t="s">
        <v>1989</v>
      </c>
    </row>
    <row r="6483" spans="1:5" x14ac:dyDescent="0.2">
      <c r="A6483" s="126">
        <v>6422</v>
      </c>
      <c r="B6483" s="1832"/>
      <c r="D6483" s="2" t="str">
        <f t="shared" si="100"/>
        <v>OK</v>
      </c>
      <c r="E6483" s="4" t="s">
        <v>1989</v>
      </c>
    </row>
    <row r="6484" spans="1:5" x14ac:dyDescent="0.2">
      <c r="A6484" s="126">
        <v>6423</v>
      </c>
      <c r="B6484" s="1832"/>
      <c r="D6484" s="2" t="str">
        <f t="shared" si="100"/>
        <v>OK</v>
      </c>
      <c r="E6484" s="4" t="s">
        <v>1989</v>
      </c>
    </row>
    <row r="6485" spans="1:5" x14ac:dyDescent="0.2">
      <c r="A6485" s="126">
        <v>6424</v>
      </c>
      <c r="B6485" s="1832"/>
      <c r="D6485" s="2" t="str">
        <f t="shared" si="100"/>
        <v>OK</v>
      </c>
      <c r="E6485" s="4" t="s">
        <v>1989</v>
      </c>
    </row>
    <row r="6486" spans="1:5" x14ac:dyDescent="0.2">
      <c r="A6486" s="126">
        <v>6425</v>
      </c>
      <c r="B6486" s="1832"/>
      <c r="D6486" s="2" t="str">
        <f t="shared" si="100"/>
        <v>OK</v>
      </c>
      <c r="E6486" s="4" t="s">
        <v>1989</v>
      </c>
    </row>
    <row r="6487" spans="1:5" x14ac:dyDescent="0.2">
      <c r="A6487" s="126">
        <v>6426</v>
      </c>
      <c r="B6487" s="1832"/>
      <c r="D6487" s="2" t="str">
        <f t="shared" si="100"/>
        <v>OK</v>
      </c>
      <c r="E6487" s="4" t="s">
        <v>1989</v>
      </c>
    </row>
    <row r="6488" spans="1:5" x14ac:dyDescent="0.2">
      <c r="A6488" s="126">
        <v>6427</v>
      </c>
      <c r="B6488" s="1832"/>
      <c r="D6488" s="2" t="str">
        <f t="shared" si="100"/>
        <v>OK</v>
      </c>
      <c r="E6488" s="4" t="s">
        <v>1989</v>
      </c>
    </row>
    <row r="6489" spans="1:5" x14ac:dyDescent="0.2">
      <c r="A6489" s="126">
        <v>6428</v>
      </c>
      <c r="B6489" s="1832"/>
      <c r="D6489" s="2" t="str">
        <f t="shared" si="100"/>
        <v>OK</v>
      </c>
      <c r="E6489" s="4" t="s">
        <v>1989</v>
      </c>
    </row>
    <row r="6490" spans="1:5" x14ac:dyDescent="0.2">
      <c r="A6490" s="126">
        <v>6429</v>
      </c>
      <c r="B6490" s="1832"/>
      <c r="D6490" s="2" t="str">
        <f t="shared" si="100"/>
        <v>OK</v>
      </c>
      <c r="E6490" s="4" t="s">
        <v>1989</v>
      </c>
    </row>
    <row r="6491" spans="1:5" x14ac:dyDescent="0.2">
      <c r="A6491" s="126">
        <v>6430</v>
      </c>
      <c r="B6491" s="1832"/>
      <c r="D6491" s="2" t="str">
        <f t="shared" si="100"/>
        <v>OK</v>
      </c>
      <c r="E6491" s="4" t="s">
        <v>1989</v>
      </c>
    </row>
    <row r="6492" spans="1:5" x14ac:dyDescent="0.2">
      <c r="A6492" s="126">
        <v>6431</v>
      </c>
      <c r="B6492" s="1832"/>
      <c r="D6492" s="2" t="str">
        <f t="shared" si="100"/>
        <v>OK</v>
      </c>
      <c r="E6492" s="4" t="s">
        <v>1989</v>
      </c>
    </row>
    <row r="6493" spans="1:5" x14ac:dyDescent="0.2">
      <c r="A6493" s="126">
        <v>6432</v>
      </c>
      <c r="B6493" s="1832"/>
      <c r="D6493" s="2" t="str">
        <f t="shared" si="100"/>
        <v>OK</v>
      </c>
      <c r="E6493" s="4" t="s">
        <v>1989</v>
      </c>
    </row>
    <row r="6494" spans="1:5" x14ac:dyDescent="0.2">
      <c r="A6494" s="126">
        <v>6433</v>
      </c>
      <c r="B6494" s="1832"/>
      <c r="D6494" s="2" t="str">
        <f t="shared" si="100"/>
        <v>OK</v>
      </c>
      <c r="E6494" s="4" t="s">
        <v>1989</v>
      </c>
    </row>
    <row r="6495" spans="1:5" x14ac:dyDescent="0.2">
      <c r="A6495" s="126">
        <v>6434</v>
      </c>
      <c r="B6495" s="1832"/>
      <c r="D6495" s="2" t="str">
        <f t="shared" si="100"/>
        <v>OK</v>
      </c>
      <c r="E6495" s="4" t="s">
        <v>1989</v>
      </c>
    </row>
    <row r="6496" spans="1:5" x14ac:dyDescent="0.2">
      <c r="A6496" s="126">
        <v>6435</v>
      </c>
      <c r="B6496" s="1832"/>
      <c r="D6496" s="2" t="str">
        <f t="shared" si="100"/>
        <v>OK</v>
      </c>
      <c r="E6496" s="4" t="s">
        <v>1989</v>
      </c>
    </row>
    <row r="6497" spans="1:5" x14ac:dyDescent="0.2">
      <c r="A6497" s="126">
        <v>6436</v>
      </c>
      <c r="B6497" s="1832"/>
      <c r="D6497" s="2" t="str">
        <f t="shared" si="100"/>
        <v>OK</v>
      </c>
      <c r="E6497" s="4" t="s">
        <v>1989</v>
      </c>
    </row>
    <row r="6498" spans="1:5" x14ac:dyDescent="0.2">
      <c r="A6498" s="126">
        <v>6437</v>
      </c>
      <c r="B6498" s="1832"/>
      <c r="D6498" s="2" t="str">
        <f t="shared" si="100"/>
        <v>OK</v>
      </c>
      <c r="E6498" s="4" t="s">
        <v>1989</v>
      </c>
    </row>
    <row r="6499" spans="1:5" x14ac:dyDescent="0.2">
      <c r="A6499" s="126">
        <v>6438</v>
      </c>
      <c r="B6499" s="1832"/>
      <c r="D6499" s="2" t="str">
        <f t="shared" si="100"/>
        <v>OK</v>
      </c>
      <c r="E6499" s="4" t="s">
        <v>1989</v>
      </c>
    </row>
    <row r="6500" spans="1:5" x14ac:dyDescent="0.2">
      <c r="A6500" s="126">
        <v>6439</v>
      </c>
      <c r="B6500" s="1832"/>
      <c r="D6500" s="2" t="str">
        <f t="shared" si="100"/>
        <v>OK</v>
      </c>
      <c r="E6500" s="4" t="s">
        <v>1989</v>
      </c>
    </row>
    <row r="6501" spans="1:5" x14ac:dyDescent="0.2">
      <c r="A6501" s="126">
        <v>6440</v>
      </c>
      <c r="B6501" s="1832"/>
      <c r="D6501" s="2" t="str">
        <f t="shared" si="100"/>
        <v>OK</v>
      </c>
      <c r="E6501" s="4" t="s">
        <v>1989</v>
      </c>
    </row>
    <row r="6502" spans="1:5" x14ac:dyDescent="0.2">
      <c r="A6502" s="126">
        <v>6441</v>
      </c>
      <c r="B6502" s="1832"/>
      <c r="D6502" s="2" t="str">
        <f t="shared" si="100"/>
        <v>OK</v>
      </c>
      <c r="E6502" s="4" t="s">
        <v>1989</v>
      </c>
    </row>
    <row r="6503" spans="1:5" x14ac:dyDescent="0.2">
      <c r="A6503" s="126">
        <v>6442</v>
      </c>
      <c r="B6503" s="1832"/>
      <c r="D6503" s="2" t="str">
        <f t="shared" si="100"/>
        <v>OK</v>
      </c>
      <c r="E6503" s="4" t="s">
        <v>1989</v>
      </c>
    </row>
    <row r="6504" spans="1:5" x14ac:dyDescent="0.2">
      <c r="A6504" s="126">
        <v>6443</v>
      </c>
      <c r="B6504" s="1832"/>
      <c r="D6504" s="2" t="str">
        <f t="shared" si="100"/>
        <v>OK</v>
      </c>
      <c r="E6504" s="4" t="s">
        <v>1989</v>
      </c>
    </row>
    <row r="6505" spans="1:5" x14ac:dyDescent="0.2">
      <c r="A6505" s="126">
        <v>6444</v>
      </c>
      <c r="B6505" s="1832"/>
      <c r="D6505" s="2" t="str">
        <f t="shared" si="100"/>
        <v>OK</v>
      </c>
      <c r="E6505" s="4" t="s">
        <v>1989</v>
      </c>
    </row>
    <row r="6506" spans="1:5" x14ac:dyDescent="0.2">
      <c r="A6506" s="126">
        <v>6445</v>
      </c>
      <c r="B6506" s="1832"/>
      <c r="D6506" s="2" t="str">
        <f t="shared" si="100"/>
        <v>OK</v>
      </c>
      <c r="E6506" s="4" t="s">
        <v>1989</v>
      </c>
    </row>
    <row r="6507" spans="1:5" x14ac:dyDescent="0.2">
      <c r="A6507" s="126">
        <v>6446</v>
      </c>
      <c r="B6507" s="1832"/>
      <c r="D6507" s="2" t="str">
        <f t="shared" si="100"/>
        <v>OK</v>
      </c>
      <c r="E6507" s="4" t="s">
        <v>1989</v>
      </c>
    </row>
    <row r="6508" spans="1:5" x14ac:dyDescent="0.2">
      <c r="A6508" s="126">
        <v>6447</v>
      </c>
      <c r="B6508" s="1832"/>
      <c r="D6508" s="2" t="str">
        <f t="shared" si="100"/>
        <v>OK</v>
      </c>
      <c r="E6508" s="4" t="s">
        <v>1989</v>
      </c>
    </row>
    <row r="6509" spans="1:5" x14ac:dyDescent="0.2">
      <c r="A6509" s="126">
        <v>6448</v>
      </c>
      <c r="B6509" s="1832"/>
      <c r="D6509" s="2" t="str">
        <f t="shared" si="100"/>
        <v>OK</v>
      </c>
      <c r="E6509" s="4" t="s">
        <v>1989</v>
      </c>
    </row>
    <row r="6510" spans="1:5" x14ac:dyDescent="0.2">
      <c r="A6510" s="126">
        <v>6449</v>
      </c>
      <c r="B6510" s="1832"/>
      <c r="D6510" s="2" t="str">
        <f t="shared" si="100"/>
        <v>OK</v>
      </c>
      <c r="E6510" s="4" t="s">
        <v>1989</v>
      </c>
    </row>
    <row r="6511" spans="1:5" x14ac:dyDescent="0.2">
      <c r="A6511" s="126">
        <v>6450</v>
      </c>
      <c r="B6511" s="1832"/>
      <c r="D6511" s="2" t="str">
        <f t="shared" si="100"/>
        <v>OK</v>
      </c>
      <c r="E6511" s="4" t="s">
        <v>1989</v>
      </c>
    </row>
    <row r="6512" spans="1:5" x14ac:dyDescent="0.2">
      <c r="A6512" s="126">
        <v>6451</v>
      </c>
      <c r="B6512" s="1832"/>
      <c r="D6512" s="2" t="str">
        <f t="shared" si="100"/>
        <v>OK</v>
      </c>
      <c r="E6512" s="4" t="s">
        <v>1989</v>
      </c>
    </row>
    <row r="6513" spans="1:5" x14ac:dyDescent="0.2">
      <c r="A6513" s="126">
        <v>6452</v>
      </c>
      <c r="B6513" s="1832"/>
      <c r="D6513" s="2" t="str">
        <f t="shared" si="100"/>
        <v>OK</v>
      </c>
      <c r="E6513" s="4" t="s">
        <v>1989</v>
      </c>
    </row>
    <row r="6514" spans="1:5" x14ac:dyDescent="0.2">
      <c r="A6514" s="126">
        <v>6453</v>
      </c>
      <c r="B6514" s="1832"/>
      <c r="D6514" s="2" t="str">
        <f t="shared" si="100"/>
        <v>OK</v>
      </c>
      <c r="E6514" s="4" t="s">
        <v>1989</v>
      </c>
    </row>
    <row r="6515" spans="1:5" x14ac:dyDescent="0.2">
      <c r="A6515" s="126">
        <v>6454</v>
      </c>
      <c r="B6515" s="1832"/>
      <c r="D6515" s="2" t="str">
        <f t="shared" si="100"/>
        <v>OK</v>
      </c>
      <c r="E6515" s="4" t="s">
        <v>1989</v>
      </c>
    </row>
    <row r="6516" spans="1:5" x14ac:dyDescent="0.2">
      <c r="A6516" s="126">
        <v>6455</v>
      </c>
      <c r="B6516" s="1832"/>
      <c r="D6516" s="2" t="str">
        <f t="shared" si="100"/>
        <v>OK</v>
      </c>
      <c r="E6516" s="4" t="s">
        <v>1989</v>
      </c>
    </row>
    <row r="6517" spans="1:5" x14ac:dyDescent="0.2">
      <c r="A6517" s="126">
        <v>6456</v>
      </c>
      <c r="B6517" s="1832"/>
      <c r="D6517" s="2" t="str">
        <f t="shared" si="100"/>
        <v>OK</v>
      </c>
      <c r="E6517" s="4" t="s">
        <v>1989</v>
      </c>
    </row>
    <row r="6518" spans="1:5" x14ac:dyDescent="0.2">
      <c r="A6518" s="126">
        <v>6457</v>
      </c>
      <c r="B6518" s="1832"/>
      <c r="D6518" s="2" t="str">
        <f t="shared" si="100"/>
        <v>OK</v>
      </c>
      <c r="E6518" s="4" t="s">
        <v>1989</v>
      </c>
    </row>
    <row r="6519" spans="1:5" x14ac:dyDescent="0.2">
      <c r="A6519" s="126">
        <v>6458</v>
      </c>
      <c r="B6519" s="1832"/>
      <c r="D6519" s="2" t="str">
        <f t="shared" si="100"/>
        <v>OK</v>
      </c>
      <c r="E6519" s="4" t="s">
        <v>1989</v>
      </c>
    </row>
    <row r="6520" spans="1:5" x14ac:dyDescent="0.2">
      <c r="A6520" s="126">
        <v>6459</v>
      </c>
      <c r="B6520" s="1832"/>
      <c r="D6520" s="2" t="str">
        <f t="shared" si="100"/>
        <v>OK</v>
      </c>
      <c r="E6520" s="4" t="s">
        <v>1989</v>
      </c>
    </row>
    <row r="6521" spans="1:5" x14ac:dyDescent="0.2">
      <c r="A6521" s="126">
        <v>6460</v>
      </c>
      <c r="B6521" s="1832"/>
      <c r="D6521" s="2" t="str">
        <f t="shared" si="100"/>
        <v>OK</v>
      </c>
      <c r="E6521" s="4" t="s">
        <v>1989</v>
      </c>
    </row>
    <row r="6522" spans="1:5" x14ac:dyDescent="0.2">
      <c r="A6522" s="126">
        <v>6461</v>
      </c>
      <c r="B6522" s="1832"/>
      <c r="D6522" s="2" t="str">
        <f t="shared" si="100"/>
        <v>OK</v>
      </c>
      <c r="E6522" s="4" t="s">
        <v>1989</v>
      </c>
    </row>
    <row r="6523" spans="1:5" x14ac:dyDescent="0.2">
      <c r="A6523" s="126">
        <v>6462</v>
      </c>
      <c r="B6523" s="1832"/>
      <c r="D6523" s="2" t="str">
        <f t="shared" si="100"/>
        <v>OK</v>
      </c>
      <c r="E6523" s="4" t="s">
        <v>1989</v>
      </c>
    </row>
    <row r="6524" spans="1:5" x14ac:dyDescent="0.2">
      <c r="A6524" s="126">
        <v>6463</v>
      </c>
      <c r="B6524" s="1832"/>
      <c r="D6524" s="2" t="str">
        <f t="shared" si="100"/>
        <v>OK</v>
      </c>
      <c r="E6524" s="4" t="s">
        <v>1989</v>
      </c>
    </row>
    <row r="6525" spans="1:5" x14ac:dyDescent="0.2">
      <c r="A6525" s="126">
        <v>6464</v>
      </c>
      <c r="B6525" s="1832"/>
      <c r="D6525" s="2" t="str">
        <f t="shared" si="100"/>
        <v>OK</v>
      </c>
      <c r="E6525" s="4" t="s">
        <v>1989</v>
      </c>
    </row>
    <row r="6526" spans="1:5" x14ac:dyDescent="0.2">
      <c r="A6526" s="126">
        <v>6465</v>
      </c>
      <c r="B6526" s="1832"/>
      <c r="D6526" s="2" t="str">
        <f t="shared" si="100"/>
        <v>OK</v>
      </c>
      <c r="E6526" s="4" t="s">
        <v>1989</v>
      </c>
    </row>
    <row r="6527" spans="1:5" x14ac:dyDescent="0.2">
      <c r="A6527" s="126">
        <v>6466</v>
      </c>
      <c r="B6527" s="1832"/>
      <c r="D6527" s="2" t="str">
        <f t="shared" ref="D6527:D6590" si="101">IF(ISBLANK(B6527),"OK",IF(A6527-B6527=0,"OK","Error?"))</f>
        <v>OK</v>
      </c>
      <c r="E6527" s="4" t="s">
        <v>1989</v>
      </c>
    </row>
    <row r="6528" spans="1:5" x14ac:dyDescent="0.2">
      <c r="A6528" s="126">
        <v>6467</v>
      </c>
      <c r="B6528" s="1832"/>
      <c r="D6528" s="2" t="str">
        <f t="shared" si="101"/>
        <v>OK</v>
      </c>
      <c r="E6528" s="4" t="s">
        <v>1989</v>
      </c>
    </row>
    <row r="6529" spans="1:5" x14ac:dyDescent="0.2">
      <c r="A6529" s="126">
        <v>6468</v>
      </c>
      <c r="B6529" s="1832"/>
      <c r="D6529" s="2" t="str">
        <f t="shared" si="101"/>
        <v>OK</v>
      </c>
      <c r="E6529" s="4" t="s">
        <v>1989</v>
      </c>
    </row>
    <row r="6530" spans="1:5" x14ac:dyDescent="0.2">
      <c r="A6530" s="126">
        <v>6469</v>
      </c>
      <c r="B6530" s="1832"/>
      <c r="D6530" s="2" t="str">
        <f t="shared" si="101"/>
        <v>OK</v>
      </c>
      <c r="E6530" s="4" t="s">
        <v>1989</v>
      </c>
    </row>
    <row r="6531" spans="1:5" x14ac:dyDescent="0.2">
      <c r="A6531" s="126">
        <v>6470</v>
      </c>
      <c r="B6531" s="1832"/>
      <c r="D6531" s="2" t="str">
        <f t="shared" si="101"/>
        <v>OK</v>
      </c>
      <c r="E6531" s="4" t="s">
        <v>1989</v>
      </c>
    </row>
    <row r="6532" spans="1:5" x14ac:dyDescent="0.2">
      <c r="A6532" s="126">
        <v>6471</v>
      </c>
      <c r="B6532" s="1832"/>
      <c r="D6532" s="2" t="str">
        <f t="shared" si="101"/>
        <v>OK</v>
      </c>
      <c r="E6532" s="4" t="s">
        <v>1989</v>
      </c>
    </row>
    <row r="6533" spans="1:5" x14ac:dyDescent="0.2">
      <c r="A6533" s="126">
        <v>6472</v>
      </c>
      <c r="B6533" s="1832"/>
      <c r="D6533" s="2" t="str">
        <f t="shared" si="101"/>
        <v>OK</v>
      </c>
      <c r="E6533" s="4" t="s">
        <v>1989</v>
      </c>
    </row>
    <row r="6534" spans="1:5" x14ac:dyDescent="0.2">
      <c r="A6534" s="126">
        <v>6473</v>
      </c>
      <c r="B6534" s="1832"/>
      <c r="D6534" s="2" t="str">
        <f t="shared" si="101"/>
        <v>OK</v>
      </c>
      <c r="E6534" s="4" t="s">
        <v>1989</v>
      </c>
    </row>
    <row r="6535" spans="1:5" x14ac:dyDescent="0.2">
      <c r="A6535" s="126">
        <v>6474</v>
      </c>
      <c r="B6535" s="1832"/>
      <c r="D6535" s="2" t="str">
        <f t="shared" si="101"/>
        <v>OK</v>
      </c>
      <c r="E6535" s="4" t="s">
        <v>1989</v>
      </c>
    </row>
    <row r="6536" spans="1:5" x14ac:dyDescent="0.2">
      <c r="A6536" s="126">
        <v>6475</v>
      </c>
      <c r="B6536" s="1832"/>
      <c r="D6536" s="2" t="str">
        <f t="shared" si="101"/>
        <v>OK</v>
      </c>
      <c r="E6536" s="4" t="s">
        <v>1989</v>
      </c>
    </row>
    <row r="6537" spans="1:5" x14ac:dyDescent="0.2">
      <c r="A6537" s="126">
        <v>6476</v>
      </c>
      <c r="B6537" s="1832"/>
      <c r="D6537" s="2" t="str">
        <f t="shared" si="101"/>
        <v>OK</v>
      </c>
      <c r="E6537" s="4" t="s">
        <v>1989</v>
      </c>
    </row>
    <row r="6538" spans="1:5" x14ac:dyDescent="0.2">
      <c r="A6538" s="126">
        <v>6477</v>
      </c>
      <c r="B6538" s="1832"/>
      <c r="D6538" s="2" t="str">
        <f t="shared" si="101"/>
        <v>OK</v>
      </c>
      <c r="E6538" s="4" t="s">
        <v>1989</v>
      </c>
    </row>
    <row r="6539" spans="1:5" x14ac:dyDescent="0.2">
      <c r="A6539" s="126">
        <v>6478</v>
      </c>
      <c r="B6539" s="1832"/>
      <c r="D6539" s="2" t="str">
        <f t="shared" si="101"/>
        <v>OK</v>
      </c>
      <c r="E6539" s="4" t="s">
        <v>1989</v>
      </c>
    </row>
    <row r="6540" spans="1:5" x14ac:dyDescent="0.2">
      <c r="A6540" s="126">
        <v>6479</v>
      </c>
      <c r="B6540" s="1832"/>
      <c r="D6540" s="2" t="str">
        <f t="shared" si="101"/>
        <v>OK</v>
      </c>
      <c r="E6540" s="4" t="s">
        <v>1989</v>
      </c>
    </row>
    <row r="6541" spans="1:5" x14ac:dyDescent="0.2">
      <c r="A6541" s="126">
        <v>6480</v>
      </c>
      <c r="B6541" s="1832"/>
      <c r="D6541" s="2" t="str">
        <f t="shared" si="101"/>
        <v>OK</v>
      </c>
      <c r="E6541" s="4" t="s">
        <v>1989</v>
      </c>
    </row>
    <row r="6542" spans="1:5" x14ac:dyDescent="0.2">
      <c r="A6542" s="126">
        <v>6481</v>
      </c>
      <c r="B6542" s="1832"/>
      <c r="D6542" s="2" t="str">
        <f t="shared" si="101"/>
        <v>OK</v>
      </c>
      <c r="E6542" s="4" t="s">
        <v>1989</v>
      </c>
    </row>
    <row r="6543" spans="1:5" x14ac:dyDescent="0.2">
      <c r="A6543" s="126">
        <v>6482</v>
      </c>
      <c r="B6543" s="1832"/>
      <c r="D6543" s="2" t="str">
        <f t="shared" si="101"/>
        <v>OK</v>
      </c>
      <c r="E6543" s="4" t="s">
        <v>1989</v>
      </c>
    </row>
    <row r="6544" spans="1:5" x14ac:dyDescent="0.2">
      <c r="A6544" s="126">
        <v>6483</v>
      </c>
      <c r="B6544" s="1832"/>
      <c r="D6544" s="2" t="str">
        <f t="shared" si="101"/>
        <v>OK</v>
      </c>
      <c r="E6544" s="4" t="s">
        <v>1989</v>
      </c>
    </row>
    <row r="6545" spans="1:5" x14ac:dyDescent="0.2">
      <c r="A6545" s="126">
        <v>6484</v>
      </c>
      <c r="B6545" s="1832"/>
      <c r="D6545" s="2" t="str">
        <f t="shared" si="101"/>
        <v>OK</v>
      </c>
      <c r="E6545" s="4" t="s">
        <v>1989</v>
      </c>
    </row>
    <row r="6546" spans="1:5" x14ac:dyDescent="0.2">
      <c r="A6546" s="126">
        <v>6485</v>
      </c>
      <c r="B6546" s="1832"/>
      <c r="D6546" s="2" t="str">
        <f t="shared" si="101"/>
        <v>OK</v>
      </c>
      <c r="E6546" s="4" t="s">
        <v>1989</v>
      </c>
    </row>
    <row r="6547" spans="1:5" x14ac:dyDescent="0.2">
      <c r="A6547" s="126">
        <v>6486</v>
      </c>
      <c r="B6547" s="1832"/>
      <c r="D6547" s="2" t="str">
        <f t="shared" si="101"/>
        <v>OK</v>
      </c>
      <c r="E6547" s="4" t="s">
        <v>1989</v>
      </c>
    </row>
    <row r="6548" spans="1:5" x14ac:dyDescent="0.2">
      <c r="A6548" s="126">
        <v>6487</v>
      </c>
      <c r="B6548" s="1832"/>
      <c r="D6548" s="2" t="str">
        <f t="shared" si="101"/>
        <v>OK</v>
      </c>
      <c r="E6548" s="4" t="s">
        <v>1989</v>
      </c>
    </row>
    <row r="6549" spans="1:5" x14ac:dyDescent="0.2">
      <c r="A6549" s="126">
        <v>6488</v>
      </c>
      <c r="B6549" s="1832"/>
      <c r="D6549" s="2" t="str">
        <f t="shared" si="101"/>
        <v>OK</v>
      </c>
      <c r="E6549" s="4" t="s">
        <v>1989</v>
      </c>
    </row>
    <row r="6550" spans="1:5" x14ac:dyDescent="0.2">
      <c r="A6550" s="126">
        <v>6489</v>
      </c>
      <c r="B6550" s="1832"/>
      <c r="D6550" s="2" t="str">
        <f t="shared" si="101"/>
        <v>OK</v>
      </c>
      <c r="E6550" s="4" t="s">
        <v>1989</v>
      </c>
    </row>
    <row r="6551" spans="1:5" x14ac:dyDescent="0.2">
      <c r="A6551" s="126">
        <v>6490</v>
      </c>
      <c r="B6551" s="1832"/>
      <c r="D6551" s="2" t="str">
        <f t="shared" si="101"/>
        <v>OK</v>
      </c>
      <c r="E6551" s="4" t="s">
        <v>1989</v>
      </c>
    </row>
    <row r="6552" spans="1:5" x14ac:dyDescent="0.2">
      <c r="A6552" s="126">
        <v>6491</v>
      </c>
      <c r="B6552" s="1832"/>
      <c r="D6552" s="2" t="str">
        <f t="shared" si="101"/>
        <v>OK</v>
      </c>
      <c r="E6552" s="4" t="s">
        <v>1989</v>
      </c>
    </row>
    <row r="6553" spans="1:5" x14ac:dyDescent="0.2">
      <c r="A6553" s="126">
        <v>6492</v>
      </c>
      <c r="B6553" s="1832"/>
      <c r="D6553" s="2" t="str">
        <f t="shared" si="101"/>
        <v>OK</v>
      </c>
      <c r="E6553" s="4" t="s">
        <v>1989</v>
      </c>
    </row>
    <row r="6554" spans="1:5" x14ac:dyDescent="0.2">
      <c r="A6554" s="126">
        <v>6493</v>
      </c>
      <c r="B6554" s="1832"/>
      <c r="D6554" s="2" t="str">
        <f t="shared" si="101"/>
        <v>OK</v>
      </c>
      <c r="E6554" s="4" t="s">
        <v>1989</v>
      </c>
    </row>
    <row r="6555" spans="1:5" x14ac:dyDescent="0.2">
      <c r="A6555" s="126">
        <v>6494</v>
      </c>
      <c r="B6555" s="1832"/>
      <c r="D6555" s="2" t="str">
        <f t="shared" si="101"/>
        <v>OK</v>
      </c>
      <c r="E6555" s="4" t="s">
        <v>1989</v>
      </c>
    </row>
    <row r="6556" spans="1:5" x14ac:dyDescent="0.2">
      <c r="A6556" s="126">
        <v>6495</v>
      </c>
      <c r="B6556" s="1832"/>
      <c r="D6556" s="2" t="str">
        <f t="shared" si="101"/>
        <v>OK</v>
      </c>
      <c r="E6556" s="4" t="s">
        <v>1989</v>
      </c>
    </row>
    <row r="6557" spans="1:5" x14ac:dyDescent="0.2">
      <c r="A6557" s="126">
        <v>6496</v>
      </c>
      <c r="B6557" s="1832"/>
      <c r="D6557" s="2" t="str">
        <f t="shared" si="101"/>
        <v>OK</v>
      </c>
      <c r="E6557" s="4" t="s">
        <v>1989</v>
      </c>
    </row>
    <row r="6558" spans="1:5" x14ac:dyDescent="0.2">
      <c r="A6558" s="126">
        <v>6497</v>
      </c>
      <c r="B6558" s="1832"/>
      <c r="D6558" s="2" t="str">
        <f t="shared" si="101"/>
        <v>OK</v>
      </c>
      <c r="E6558" s="4" t="s">
        <v>1989</v>
      </c>
    </row>
    <row r="6559" spans="1:5" x14ac:dyDescent="0.2">
      <c r="A6559" s="126">
        <v>6498</v>
      </c>
      <c r="B6559" s="1832"/>
      <c r="D6559" s="2" t="str">
        <f t="shared" si="101"/>
        <v>OK</v>
      </c>
      <c r="E6559" s="4" t="s">
        <v>1989</v>
      </c>
    </row>
    <row r="6560" spans="1:5" x14ac:dyDescent="0.2">
      <c r="A6560" s="126">
        <v>6499</v>
      </c>
      <c r="B6560" s="1832"/>
      <c r="D6560" s="2" t="str">
        <f t="shared" si="101"/>
        <v>OK</v>
      </c>
      <c r="E6560" s="4" t="s">
        <v>1989</v>
      </c>
    </row>
    <row r="6561" spans="1:5" x14ac:dyDescent="0.2">
      <c r="A6561" s="126">
        <v>6500</v>
      </c>
      <c r="B6561" s="1832"/>
      <c r="D6561" s="2" t="str">
        <f t="shared" si="101"/>
        <v>OK</v>
      </c>
      <c r="E6561" s="4" t="s">
        <v>1989</v>
      </c>
    </row>
    <row r="6562" spans="1:5" x14ac:dyDescent="0.2">
      <c r="A6562" s="126">
        <v>6501</v>
      </c>
      <c r="B6562" s="1832"/>
      <c r="D6562" s="2" t="str">
        <f t="shared" si="101"/>
        <v>OK</v>
      </c>
      <c r="E6562" s="4" t="s">
        <v>1989</v>
      </c>
    </row>
    <row r="6563" spans="1:5" x14ac:dyDescent="0.2">
      <c r="A6563" s="126">
        <v>6502</v>
      </c>
      <c r="B6563" s="1832"/>
      <c r="D6563" s="2" t="str">
        <f t="shared" si="101"/>
        <v>OK</v>
      </c>
      <c r="E6563" s="4" t="s">
        <v>1989</v>
      </c>
    </row>
    <row r="6564" spans="1:5" x14ac:dyDescent="0.2">
      <c r="A6564" s="126">
        <v>6503</v>
      </c>
      <c r="B6564" s="1832"/>
      <c r="D6564" s="2" t="str">
        <f t="shared" si="101"/>
        <v>OK</v>
      </c>
      <c r="E6564" s="4" t="s">
        <v>1989</v>
      </c>
    </row>
    <row r="6565" spans="1:5" x14ac:dyDescent="0.2">
      <c r="A6565" s="126">
        <v>6504</v>
      </c>
      <c r="B6565" s="1832"/>
      <c r="D6565" s="2" t="str">
        <f t="shared" si="101"/>
        <v>OK</v>
      </c>
      <c r="E6565" s="4" t="s">
        <v>1989</v>
      </c>
    </row>
    <row r="6566" spans="1:5" x14ac:dyDescent="0.2">
      <c r="A6566" s="126">
        <v>6505</v>
      </c>
      <c r="B6566" s="1832"/>
      <c r="D6566" s="2" t="str">
        <f t="shared" si="101"/>
        <v>OK</v>
      </c>
      <c r="E6566" s="4" t="s">
        <v>1989</v>
      </c>
    </row>
    <row r="6567" spans="1:5" x14ac:dyDescent="0.2">
      <c r="A6567" s="126">
        <v>6506</v>
      </c>
      <c r="B6567" s="1832"/>
      <c r="D6567" s="2" t="str">
        <f t="shared" si="101"/>
        <v>OK</v>
      </c>
      <c r="E6567" s="4" t="s">
        <v>1989</v>
      </c>
    </row>
    <row r="6568" spans="1:5" x14ac:dyDescent="0.2">
      <c r="A6568" s="126">
        <v>6507</v>
      </c>
      <c r="B6568" s="1832"/>
      <c r="D6568" s="2" t="str">
        <f t="shared" si="101"/>
        <v>OK</v>
      </c>
      <c r="E6568" s="4" t="s">
        <v>1989</v>
      </c>
    </row>
    <row r="6569" spans="1:5" x14ac:dyDescent="0.2">
      <c r="A6569" s="126">
        <v>6508</v>
      </c>
      <c r="B6569" s="1832"/>
      <c r="D6569" s="2" t="str">
        <f t="shared" si="101"/>
        <v>OK</v>
      </c>
      <c r="E6569" s="4" t="s">
        <v>1989</v>
      </c>
    </row>
    <row r="6570" spans="1:5" x14ac:dyDescent="0.2">
      <c r="A6570" s="126">
        <v>6509</v>
      </c>
      <c r="B6570" s="1832"/>
      <c r="D6570" s="2" t="str">
        <f t="shared" si="101"/>
        <v>OK</v>
      </c>
      <c r="E6570" s="4" t="s">
        <v>1989</v>
      </c>
    </row>
    <row r="6571" spans="1:5" x14ac:dyDescent="0.2">
      <c r="A6571" s="126">
        <v>6510</v>
      </c>
      <c r="B6571" s="1832"/>
      <c r="D6571" s="2" t="str">
        <f t="shared" si="101"/>
        <v>OK</v>
      </c>
      <c r="E6571" s="4" t="s">
        <v>1989</v>
      </c>
    </row>
    <row r="6572" spans="1:5" x14ac:dyDescent="0.2">
      <c r="A6572" s="126">
        <v>6511</v>
      </c>
      <c r="B6572" s="1832"/>
      <c r="D6572" s="2" t="str">
        <f t="shared" si="101"/>
        <v>OK</v>
      </c>
      <c r="E6572" s="4" t="s">
        <v>1989</v>
      </c>
    </row>
    <row r="6573" spans="1:5" x14ac:dyDescent="0.2">
      <c r="A6573" s="126">
        <v>6512</v>
      </c>
      <c r="B6573" s="1832"/>
      <c r="D6573" s="2" t="str">
        <f t="shared" si="101"/>
        <v>OK</v>
      </c>
      <c r="E6573" s="4" t="s">
        <v>1989</v>
      </c>
    </row>
    <row r="6574" spans="1:5" x14ac:dyDescent="0.2">
      <c r="A6574" s="126">
        <v>6513</v>
      </c>
      <c r="B6574" s="1832"/>
      <c r="D6574" s="2" t="str">
        <f t="shared" si="101"/>
        <v>OK</v>
      </c>
      <c r="E6574" s="4" t="s">
        <v>1989</v>
      </c>
    </row>
    <row r="6575" spans="1:5" x14ac:dyDescent="0.2">
      <c r="A6575" s="126">
        <v>6514</v>
      </c>
      <c r="B6575" s="1832"/>
      <c r="D6575" s="2" t="str">
        <f t="shared" si="101"/>
        <v>OK</v>
      </c>
      <c r="E6575" s="4" t="s">
        <v>1989</v>
      </c>
    </row>
    <row r="6576" spans="1:5" x14ac:dyDescent="0.2">
      <c r="A6576" s="126">
        <v>6515</v>
      </c>
      <c r="B6576" s="1832"/>
      <c r="D6576" s="2" t="str">
        <f t="shared" si="101"/>
        <v>OK</v>
      </c>
      <c r="E6576" s="4" t="s">
        <v>1989</v>
      </c>
    </row>
    <row r="6577" spans="1:5" x14ac:dyDescent="0.2">
      <c r="A6577" s="126">
        <v>6516</v>
      </c>
      <c r="B6577" s="1832"/>
      <c r="D6577" s="2" t="str">
        <f t="shared" si="101"/>
        <v>OK</v>
      </c>
      <c r="E6577" s="4" t="s">
        <v>1989</v>
      </c>
    </row>
    <row r="6578" spans="1:5" x14ac:dyDescent="0.2">
      <c r="A6578" s="126">
        <v>6517</v>
      </c>
      <c r="B6578" s="1832"/>
      <c r="D6578" s="2" t="str">
        <f t="shared" si="101"/>
        <v>OK</v>
      </c>
      <c r="E6578" s="4" t="s">
        <v>1989</v>
      </c>
    </row>
    <row r="6579" spans="1:5" x14ac:dyDescent="0.2">
      <c r="A6579" s="126">
        <v>6518</v>
      </c>
      <c r="B6579" s="1832"/>
      <c r="D6579" s="2" t="str">
        <f t="shared" si="101"/>
        <v>OK</v>
      </c>
      <c r="E6579" s="4" t="s">
        <v>1989</v>
      </c>
    </row>
    <row r="6580" spans="1:5" x14ac:dyDescent="0.2">
      <c r="A6580" s="126">
        <v>6519</v>
      </c>
      <c r="B6580" s="1832"/>
      <c r="D6580" s="2" t="str">
        <f t="shared" si="101"/>
        <v>OK</v>
      </c>
      <c r="E6580" s="4" t="s">
        <v>1989</v>
      </c>
    </row>
    <row r="6581" spans="1:5" x14ac:dyDescent="0.2">
      <c r="A6581" s="126">
        <v>6520</v>
      </c>
      <c r="B6581" s="1832"/>
      <c r="D6581" s="2" t="str">
        <f t="shared" si="101"/>
        <v>OK</v>
      </c>
      <c r="E6581" s="4" t="s">
        <v>1989</v>
      </c>
    </row>
    <row r="6582" spans="1:5" x14ac:dyDescent="0.2">
      <c r="A6582" s="126">
        <v>6521</v>
      </c>
      <c r="B6582" s="1832"/>
      <c r="D6582" s="2" t="str">
        <f t="shared" si="101"/>
        <v>OK</v>
      </c>
      <c r="E6582" s="4" t="s">
        <v>1989</v>
      </c>
    </row>
    <row r="6583" spans="1:5" x14ac:dyDescent="0.2">
      <c r="A6583" s="126">
        <v>6522</v>
      </c>
      <c r="B6583" s="1832"/>
      <c r="D6583" s="2" t="str">
        <f t="shared" si="101"/>
        <v>OK</v>
      </c>
      <c r="E6583" s="4" t="s">
        <v>1989</v>
      </c>
    </row>
    <row r="6584" spans="1:5" x14ac:dyDescent="0.2">
      <c r="A6584" s="126">
        <v>6523</v>
      </c>
      <c r="B6584" s="1832"/>
      <c r="D6584" s="2" t="str">
        <f t="shared" si="101"/>
        <v>OK</v>
      </c>
      <c r="E6584" s="4" t="s">
        <v>1989</v>
      </c>
    </row>
    <row r="6585" spans="1:5" x14ac:dyDescent="0.2">
      <c r="A6585" s="126">
        <v>6524</v>
      </c>
      <c r="B6585" s="1832"/>
      <c r="D6585" s="2" t="str">
        <f t="shared" si="101"/>
        <v>OK</v>
      </c>
      <c r="E6585" s="4" t="s">
        <v>1989</v>
      </c>
    </row>
    <row r="6586" spans="1:5" x14ac:dyDescent="0.2">
      <c r="A6586" s="126">
        <v>6525</v>
      </c>
      <c r="B6586" s="1832"/>
      <c r="D6586" s="2" t="str">
        <f t="shared" si="101"/>
        <v>OK</v>
      </c>
      <c r="E6586" s="4" t="s">
        <v>1989</v>
      </c>
    </row>
    <row r="6587" spans="1:5" x14ac:dyDescent="0.2">
      <c r="A6587" s="126">
        <v>6526</v>
      </c>
      <c r="B6587" s="1832"/>
      <c r="D6587" s="2" t="str">
        <f t="shared" si="101"/>
        <v>OK</v>
      </c>
      <c r="E6587" s="4" t="s">
        <v>1989</v>
      </c>
    </row>
    <row r="6588" spans="1:5" x14ac:dyDescent="0.2">
      <c r="A6588" s="126">
        <v>6527</v>
      </c>
      <c r="B6588" s="1832"/>
      <c r="D6588" s="2" t="str">
        <f t="shared" si="101"/>
        <v>OK</v>
      </c>
      <c r="E6588" s="4" t="s">
        <v>1989</v>
      </c>
    </row>
    <row r="6589" spans="1:5" x14ac:dyDescent="0.2">
      <c r="A6589" s="126">
        <v>6528</v>
      </c>
      <c r="B6589" s="1832"/>
      <c r="D6589" s="2" t="str">
        <f t="shared" si="101"/>
        <v>OK</v>
      </c>
      <c r="E6589" s="4" t="s">
        <v>1989</v>
      </c>
    </row>
    <row r="6590" spans="1:5" x14ac:dyDescent="0.2">
      <c r="A6590" s="126">
        <v>6529</v>
      </c>
      <c r="B6590" s="1832"/>
      <c r="D6590" s="2" t="str">
        <f t="shared" si="101"/>
        <v>OK</v>
      </c>
      <c r="E6590" s="4" t="s">
        <v>1989</v>
      </c>
    </row>
    <row r="6591" spans="1:5" x14ac:dyDescent="0.2">
      <c r="A6591" s="126">
        <v>6530</v>
      </c>
      <c r="B6591" s="1832"/>
      <c r="D6591" s="2" t="str">
        <f t="shared" ref="D6591:D6654" si="102">IF(ISBLANK(B6591),"OK",IF(A6591-B6591=0,"OK","Error?"))</f>
        <v>OK</v>
      </c>
      <c r="E6591" s="4" t="s">
        <v>1989</v>
      </c>
    </row>
    <row r="6592" spans="1:5" x14ac:dyDescent="0.2">
      <c r="A6592" s="126">
        <v>6531</v>
      </c>
      <c r="B6592" s="1832"/>
      <c r="D6592" s="2" t="str">
        <f t="shared" si="102"/>
        <v>OK</v>
      </c>
      <c r="E6592" s="4" t="s">
        <v>1989</v>
      </c>
    </row>
    <row r="6593" spans="1:5" x14ac:dyDescent="0.2">
      <c r="A6593" s="126">
        <v>6532</v>
      </c>
      <c r="B6593" s="1832"/>
      <c r="D6593" s="2" t="str">
        <f t="shared" si="102"/>
        <v>OK</v>
      </c>
      <c r="E6593" s="4" t="s">
        <v>1989</v>
      </c>
    </row>
    <row r="6594" spans="1:5" x14ac:dyDescent="0.2">
      <c r="A6594" s="126">
        <v>6533</v>
      </c>
      <c r="B6594" s="1832"/>
      <c r="D6594" s="2" t="str">
        <f t="shared" si="102"/>
        <v>OK</v>
      </c>
      <c r="E6594" s="4" t="s">
        <v>1989</v>
      </c>
    </row>
    <row r="6595" spans="1:5" x14ac:dyDescent="0.2">
      <c r="A6595" s="126">
        <v>6534</v>
      </c>
      <c r="B6595" s="1832"/>
      <c r="D6595" s="2" t="str">
        <f t="shared" si="102"/>
        <v>OK</v>
      </c>
      <c r="E6595" s="4" t="s">
        <v>1989</v>
      </c>
    </row>
    <row r="6596" spans="1:5" x14ac:dyDescent="0.2">
      <c r="A6596" s="126">
        <v>6535</v>
      </c>
      <c r="B6596" s="1832"/>
      <c r="D6596" s="2" t="str">
        <f t="shared" si="102"/>
        <v>OK</v>
      </c>
      <c r="E6596" s="4" t="s">
        <v>1989</v>
      </c>
    </row>
    <row r="6597" spans="1:5" x14ac:dyDescent="0.2">
      <c r="A6597" s="126">
        <v>6536</v>
      </c>
      <c r="B6597" s="1832"/>
      <c r="D6597" s="2" t="str">
        <f t="shared" si="102"/>
        <v>OK</v>
      </c>
      <c r="E6597" s="4" t="s">
        <v>1989</v>
      </c>
    </row>
    <row r="6598" spans="1:5" x14ac:dyDescent="0.2">
      <c r="A6598" s="126">
        <v>6537</v>
      </c>
      <c r="B6598" s="1832"/>
      <c r="D6598" s="2" t="str">
        <f t="shared" si="102"/>
        <v>OK</v>
      </c>
      <c r="E6598" s="4" t="s">
        <v>1989</v>
      </c>
    </row>
    <row r="6599" spans="1:5" x14ac:dyDescent="0.2">
      <c r="A6599" s="126">
        <v>6538</v>
      </c>
      <c r="B6599" s="1832"/>
      <c r="D6599" s="2" t="str">
        <f t="shared" si="102"/>
        <v>OK</v>
      </c>
      <c r="E6599" s="4" t="s">
        <v>1989</v>
      </c>
    </row>
    <row r="6600" spans="1:5" x14ac:dyDescent="0.2">
      <c r="A6600" s="126">
        <v>6539</v>
      </c>
      <c r="B6600" s="1832"/>
      <c r="D6600" s="2" t="str">
        <f t="shared" si="102"/>
        <v>OK</v>
      </c>
      <c r="E6600" s="4" t="s">
        <v>1989</v>
      </c>
    </row>
    <row r="6601" spans="1:5" x14ac:dyDescent="0.2">
      <c r="A6601" s="126">
        <v>6540</v>
      </c>
      <c r="B6601" s="1832"/>
      <c r="D6601" s="2" t="str">
        <f t="shared" si="102"/>
        <v>OK</v>
      </c>
      <c r="E6601" s="4" t="s">
        <v>1989</v>
      </c>
    </row>
    <row r="6602" spans="1:5" x14ac:dyDescent="0.2">
      <c r="A6602" s="126">
        <v>6541</v>
      </c>
      <c r="B6602" s="1832"/>
      <c r="D6602" s="2" t="str">
        <f t="shared" si="102"/>
        <v>OK</v>
      </c>
      <c r="E6602" s="4" t="s">
        <v>1989</v>
      </c>
    </row>
    <row r="6603" spans="1:5" x14ac:dyDescent="0.2">
      <c r="A6603" s="126">
        <v>6542</v>
      </c>
      <c r="B6603" s="1832"/>
      <c r="D6603" s="2" t="str">
        <f t="shared" si="102"/>
        <v>OK</v>
      </c>
      <c r="E6603" s="4" t="s">
        <v>1989</v>
      </c>
    </row>
    <row r="6604" spans="1:5" x14ac:dyDescent="0.2">
      <c r="A6604" s="126">
        <v>6543</v>
      </c>
      <c r="B6604" s="1832"/>
      <c r="D6604" s="2" t="str">
        <f t="shared" si="102"/>
        <v>OK</v>
      </c>
      <c r="E6604" s="4" t="s">
        <v>1989</v>
      </c>
    </row>
    <row r="6605" spans="1:5" x14ac:dyDescent="0.2">
      <c r="A6605" s="126">
        <v>6544</v>
      </c>
      <c r="B6605" s="1832"/>
      <c r="D6605" s="2" t="str">
        <f t="shared" si="102"/>
        <v>OK</v>
      </c>
      <c r="E6605" s="4" t="s">
        <v>1989</v>
      </c>
    </row>
    <row r="6606" spans="1:5" x14ac:dyDescent="0.2">
      <c r="A6606" s="126">
        <v>6545</v>
      </c>
      <c r="B6606" s="1832"/>
      <c r="D6606" s="2" t="str">
        <f t="shared" si="102"/>
        <v>OK</v>
      </c>
      <c r="E6606" s="4" t="s">
        <v>1989</v>
      </c>
    </row>
    <row r="6607" spans="1:5" x14ac:dyDescent="0.2">
      <c r="A6607" s="126">
        <v>6546</v>
      </c>
      <c r="B6607" s="1832"/>
      <c r="D6607" s="2" t="str">
        <f t="shared" si="102"/>
        <v>OK</v>
      </c>
      <c r="E6607" s="4" t="s">
        <v>1989</v>
      </c>
    </row>
    <row r="6608" spans="1:5" x14ac:dyDescent="0.2">
      <c r="A6608" s="126">
        <v>6547</v>
      </c>
      <c r="B6608" s="1832"/>
      <c r="D6608" s="2" t="str">
        <f t="shared" si="102"/>
        <v>OK</v>
      </c>
      <c r="E6608" s="4" t="s">
        <v>1989</v>
      </c>
    </row>
    <row r="6609" spans="1:5" x14ac:dyDescent="0.2">
      <c r="A6609" s="126">
        <v>6548</v>
      </c>
      <c r="B6609" s="1832"/>
      <c r="D6609" s="2" t="str">
        <f t="shared" si="102"/>
        <v>OK</v>
      </c>
      <c r="E6609" s="4" t="s">
        <v>1989</v>
      </c>
    </row>
    <row r="6610" spans="1:5" x14ac:dyDescent="0.2">
      <c r="A6610" s="126">
        <v>6549</v>
      </c>
      <c r="B6610" s="1832"/>
      <c r="D6610" s="2" t="str">
        <f t="shared" si="102"/>
        <v>OK</v>
      </c>
      <c r="E6610" s="4" t="s">
        <v>1989</v>
      </c>
    </row>
    <row r="6611" spans="1:5" x14ac:dyDescent="0.2">
      <c r="A6611" s="126">
        <v>6550</v>
      </c>
      <c r="B6611" s="1832"/>
      <c r="D6611" s="2" t="str">
        <f t="shared" si="102"/>
        <v>OK</v>
      </c>
      <c r="E6611" s="4" t="s">
        <v>1989</v>
      </c>
    </row>
    <row r="6612" spans="1:5" x14ac:dyDescent="0.2">
      <c r="A6612" s="126">
        <v>6551</v>
      </c>
      <c r="B6612" s="1832"/>
      <c r="D6612" s="2" t="str">
        <f t="shared" si="102"/>
        <v>OK</v>
      </c>
      <c r="E6612" s="4" t="s">
        <v>1989</v>
      </c>
    </row>
    <row r="6613" spans="1:5" x14ac:dyDescent="0.2">
      <c r="A6613" s="126">
        <v>6552</v>
      </c>
      <c r="B6613" s="1832"/>
      <c r="D6613" s="2" t="str">
        <f t="shared" si="102"/>
        <v>OK</v>
      </c>
      <c r="E6613" s="4" t="s">
        <v>1989</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275785</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1893</v>
      </c>
    </row>
    <row r="6842" spans="1:5" x14ac:dyDescent="0.2">
      <c r="A6842" s="126">
        <v>6781</v>
      </c>
      <c r="B6842" s="1832"/>
      <c r="D6842" s="2" t="str">
        <f t="shared" si="105"/>
        <v>OK</v>
      </c>
      <c r="E6842" s="1" t="s">
        <v>1893</v>
      </c>
    </row>
    <row r="6843" spans="1:5" x14ac:dyDescent="0.2">
      <c r="A6843" s="126">
        <v>6782</v>
      </c>
      <c r="B6843" s="1832"/>
      <c r="D6843" s="2" t="str">
        <f t="shared" si="105"/>
        <v>OK</v>
      </c>
      <c r="E6843" s="1" t="s">
        <v>1893</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326820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136530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389809</v>
      </c>
      <c r="D6880" s="2" t="str">
        <f t="shared" si="106"/>
        <v>Error?</v>
      </c>
    </row>
    <row r="6881" spans="1:4" x14ac:dyDescent="0.2">
      <c r="A6881">
        <v>6820</v>
      </c>
      <c r="B6881" s="1832">
        <f>'Expenditures 15-22'!K22</f>
        <v>389809</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1736180</v>
      </c>
      <c r="D6983" s="2" t="str">
        <f t="shared" si="108"/>
        <v>Error?</v>
      </c>
    </row>
    <row r="6984" spans="1:4" x14ac:dyDescent="0.2">
      <c r="A6984">
        <v>6923</v>
      </c>
      <c r="B6984" s="1832">
        <f>'Expenditures 15-22'!K86</f>
        <v>1736180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1736180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619590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598360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18130</v>
      </c>
      <c r="D7073" s="2" t="str">
        <f t="shared" si="109"/>
        <v>Error?</v>
      </c>
    </row>
    <row r="7074" spans="1:4" x14ac:dyDescent="0.2">
      <c r="A7074">
        <v>7013</v>
      </c>
      <c r="B7074" s="1832">
        <f>'Expenditures 15-22'!K216</f>
        <v>18130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1449</v>
      </c>
      <c r="D7079" s="2" t="str">
        <f t="shared" si="109"/>
        <v>Error?</v>
      </c>
    </row>
    <row r="7080" spans="1:4" x14ac:dyDescent="0.2">
      <c r="A7080">
        <v>7019</v>
      </c>
      <c r="B7080" s="1832">
        <f>'Expenditures 15-22'!K226</f>
        <v>1449</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32606</v>
      </c>
      <c r="D7089" s="2" t="str">
        <f t="shared" si="109"/>
        <v>Error?</v>
      </c>
    </row>
    <row r="7090" spans="1:4" x14ac:dyDescent="0.2">
      <c r="A7090">
        <v>7029</v>
      </c>
      <c r="B7090" s="1832">
        <f>'Expenditures 15-22'!K252</f>
        <v>32606</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115741</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115741</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628</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628</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25923</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25923</v>
      </c>
      <c r="D7153" s="2" t="str">
        <f t="shared" si="110"/>
        <v>Error?</v>
      </c>
    </row>
    <row r="7154" spans="1:4" x14ac:dyDescent="0.2">
      <c r="A7154">
        <v>7093</v>
      </c>
      <c r="B7154" s="1832">
        <f>'Expenditures 15-22'!C323</f>
        <v>196811</v>
      </c>
      <c r="D7154" s="2" t="str">
        <f t="shared" si="110"/>
        <v>Error?</v>
      </c>
    </row>
    <row r="7155" spans="1:4" x14ac:dyDescent="0.2">
      <c r="A7155">
        <v>7094</v>
      </c>
      <c r="B7155" s="1832">
        <f>'Expenditures 15-22'!D323</f>
        <v>20544</v>
      </c>
      <c r="D7155" s="2" t="str">
        <f t="shared" si="110"/>
        <v>Error?</v>
      </c>
    </row>
    <row r="7156" spans="1:4" x14ac:dyDescent="0.2">
      <c r="A7156">
        <v>7095</v>
      </c>
      <c r="B7156" s="1832">
        <f>'Expenditures 15-22'!E323</f>
        <v>3000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220355</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196811</v>
      </c>
      <c r="D7199" s="2" t="str">
        <f t="shared" si="111"/>
        <v>Error?</v>
      </c>
    </row>
    <row r="7200" spans="1:4" x14ac:dyDescent="0.2">
      <c r="A7200">
        <v>7139</v>
      </c>
      <c r="B7200" s="1832">
        <f>'Expenditures 15-22'!D330</f>
        <v>20544</v>
      </c>
      <c r="D7200" s="2" t="str">
        <f t="shared" si="111"/>
        <v>Error?</v>
      </c>
    </row>
    <row r="7201" spans="1:4" x14ac:dyDescent="0.2">
      <c r="A7201">
        <v>7140</v>
      </c>
      <c r="B7201" s="1832">
        <f>'Expenditures 15-22'!E330</f>
        <v>402235</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619590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196811</v>
      </c>
      <c r="D7216" s="2" t="str">
        <f t="shared" si="111"/>
        <v>Error?</v>
      </c>
    </row>
    <row r="7217" spans="1:4" x14ac:dyDescent="0.2">
      <c r="A7217">
        <v>7156</v>
      </c>
      <c r="B7217" s="1832">
        <f>'Expenditures 15-22'!D342</f>
        <v>20544</v>
      </c>
      <c r="D7217" s="2" t="str">
        <f t="shared" si="111"/>
        <v>Error?</v>
      </c>
    </row>
    <row r="7218" spans="1:4" x14ac:dyDescent="0.2">
      <c r="A7218">
        <v>7157</v>
      </c>
      <c r="B7218" s="1832">
        <f>'Expenditures 15-22'!E342</f>
        <v>402235</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619590</v>
      </c>
      <c r="D7224" s="2" t="str">
        <f t="shared" si="111"/>
        <v>Error?</v>
      </c>
    </row>
    <row r="7225" spans="1:4" x14ac:dyDescent="0.2">
      <c r="A7225">
        <v>7164</v>
      </c>
      <c r="B7225" s="1832">
        <f>'Expenditures 15-22'!K343</f>
        <v>-21230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33378</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17657</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103096</v>
      </c>
      <c r="D7263" s="2" t="str">
        <f t="shared" si="112"/>
        <v>Error?</v>
      </c>
    </row>
    <row r="7264" spans="1:4" x14ac:dyDescent="0.2">
      <c r="A7264">
        <f t="shared" si="113"/>
        <v>7203</v>
      </c>
      <c r="B7264" s="1832">
        <f>'Expenditures 15-22'!D17</f>
        <v>8178</v>
      </c>
      <c r="D7264" s="2" t="str">
        <f t="shared" si="112"/>
        <v>Error?</v>
      </c>
    </row>
    <row r="7265" spans="1:5" x14ac:dyDescent="0.2">
      <c r="A7265">
        <f t="shared" si="113"/>
        <v>7204</v>
      </c>
      <c r="B7265" s="1832">
        <f>'Expenditures 15-22'!E17</f>
        <v>609</v>
      </c>
      <c r="D7265" s="2" t="str">
        <f t="shared" si="112"/>
        <v>Error?</v>
      </c>
    </row>
    <row r="7266" spans="1:5" x14ac:dyDescent="0.2">
      <c r="A7266">
        <f t="shared" si="113"/>
        <v>7205</v>
      </c>
      <c r="B7266" s="1832">
        <f>'Expenditures 15-22'!F17</f>
        <v>1692</v>
      </c>
      <c r="D7266" s="2" t="str">
        <f t="shared" si="112"/>
        <v>Error?</v>
      </c>
    </row>
    <row r="7267" spans="1:5" x14ac:dyDescent="0.2">
      <c r="A7267">
        <f t="shared" si="113"/>
        <v>7206</v>
      </c>
      <c r="B7267" s="1832">
        <f>'Expenditures 15-22'!G17</f>
        <v>22955</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10486</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10486</v>
      </c>
      <c r="D7618" s="2" t="str">
        <f t="shared" si="124"/>
        <v>Error?</v>
      </c>
      <c r="E7618" s="2" t="s">
        <v>19</v>
      </c>
    </row>
    <row r="7619" spans="1:5" x14ac:dyDescent="0.2">
      <c r="A7619">
        <f t="shared" si="123"/>
        <v>7558</v>
      </c>
      <c r="B7619" s="1832">
        <f>'Cap Outlay Deprec 26'!H14</f>
        <v>7294</v>
      </c>
      <c r="D7619" s="2" t="str">
        <f t="shared" si="124"/>
        <v>Error?</v>
      </c>
      <c r="E7619" s="2" t="s">
        <v>19</v>
      </c>
    </row>
    <row r="7620" spans="1:5" x14ac:dyDescent="0.2">
      <c r="A7620">
        <f t="shared" si="123"/>
        <v>7559</v>
      </c>
      <c r="B7620" s="1832">
        <f>'Cap Outlay Deprec 26'!I14</f>
        <v>3192</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10486</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1184130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1990</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1990</v>
      </c>
    </row>
    <row r="7641" spans="1:6" x14ac:dyDescent="0.2">
      <c r="A7641" s="126">
        <f t="shared" si="125"/>
        <v>7580</v>
      </c>
      <c r="B7641" s="1833"/>
      <c r="D7641" s="2" t="str">
        <f t="shared" si="124"/>
        <v>OK</v>
      </c>
      <c r="E7641" s="4" t="s">
        <v>1990</v>
      </c>
    </row>
    <row r="7642" spans="1:6" x14ac:dyDescent="0.2">
      <c r="A7642" s="126">
        <f t="shared" si="125"/>
        <v>7581</v>
      </c>
      <c r="B7642" s="1833"/>
      <c r="D7642" s="2" t="str">
        <f t="shared" si="124"/>
        <v>OK</v>
      </c>
      <c r="E7642" s="4" t="s">
        <v>1990</v>
      </c>
    </row>
    <row r="7643" spans="1:6" x14ac:dyDescent="0.2">
      <c r="A7643" s="126">
        <f t="shared" si="125"/>
        <v>7582</v>
      </c>
      <c r="B7643" s="1833"/>
      <c r="D7643" s="2" t="str">
        <f t="shared" si="124"/>
        <v>OK</v>
      </c>
      <c r="E7643" s="4" t="s">
        <v>1990</v>
      </c>
    </row>
    <row r="7644" spans="1:6" x14ac:dyDescent="0.2">
      <c r="A7644" s="126">
        <f t="shared" si="125"/>
        <v>7583</v>
      </c>
      <c r="B7644" s="1833"/>
      <c r="D7644" s="2" t="str">
        <f t="shared" si="124"/>
        <v>OK</v>
      </c>
      <c r="E7644" s="4" t="s">
        <v>1990</v>
      </c>
    </row>
    <row r="7645" spans="1:6" x14ac:dyDescent="0.2">
      <c r="A7645" s="126">
        <f t="shared" si="125"/>
        <v>7584</v>
      </c>
      <c r="B7645" s="1833"/>
      <c r="D7645" s="2" t="str">
        <f t="shared" si="124"/>
        <v>OK</v>
      </c>
      <c r="E7645" s="4" t="s">
        <v>1990</v>
      </c>
    </row>
    <row r="7646" spans="1:6" x14ac:dyDescent="0.2">
      <c r="A7646" s="126">
        <f t="shared" si="125"/>
        <v>7585</v>
      </c>
      <c r="B7646" s="1833"/>
      <c r="D7646" s="2" t="str">
        <f t="shared" si="124"/>
        <v>OK</v>
      </c>
      <c r="E7646" s="4" t="s">
        <v>1990</v>
      </c>
    </row>
    <row r="7647" spans="1:6" x14ac:dyDescent="0.2">
      <c r="A7647" s="126">
        <f t="shared" si="125"/>
        <v>7586</v>
      </c>
      <c r="B7647" s="1833"/>
      <c r="D7647" s="2" t="str">
        <f t="shared" si="124"/>
        <v>OK</v>
      </c>
      <c r="E7647" s="4" t="s">
        <v>1990</v>
      </c>
    </row>
    <row r="7648" spans="1:6" x14ac:dyDescent="0.2">
      <c r="A7648" s="126">
        <f t="shared" si="125"/>
        <v>7587</v>
      </c>
      <c r="B7648" s="1833"/>
      <c r="D7648" s="2" t="str">
        <f t="shared" si="124"/>
        <v>OK</v>
      </c>
      <c r="E7648" s="4" t="s">
        <v>1990</v>
      </c>
    </row>
    <row r="7649" spans="1:5" x14ac:dyDescent="0.2">
      <c r="A7649" s="126">
        <f t="shared" si="125"/>
        <v>7588</v>
      </c>
      <c r="B7649" s="1833"/>
      <c r="D7649" s="2" t="str">
        <f t="shared" si="124"/>
        <v>OK</v>
      </c>
      <c r="E7649" s="4" t="s">
        <v>1990</v>
      </c>
    </row>
    <row r="7650" spans="1:5" x14ac:dyDescent="0.2">
      <c r="A7650" s="126">
        <f t="shared" si="125"/>
        <v>7589</v>
      </c>
      <c r="B7650" s="1833"/>
      <c r="D7650" s="2" t="str">
        <f t="shared" si="124"/>
        <v>OK</v>
      </c>
      <c r="E7650" s="4" t="s">
        <v>1990</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222317</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222317</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34626</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34626</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774619</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14516</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14398</v>
      </c>
      <c r="D7712" s="2" t="str">
        <f t="shared" si="126"/>
        <v>Error?</v>
      </c>
      <c r="E7712" s="2" t="s">
        <v>822</v>
      </c>
    </row>
    <row r="7713" spans="1:6" x14ac:dyDescent="0.2">
      <c r="A7713">
        <v>7652</v>
      </c>
      <c r="B7713" s="1832">
        <f>'Rest Tax Levies-Tort Im 25'!J8</f>
        <v>738419</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752935</v>
      </c>
      <c r="D7718" s="2" t="str">
        <f t="shared" si="126"/>
        <v>Error?</v>
      </c>
      <c r="E7718" s="2" t="s">
        <v>822</v>
      </c>
    </row>
    <row r="7719" spans="1:6" x14ac:dyDescent="0.2">
      <c r="A7719">
        <v>7658</v>
      </c>
      <c r="B7719" s="1832">
        <f>'Rest Tax Levies-Tort Im 25'!K12</f>
        <v>14398</v>
      </c>
      <c r="D7719" s="2" t="str">
        <f t="shared" si="126"/>
        <v>Error?</v>
      </c>
      <c r="E7719" s="2" t="s">
        <v>822</v>
      </c>
    </row>
    <row r="7720" spans="1:6" x14ac:dyDescent="0.2">
      <c r="A7720">
        <v>7659</v>
      </c>
      <c r="B7720" s="1832">
        <f>'Rest Tax Levies-Tort Im 25'!H14</f>
        <v>31891</v>
      </c>
      <c r="D7720" s="2" t="str">
        <f t="shared" si="126"/>
        <v>Error?</v>
      </c>
      <c r="E7720" s="2" t="s">
        <v>822</v>
      </c>
    </row>
    <row r="7721" spans="1:6" x14ac:dyDescent="0.2">
      <c r="A7721">
        <v>7660</v>
      </c>
      <c r="B7721" s="1832">
        <f>'Rest Tax Levies-Tort Im 25'!K14</f>
        <v>14398</v>
      </c>
      <c r="D7721" s="2" t="str">
        <f t="shared" si="126"/>
        <v>Error?</v>
      </c>
      <c r="E7721" s="2" t="s">
        <v>822</v>
      </c>
    </row>
    <row r="7722" spans="1:6" x14ac:dyDescent="0.2">
      <c r="A7722">
        <v>7661</v>
      </c>
      <c r="B7722" s="1832">
        <f>'Rest Tax Levies-Tort Im 25'!J15</f>
        <v>188435</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173587</v>
      </c>
      <c r="D7724" s="2" t="str">
        <f t="shared" si="126"/>
        <v>Error?</v>
      </c>
      <c r="E7724" s="2" t="s">
        <v>822</v>
      </c>
      <c r="F7724" s="2"/>
    </row>
    <row r="7725" spans="1:6" x14ac:dyDescent="0.2">
      <c r="A7725">
        <v>7664</v>
      </c>
      <c r="B7725" s="1832">
        <f>'Rest Tax Levies-Tort Im 25'!J19</f>
        <v>360000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533587</v>
      </c>
      <c r="D7727" s="2" t="str">
        <f t="shared" si="126"/>
        <v>Error?</v>
      </c>
      <c r="E7727" s="2" t="s">
        <v>822</v>
      </c>
    </row>
    <row r="7728" spans="1:6" x14ac:dyDescent="0.2">
      <c r="A7728">
        <v>7667</v>
      </c>
      <c r="B7728" s="1832">
        <f>'Revenues 9-14'!E103</f>
        <v>549984</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722022</v>
      </c>
      <c r="D7730" s="2" t="str">
        <f t="shared" si="126"/>
        <v>Error?</v>
      </c>
      <c r="E7730" s="2" t="s">
        <v>822</v>
      </c>
    </row>
    <row r="7731" spans="1:6" x14ac:dyDescent="0.2">
      <c r="A7731">
        <v>7670</v>
      </c>
      <c r="B7731" s="1832">
        <f>'Revenues 9-14'!H103</f>
        <v>188435</v>
      </c>
      <c r="D7731" s="2" t="str">
        <f t="shared" si="126"/>
        <v>Error?</v>
      </c>
      <c r="E7731" s="2" t="s">
        <v>822</v>
      </c>
    </row>
    <row r="7732" spans="1:6" x14ac:dyDescent="0.2">
      <c r="A7732">
        <v>7671</v>
      </c>
      <c r="B7732" s="1832">
        <f>'Rest Tax Levies-Tort Im 25'!J24</f>
        <v>805532</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805532</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1992</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1535</v>
      </c>
    </row>
    <row r="7774" spans="1:5" x14ac:dyDescent="0.2">
      <c r="A7774">
        <v>7713</v>
      </c>
      <c r="B7774" s="1832">
        <f>'Expenditures 15-22'!E133</f>
        <v>0</v>
      </c>
      <c r="D7774" s="2" t="str">
        <f t="shared" si="127"/>
        <v>Error?</v>
      </c>
      <c r="E7774" s="4" t="s">
        <v>1821</v>
      </c>
    </row>
    <row r="7775" spans="1:5" x14ac:dyDescent="0.2">
      <c r="A7775">
        <v>7714</v>
      </c>
      <c r="B7775" s="1832">
        <f>'Expenditures 15-22'!H133</f>
        <v>0</v>
      </c>
      <c r="D7775" s="2" t="str">
        <f t="shared" si="127"/>
        <v>Error?</v>
      </c>
      <c r="E7775" s="4" t="s">
        <v>1821</v>
      </c>
    </row>
    <row r="7776" spans="1:5" x14ac:dyDescent="0.2">
      <c r="A7776">
        <v>7715</v>
      </c>
      <c r="B7776" s="1832">
        <f>'Expenditures 15-22'!K133</f>
        <v>0</v>
      </c>
      <c r="D7776" s="2" t="str">
        <f t="shared" si="127"/>
        <v>Error?</v>
      </c>
      <c r="E7776" s="4" t="s">
        <v>1821</v>
      </c>
    </row>
    <row r="7777" spans="1:5" x14ac:dyDescent="0.2">
      <c r="A7777">
        <v>7716</v>
      </c>
      <c r="B7777" s="1832">
        <f>'Expenditures 15-22'!H157</f>
        <v>0</v>
      </c>
      <c r="D7777" s="2" t="str">
        <f t="shared" si="127"/>
        <v>Error?</v>
      </c>
      <c r="E7777" s="4" t="s">
        <v>1821</v>
      </c>
    </row>
    <row r="7778" spans="1:5" x14ac:dyDescent="0.2">
      <c r="A7778">
        <v>7717</v>
      </c>
      <c r="B7778" s="1832">
        <f>'Expenditures 15-22'!K157</f>
        <v>0</v>
      </c>
      <c r="D7778" s="2" t="str">
        <f t="shared" si="127"/>
        <v>Error?</v>
      </c>
      <c r="E7778" s="4" t="s">
        <v>1821</v>
      </c>
    </row>
    <row r="7779" spans="1:5" x14ac:dyDescent="0.2">
      <c r="A7779">
        <v>7718</v>
      </c>
      <c r="B7779" s="1832">
        <f>'Expenditures 15-22'!H158</f>
        <v>0</v>
      </c>
      <c r="D7779" s="2" t="str">
        <f t="shared" si="127"/>
        <v>Error?</v>
      </c>
      <c r="E7779" s="4" t="s">
        <v>1821</v>
      </c>
    </row>
    <row r="7780" spans="1:5" x14ac:dyDescent="0.2">
      <c r="A7780">
        <v>7719</v>
      </c>
      <c r="B7780" s="1832">
        <f>'Expenditures 15-22'!K158</f>
        <v>0</v>
      </c>
      <c r="D7780" s="2" t="str">
        <f t="shared" si="127"/>
        <v>Error?</v>
      </c>
      <c r="E7780" s="4" t="s">
        <v>1821</v>
      </c>
    </row>
    <row r="7781" spans="1:5" x14ac:dyDescent="0.2">
      <c r="A7781">
        <v>7720</v>
      </c>
      <c r="B7781" s="1832">
        <f>'Expenditures 15-22'!H159</f>
        <v>0</v>
      </c>
      <c r="D7781" s="2" t="str">
        <f t="shared" si="127"/>
        <v>Error?</v>
      </c>
      <c r="E7781" s="4" t="s">
        <v>1821</v>
      </c>
    </row>
    <row r="7782" spans="1:5" x14ac:dyDescent="0.2">
      <c r="A7782">
        <v>7721</v>
      </c>
      <c r="B7782" s="1832">
        <f>'Expenditures 15-22'!K159</f>
        <v>0</v>
      </c>
      <c r="D7782" s="2" t="str">
        <f t="shared" si="127"/>
        <v>Error?</v>
      </c>
      <c r="E7782" s="4" t="s">
        <v>1821</v>
      </c>
    </row>
    <row r="7783" spans="1:5" x14ac:dyDescent="0.2">
      <c r="A7783">
        <v>7722</v>
      </c>
      <c r="B7783" s="1832">
        <f>'Expenditures 15-22'!D282</f>
        <v>0</v>
      </c>
      <c r="D7783" s="2" t="str">
        <f t="shared" si="127"/>
        <v>Error?</v>
      </c>
      <c r="E7783" s="4" t="s">
        <v>1821</v>
      </c>
    </row>
    <row r="7784" spans="1:5" x14ac:dyDescent="0.2">
      <c r="A7784">
        <v>7723</v>
      </c>
      <c r="B7784" s="1832">
        <f>'Expenditures 15-22'!K282</f>
        <v>0</v>
      </c>
      <c r="D7784" s="2" t="str">
        <f t="shared" si="127"/>
        <v>Error?</v>
      </c>
      <c r="E7784" s="4" t="s">
        <v>1821</v>
      </c>
    </row>
    <row r="7785" spans="1:5" x14ac:dyDescent="0.2">
      <c r="A7785">
        <v>7724</v>
      </c>
      <c r="B7785" s="1832">
        <f>'Expenditures 15-22'!H332</f>
        <v>0</v>
      </c>
      <c r="D7785" s="2" t="str">
        <f t="shared" si="127"/>
        <v>Error?</v>
      </c>
      <c r="E7785" s="4" t="s">
        <v>1821</v>
      </c>
    </row>
    <row r="7786" spans="1:5" x14ac:dyDescent="0.2">
      <c r="A7786">
        <v>7725</v>
      </c>
      <c r="B7786" s="1832">
        <f>'Expenditures 15-22'!K332</f>
        <v>0</v>
      </c>
      <c r="D7786" s="2" t="str">
        <f t="shared" si="127"/>
        <v>Error?</v>
      </c>
      <c r="E7786" s="4" t="s">
        <v>1821</v>
      </c>
    </row>
    <row r="7787" spans="1:5" x14ac:dyDescent="0.2">
      <c r="A7787">
        <v>7726</v>
      </c>
      <c r="B7787" s="1832">
        <f>'Expenditures 15-22'!H333</f>
        <v>0</v>
      </c>
      <c r="D7787" s="2" t="str">
        <f t="shared" si="127"/>
        <v>Error?</v>
      </c>
      <c r="E7787" s="4" t="s">
        <v>1821</v>
      </c>
    </row>
    <row r="7788" spans="1:5" x14ac:dyDescent="0.2">
      <c r="A7788">
        <v>7727</v>
      </c>
      <c r="B7788" s="1832">
        <f>'Expenditures 15-22'!K333</f>
        <v>0</v>
      </c>
      <c r="D7788" s="2" t="str">
        <f t="shared" si="127"/>
        <v>Error?</v>
      </c>
      <c r="E7788" s="4" t="s">
        <v>1821</v>
      </c>
    </row>
    <row r="7789" spans="1:5" x14ac:dyDescent="0.2">
      <c r="A7789">
        <v>7728</v>
      </c>
      <c r="B7789" s="1832">
        <f>'Expenditures 15-22'!H334</f>
        <v>0</v>
      </c>
      <c r="D7789" s="2" t="str">
        <f t="shared" si="127"/>
        <v>Error?</v>
      </c>
      <c r="E7789" s="4" t="s">
        <v>1821</v>
      </c>
    </row>
    <row r="7790" spans="1:5" x14ac:dyDescent="0.2">
      <c r="A7790">
        <v>7729</v>
      </c>
      <c r="B7790" s="1832">
        <f>'Expenditures 15-22'!K334</f>
        <v>0</v>
      </c>
      <c r="D7790" s="2" t="str">
        <f t="shared" si="127"/>
        <v>Error?</v>
      </c>
      <c r="E7790" s="4" t="s">
        <v>1821</v>
      </c>
    </row>
    <row r="7791" spans="1:5" x14ac:dyDescent="0.2">
      <c r="A7791">
        <v>7730</v>
      </c>
      <c r="B7791" s="1832">
        <f>'Expenditures 15-22'!H354</f>
        <v>0</v>
      </c>
      <c r="D7791" s="2" t="str">
        <f t="shared" si="127"/>
        <v>Error?</v>
      </c>
      <c r="E7791" s="4" t="s">
        <v>1821</v>
      </c>
    </row>
    <row r="7792" spans="1:5" x14ac:dyDescent="0.2">
      <c r="A7792">
        <v>7731</v>
      </c>
      <c r="B7792" s="1832">
        <f>'Expenditures 15-22'!K354</f>
        <v>0</v>
      </c>
      <c r="D7792" s="2" t="str">
        <f t="shared" si="127"/>
        <v>Error?</v>
      </c>
      <c r="E7792" s="4" t="s">
        <v>1821</v>
      </c>
    </row>
    <row r="7793" spans="1:5" x14ac:dyDescent="0.2">
      <c r="A7793">
        <v>7732</v>
      </c>
      <c r="B7793" s="1832">
        <f>'Expenditures 15-22'!H355</f>
        <v>0</v>
      </c>
      <c r="D7793" s="2" t="str">
        <f t="shared" si="127"/>
        <v>Error?</v>
      </c>
      <c r="E7793" s="4" t="s">
        <v>1821</v>
      </c>
    </row>
    <row r="7794" spans="1:5" x14ac:dyDescent="0.2">
      <c r="A7794">
        <v>7733</v>
      </c>
      <c r="B7794" s="1832">
        <f>'Expenditures 15-22'!K355</f>
        <v>0</v>
      </c>
      <c r="D7794" s="2" t="str">
        <f t="shared" si="127"/>
        <v>Error?</v>
      </c>
      <c r="E7794" s="4" t="s">
        <v>1821</v>
      </c>
    </row>
    <row r="7795" spans="1:5" x14ac:dyDescent="0.2">
      <c r="A7795">
        <v>7734</v>
      </c>
      <c r="B7795" s="1832">
        <f>'Expenditures 15-22'!E138</f>
        <v>0</v>
      </c>
      <c r="D7795" s="2" t="str">
        <f t="shared" si="127"/>
        <v>Error?</v>
      </c>
      <c r="E7795" s="4" t="s">
        <v>1821</v>
      </c>
    </row>
    <row r="7796" spans="1:5" x14ac:dyDescent="0.2">
      <c r="A7796">
        <v>7735</v>
      </c>
      <c r="B7796" s="1832">
        <f>'Acct Summary 7-8'!J15</f>
        <v>0</v>
      </c>
      <c r="D7796" s="2" t="str">
        <f t="shared" si="127"/>
        <v>Error?</v>
      </c>
      <c r="E7796" s="4" t="s">
        <v>1821</v>
      </c>
    </row>
    <row r="7797" spans="1:5" x14ac:dyDescent="0.2">
      <c r="A7797" s="126">
        <v>7736</v>
      </c>
      <c r="B7797" s="1832"/>
      <c r="D7797" s="2" t="str">
        <f t="shared" si="127"/>
        <v>OK</v>
      </c>
      <c r="E7797" s="4" t="s">
        <v>1974</v>
      </c>
    </row>
    <row r="7798" spans="1:5" x14ac:dyDescent="0.2">
      <c r="A7798" s="126">
        <v>7737</v>
      </c>
      <c r="B7798" s="1832"/>
      <c r="D7798" s="2" t="str">
        <f t="shared" si="127"/>
        <v>OK</v>
      </c>
      <c r="E7798" s="4" t="s">
        <v>1974</v>
      </c>
    </row>
    <row r="7799" spans="1:5" x14ac:dyDescent="0.2">
      <c r="A7799" s="126">
        <v>7738</v>
      </c>
      <c r="B7799" s="1832"/>
      <c r="D7799" s="2" t="str">
        <f t="shared" si="127"/>
        <v>OK</v>
      </c>
      <c r="E7799" s="4" t="s">
        <v>1974</v>
      </c>
    </row>
    <row r="7800" spans="1:5" x14ac:dyDescent="0.2">
      <c r="A7800">
        <v>7739</v>
      </c>
      <c r="B7800" s="1832">
        <f>'Rest Tax Levies-Tort Im 25'!K23</f>
        <v>14398</v>
      </c>
      <c r="D7800" s="2" t="str">
        <f t="shared" si="127"/>
        <v>Error?</v>
      </c>
      <c r="E7800" s="4" t="s">
        <v>1961</v>
      </c>
    </row>
    <row r="7801" spans="1:5" x14ac:dyDescent="0.2">
      <c r="A7801">
        <v>7740</v>
      </c>
      <c r="B7801" s="1832">
        <f>'Revenues 9-14'!C120</f>
        <v>0</v>
      </c>
      <c r="D7801" s="2" t="str">
        <f t="shared" si="127"/>
        <v>Error?</v>
      </c>
      <c r="E7801" s="4" t="s">
        <v>1895</v>
      </c>
    </row>
    <row r="7802" spans="1:5" x14ac:dyDescent="0.2">
      <c r="A7802">
        <v>7741</v>
      </c>
      <c r="B7802" s="1832">
        <f>'Revenues 9-14'!D120</f>
        <v>0</v>
      </c>
      <c r="D7802" s="2" t="str">
        <f t="shared" si="127"/>
        <v>Error?</v>
      </c>
      <c r="E7802" s="4" t="s">
        <v>1895</v>
      </c>
    </row>
    <row r="7803" spans="1:5" x14ac:dyDescent="0.2">
      <c r="A7803">
        <v>7742</v>
      </c>
      <c r="B7803" s="1832">
        <f>'Revenues 9-14'!E120</f>
        <v>0</v>
      </c>
      <c r="D7803" s="2" t="str">
        <f t="shared" si="127"/>
        <v>Error?</v>
      </c>
      <c r="E7803" s="4" t="s">
        <v>1895</v>
      </c>
    </row>
    <row r="7804" spans="1:5" x14ac:dyDescent="0.2">
      <c r="A7804">
        <v>7743</v>
      </c>
      <c r="B7804" s="1832">
        <f>'Revenues 9-14'!F120</f>
        <v>0</v>
      </c>
      <c r="D7804" s="2" t="str">
        <f t="shared" si="127"/>
        <v>Error?</v>
      </c>
      <c r="E7804" s="4" t="s">
        <v>1895</v>
      </c>
    </row>
    <row r="7805" spans="1:5" x14ac:dyDescent="0.2">
      <c r="A7805">
        <v>7744</v>
      </c>
      <c r="B7805" s="1832">
        <f>'Revenues 9-14'!G120</f>
        <v>0</v>
      </c>
      <c r="D7805" s="2" t="str">
        <f t="shared" si="127"/>
        <v>Error?</v>
      </c>
      <c r="E7805" s="4" t="s">
        <v>1895</v>
      </c>
    </row>
    <row r="7806" spans="1:5" x14ac:dyDescent="0.2">
      <c r="A7806">
        <v>7745</v>
      </c>
      <c r="B7806" s="1832">
        <f>'Revenues 9-14'!H120</f>
        <v>0</v>
      </c>
      <c r="D7806" s="2" t="str">
        <f t="shared" si="127"/>
        <v>Error?</v>
      </c>
      <c r="E7806" s="4" t="s">
        <v>1895</v>
      </c>
    </row>
    <row r="7807" spans="1:5" x14ac:dyDescent="0.2">
      <c r="A7807">
        <v>7746</v>
      </c>
      <c r="B7807" s="1832">
        <f>'Revenues 9-14'!J120</f>
        <v>0</v>
      </c>
      <c r="D7807" s="2" t="str">
        <f t="shared" ref="D7807:D7821" si="128">IF(ISBLANK(B7807),"OK",IF(A7807-B7807=0,"OK","Error?"))</f>
        <v>Error?</v>
      </c>
      <c r="E7807" s="4" t="s">
        <v>1895</v>
      </c>
    </row>
    <row r="7808" spans="1:5" x14ac:dyDescent="0.2">
      <c r="A7808">
        <v>7747</v>
      </c>
      <c r="B7808" s="1832">
        <f>'Revenues 9-14'!K120</f>
        <v>0</v>
      </c>
      <c r="D7808" s="2" t="str">
        <f t="shared" si="128"/>
        <v>Error?</v>
      </c>
      <c r="E7808" s="4" t="s">
        <v>1895</v>
      </c>
    </row>
    <row r="7809" spans="1:5" x14ac:dyDescent="0.2">
      <c r="A7809">
        <v>7748</v>
      </c>
      <c r="B7809" s="1832">
        <f>'Revenues 9-14'!C261</f>
        <v>0</v>
      </c>
      <c r="D7809" s="2" t="str">
        <f t="shared" si="128"/>
        <v>Error?</v>
      </c>
      <c r="E7809" s="4" t="s">
        <v>1896</v>
      </c>
    </row>
    <row r="7810" spans="1:5" x14ac:dyDescent="0.2">
      <c r="A7810">
        <v>7749</v>
      </c>
      <c r="B7810" s="1832">
        <f>'Revenues 9-14'!D261</f>
        <v>0</v>
      </c>
      <c r="D7810" s="2" t="str">
        <f t="shared" si="128"/>
        <v>Error?</v>
      </c>
      <c r="E7810" s="4" t="s">
        <v>1896</v>
      </c>
    </row>
    <row r="7811" spans="1:5" x14ac:dyDescent="0.2">
      <c r="A7811">
        <v>7750</v>
      </c>
      <c r="B7811" s="1832">
        <f>'Revenues 9-14'!F261</f>
        <v>0</v>
      </c>
      <c r="D7811" s="2" t="str">
        <f t="shared" si="128"/>
        <v>Error?</v>
      </c>
      <c r="E7811" s="4" t="s">
        <v>1896</v>
      </c>
    </row>
    <row r="7812" spans="1:5" x14ac:dyDescent="0.2">
      <c r="A7812">
        <v>7751</v>
      </c>
      <c r="B7812" s="1832">
        <f>'Revenues 9-14'!G261</f>
        <v>0</v>
      </c>
      <c r="D7812" s="2" t="str">
        <f t="shared" si="128"/>
        <v>Error?</v>
      </c>
      <c r="E7812" s="4" t="s">
        <v>1896</v>
      </c>
    </row>
    <row r="7813" spans="1:5" x14ac:dyDescent="0.2">
      <c r="A7813">
        <v>7752</v>
      </c>
      <c r="B7813" s="1832">
        <f>'Revenues 9-14'!C262</f>
        <v>0</v>
      </c>
      <c r="D7813" s="2" t="str">
        <f t="shared" si="128"/>
        <v>Error?</v>
      </c>
      <c r="E7813" s="4" t="s">
        <v>1897</v>
      </c>
    </row>
    <row r="7814" spans="1:5" x14ac:dyDescent="0.2">
      <c r="A7814">
        <v>7753</v>
      </c>
      <c r="B7814" s="1832">
        <f>'Revenues 9-14'!D262</f>
        <v>0</v>
      </c>
      <c r="D7814" s="2" t="str">
        <f t="shared" si="128"/>
        <v>Error?</v>
      </c>
      <c r="E7814" s="4" t="s">
        <v>1897</v>
      </c>
    </row>
    <row r="7815" spans="1:5" x14ac:dyDescent="0.2">
      <c r="A7815">
        <v>7754</v>
      </c>
      <c r="B7815" s="1832">
        <f>'Revenues 9-14'!F262</f>
        <v>0</v>
      </c>
      <c r="D7815" s="2" t="str">
        <f t="shared" si="128"/>
        <v>Error?</v>
      </c>
      <c r="E7815" s="4" t="s">
        <v>1897</v>
      </c>
    </row>
    <row r="7816" spans="1:5" x14ac:dyDescent="0.2">
      <c r="A7816">
        <v>7755</v>
      </c>
      <c r="B7816" s="1832">
        <f>'Revenues 9-14'!G262</f>
        <v>0</v>
      </c>
      <c r="D7816" s="2" t="str">
        <f t="shared" si="128"/>
        <v>Error?</v>
      </c>
      <c r="E7816" s="4" t="s">
        <v>1897</v>
      </c>
    </row>
    <row r="7817" spans="1:5" x14ac:dyDescent="0.2">
      <c r="A7817">
        <v>7756</v>
      </c>
      <c r="B7817" s="1832">
        <f>'Short-Term Long-Term Debt 24'!C49</f>
        <v>8165000</v>
      </c>
      <c r="D7817" s="2" t="str">
        <f t="shared" si="128"/>
        <v>Error?</v>
      </c>
      <c r="E7817" s="4" t="s">
        <v>1961</v>
      </c>
    </row>
    <row r="7818" spans="1:5" x14ac:dyDescent="0.2">
      <c r="A7818">
        <v>7757</v>
      </c>
      <c r="B7818" s="1832">
        <f>'PCTC-OEPP 27-28'!F172</f>
        <v>537529.42000000004</v>
      </c>
      <c r="D7818" s="2" t="str">
        <f t="shared" si="128"/>
        <v>Error?</v>
      </c>
      <c r="E7818" s="4" t="s">
        <v>1975</v>
      </c>
    </row>
    <row r="7819" spans="1:5" x14ac:dyDescent="0.2">
      <c r="A7819">
        <v>7758</v>
      </c>
      <c r="B7819" s="1832">
        <f>'PCTC-OEPP 27-28'!F173</f>
        <v>118855.99</v>
      </c>
      <c r="D7819" s="2" t="str">
        <f t="shared" si="128"/>
        <v>Error?</v>
      </c>
      <c r="E7819" s="4" t="s">
        <v>1975</v>
      </c>
    </row>
    <row r="7820" spans="1:5" x14ac:dyDescent="0.2">
      <c r="A7820">
        <v>7759</v>
      </c>
      <c r="B7820" s="1832">
        <f>'ICR Computation 30'!E40</f>
        <v>-762052</v>
      </c>
      <c r="D7820" s="2" t="str">
        <f t="shared" si="128"/>
        <v>Error?</v>
      </c>
    </row>
    <row r="7821" spans="1:5" x14ac:dyDescent="0.2">
      <c r="A7821">
        <v>7760</v>
      </c>
      <c r="B7821" s="1832">
        <f>'ICR Computation 30'!G40</f>
        <v>-762052</v>
      </c>
      <c r="D7821" s="2" t="str">
        <f t="shared" si="128"/>
        <v>Error?</v>
      </c>
    </row>
    <row r="7822" spans="1:5" x14ac:dyDescent="0.2">
      <c r="A7822" s="1">
        <v>7761</v>
      </c>
      <c r="B7822" s="1832">
        <f>'PCTC-OEPP 27-28'!F14</f>
        <v>22939116</v>
      </c>
      <c r="D7822" s="4" t="s">
        <v>1992</v>
      </c>
      <c r="E7822" s="4" t="s">
        <v>1993</v>
      </c>
    </row>
    <row r="7823" spans="1:5" x14ac:dyDescent="0.2">
      <c r="A7823" s="1">
        <v>7762</v>
      </c>
      <c r="B7823" s="1832">
        <f>'PCTC-OEPP 27-28'!F30</f>
        <v>0</v>
      </c>
      <c r="D7823" s="4" t="s">
        <v>1992</v>
      </c>
      <c r="E7823" s="4" t="s">
        <v>1993</v>
      </c>
    </row>
    <row r="7824" spans="1:5" x14ac:dyDescent="0.2">
      <c r="A7824" s="1">
        <v>7763</v>
      </c>
      <c r="B7824" s="1832">
        <f>'PCTC-OEPP 27-28'!F31</f>
        <v>0</v>
      </c>
      <c r="D7824" s="4" t="s">
        <v>1992</v>
      </c>
      <c r="E7824" s="4" t="s">
        <v>1993</v>
      </c>
    </row>
    <row r="7825" spans="1:5" x14ac:dyDescent="0.2">
      <c r="A7825" s="1">
        <v>7764</v>
      </c>
      <c r="B7825" s="1832">
        <f>'PCTC-OEPP 27-28'!F32</f>
        <v>0</v>
      </c>
      <c r="D7825" s="2" t="str">
        <f t="shared" ref="D7825:D7887" si="129">IF(ISBLANK(B7825),"OK",IF(A7825-B7825=0,"OK","Error?"))</f>
        <v>Error?</v>
      </c>
      <c r="E7825" s="4" t="s">
        <v>1993</v>
      </c>
    </row>
    <row r="7826" spans="1:5" x14ac:dyDescent="0.2">
      <c r="A7826">
        <v>7765</v>
      </c>
      <c r="B7826" s="1832">
        <f>'PCTC-OEPP 27-28'!F34</f>
        <v>326820</v>
      </c>
      <c r="D7826" s="2" t="str">
        <f t="shared" si="129"/>
        <v>Error?</v>
      </c>
      <c r="E7826" s="4" t="s">
        <v>1993</v>
      </c>
    </row>
    <row r="7827" spans="1:5" x14ac:dyDescent="0.2">
      <c r="A7827">
        <v>7766</v>
      </c>
      <c r="B7827" s="1832">
        <f>'PCTC-OEPP 27-28'!F35</f>
        <v>0</v>
      </c>
      <c r="D7827" s="2" t="str">
        <f t="shared" si="129"/>
        <v>Error?</v>
      </c>
      <c r="E7827" s="4" t="s">
        <v>1993</v>
      </c>
    </row>
    <row r="7828" spans="1:5" x14ac:dyDescent="0.2">
      <c r="A7828">
        <v>7767</v>
      </c>
      <c r="B7828" s="1832">
        <f>'PCTC-OEPP 27-28'!F36</f>
        <v>0</v>
      </c>
      <c r="D7828" s="2" t="str">
        <f t="shared" si="129"/>
        <v>Error?</v>
      </c>
      <c r="E7828" s="4" t="s">
        <v>1993</v>
      </c>
    </row>
    <row r="7829" spans="1:5" x14ac:dyDescent="0.2">
      <c r="A7829">
        <v>7768</v>
      </c>
      <c r="B7829" s="1832">
        <f>'PCTC-OEPP 27-28'!F37</f>
        <v>0</v>
      </c>
      <c r="D7829" s="2" t="str">
        <f t="shared" si="129"/>
        <v>Error?</v>
      </c>
      <c r="E7829" s="4" t="s">
        <v>1993</v>
      </c>
    </row>
    <row r="7830" spans="1:5" x14ac:dyDescent="0.2">
      <c r="A7830">
        <v>7769</v>
      </c>
      <c r="B7830" s="1832">
        <f>'PCTC-OEPP 27-28'!F38</f>
        <v>17945</v>
      </c>
      <c r="D7830" s="2" t="str">
        <f t="shared" si="129"/>
        <v>Error?</v>
      </c>
      <c r="E7830" s="4" t="s">
        <v>1993</v>
      </c>
    </row>
    <row r="7831" spans="1:5" x14ac:dyDescent="0.2">
      <c r="A7831">
        <v>7770</v>
      </c>
      <c r="B7831" s="1832">
        <f>'PCTC-OEPP 27-28'!F52</f>
        <v>146291</v>
      </c>
      <c r="D7831" s="2" t="str">
        <f t="shared" si="129"/>
        <v>Error?</v>
      </c>
      <c r="E7831" s="4" t="s">
        <v>1993</v>
      </c>
    </row>
    <row r="7832" spans="1:5" x14ac:dyDescent="0.2">
      <c r="A7832">
        <v>7771</v>
      </c>
      <c r="B7832" s="1832">
        <f>'PCTC-OEPP 27-28'!F56</f>
        <v>0</v>
      </c>
      <c r="D7832" s="2" t="str">
        <f t="shared" si="129"/>
        <v>Error?</v>
      </c>
      <c r="E7832" s="4" t="s">
        <v>1993</v>
      </c>
    </row>
    <row r="7833" spans="1:5" x14ac:dyDescent="0.2">
      <c r="A7833">
        <v>7772</v>
      </c>
      <c r="B7833" s="1832">
        <f>'PCTC-OEPP 27-28'!F62</f>
        <v>0</v>
      </c>
      <c r="D7833" s="2" t="str">
        <f t="shared" si="129"/>
        <v>Error?</v>
      </c>
      <c r="E7833" s="4" t="s">
        <v>1993</v>
      </c>
    </row>
    <row r="7834" spans="1:5" x14ac:dyDescent="0.2">
      <c r="A7834">
        <v>7773</v>
      </c>
      <c r="B7834" s="1832">
        <f>'PCTC-OEPP 27-28'!F77</f>
        <v>5355389</v>
      </c>
      <c r="D7834" s="2" t="str">
        <f t="shared" si="129"/>
        <v>Error?</v>
      </c>
      <c r="E7834" s="4" t="s">
        <v>1993</v>
      </c>
    </row>
    <row r="7835" spans="1:5" x14ac:dyDescent="0.2">
      <c r="A7835">
        <v>7774</v>
      </c>
      <c r="B7835" s="1832">
        <f>'PCTC-OEPP 27-28'!F78</f>
        <v>17583727</v>
      </c>
      <c r="D7835" s="2" t="str">
        <f t="shared" si="129"/>
        <v>Error?</v>
      </c>
      <c r="E7835" s="4" t="s">
        <v>1993</v>
      </c>
    </row>
    <row r="7836" spans="1:5" x14ac:dyDescent="0.2">
      <c r="A7836" s="126">
        <v>7775</v>
      </c>
      <c r="B7836" s="1832"/>
      <c r="D7836" s="2" t="str">
        <f t="shared" si="129"/>
        <v>OK</v>
      </c>
      <c r="E7836" s="4" t="s">
        <v>1995</v>
      </c>
    </row>
    <row r="7837" spans="1:5" x14ac:dyDescent="0.2">
      <c r="A7837">
        <v>7776</v>
      </c>
      <c r="B7837" s="1832">
        <f>'PCTC-OEPP 27-28'!F80</f>
        <v>9845.8631502323751</v>
      </c>
      <c r="D7837" s="2" t="str">
        <f t="shared" si="129"/>
        <v>Error?</v>
      </c>
      <c r="E7837" s="4" t="s">
        <v>1993</v>
      </c>
    </row>
    <row r="7838" spans="1:5" x14ac:dyDescent="0.2">
      <c r="A7838">
        <v>7777</v>
      </c>
      <c r="B7838" s="1832">
        <f>'PCTC-OEPP 27-28'!F96</f>
        <v>59218</v>
      </c>
      <c r="D7838" s="2" t="str">
        <f t="shared" si="129"/>
        <v>Error?</v>
      </c>
      <c r="E7838" s="4" t="s">
        <v>1993</v>
      </c>
    </row>
    <row r="7839" spans="1:5" x14ac:dyDescent="0.2">
      <c r="A7839">
        <v>7778</v>
      </c>
      <c r="B7839" s="1832">
        <f>'PCTC-OEPP 27-28'!F102</f>
        <v>4715</v>
      </c>
      <c r="D7839" s="2" t="str">
        <f t="shared" si="129"/>
        <v>Error?</v>
      </c>
      <c r="E7839" s="4" t="s">
        <v>1993</v>
      </c>
    </row>
    <row r="7840" spans="1:5" x14ac:dyDescent="0.2">
      <c r="A7840">
        <v>7779</v>
      </c>
      <c r="B7840" s="1832">
        <f>'PCTC-OEPP 27-28'!F103</f>
        <v>468172</v>
      </c>
      <c r="D7840" s="2" t="str">
        <f t="shared" si="129"/>
        <v>Error?</v>
      </c>
      <c r="E7840" s="4" t="s">
        <v>1993</v>
      </c>
    </row>
    <row r="7841" spans="1:5" x14ac:dyDescent="0.2">
      <c r="A7841">
        <v>7780</v>
      </c>
      <c r="B7841" s="1832">
        <f>'PCTC-OEPP 27-28'!F104</f>
        <v>0</v>
      </c>
      <c r="D7841" s="2" t="str">
        <f t="shared" si="129"/>
        <v>Error?</v>
      </c>
      <c r="E7841" s="4" t="s">
        <v>1993</v>
      </c>
    </row>
    <row r="7842" spans="1:5" x14ac:dyDescent="0.2">
      <c r="A7842">
        <v>7781</v>
      </c>
      <c r="B7842" s="1832">
        <f>'PCTC-OEPP 27-28'!F106</f>
        <v>232139</v>
      </c>
      <c r="D7842" s="2" t="str">
        <f t="shared" si="129"/>
        <v>Error?</v>
      </c>
      <c r="E7842" s="4" t="s">
        <v>1993</v>
      </c>
    </row>
    <row r="7843" spans="1:5" x14ac:dyDescent="0.2">
      <c r="A7843">
        <v>7782</v>
      </c>
      <c r="B7843" s="1832">
        <f>'PCTC-OEPP 27-28'!F107</f>
        <v>51271</v>
      </c>
      <c r="D7843" s="2" t="str">
        <f t="shared" si="129"/>
        <v>Error?</v>
      </c>
      <c r="E7843" s="4" t="s">
        <v>1993</v>
      </c>
    </row>
    <row r="7844" spans="1:5" x14ac:dyDescent="0.2">
      <c r="A7844">
        <v>7783</v>
      </c>
      <c r="B7844" s="1832">
        <f>'PCTC-OEPP 27-28'!F108</f>
        <v>0</v>
      </c>
      <c r="D7844" s="2" t="str">
        <f t="shared" si="129"/>
        <v>Error?</v>
      </c>
      <c r="E7844" s="4" t="s">
        <v>1993</v>
      </c>
    </row>
    <row r="7845" spans="1:5" x14ac:dyDescent="0.2">
      <c r="A7845">
        <v>7784</v>
      </c>
      <c r="B7845" s="1832">
        <f>'PCTC-OEPP 27-28'!F110</f>
        <v>0</v>
      </c>
      <c r="D7845" s="2" t="str">
        <f t="shared" si="129"/>
        <v>Error?</v>
      </c>
      <c r="E7845" s="4" t="s">
        <v>1993</v>
      </c>
    </row>
    <row r="7846" spans="1:5" x14ac:dyDescent="0.2">
      <c r="A7846">
        <v>7785</v>
      </c>
      <c r="B7846" s="1832">
        <f>'PCTC-OEPP 27-28'!F111</f>
        <v>14398</v>
      </c>
      <c r="D7846" s="2" t="str">
        <f t="shared" si="129"/>
        <v>Error?</v>
      </c>
      <c r="E7846" s="4" t="s">
        <v>1993</v>
      </c>
    </row>
    <row r="7847" spans="1:5" x14ac:dyDescent="0.2">
      <c r="A7847">
        <v>7786</v>
      </c>
      <c r="B7847" s="1832">
        <f>'PCTC-OEPP 27-28'!F112</f>
        <v>671565</v>
      </c>
      <c r="D7847" s="2" t="str">
        <f t="shared" si="129"/>
        <v>Error?</v>
      </c>
      <c r="E7847" s="4" t="s">
        <v>1993</v>
      </c>
    </row>
    <row r="7848" spans="1:5" x14ac:dyDescent="0.2">
      <c r="A7848">
        <v>7787</v>
      </c>
      <c r="B7848" s="1832">
        <f>'PCTC-OEPP 27-28'!F114</f>
        <v>0</v>
      </c>
      <c r="D7848" s="2" t="str">
        <f t="shared" si="129"/>
        <v>Error?</v>
      </c>
      <c r="E7848" s="4" t="s">
        <v>1993</v>
      </c>
    </row>
    <row r="7849" spans="1:5" x14ac:dyDescent="0.2">
      <c r="A7849">
        <v>7788</v>
      </c>
      <c r="B7849" s="1832">
        <f>'PCTC-OEPP 27-28'!F115</f>
        <v>0</v>
      </c>
      <c r="D7849" s="2" t="str">
        <f t="shared" si="129"/>
        <v>Error?</v>
      </c>
      <c r="E7849" s="4" t="s">
        <v>1993</v>
      </c>
    </row>
    <row r="7850" spans="1:5" x14ac:dyDescent="0.2">
      <c r="A7850">
        <v>7789</v>
      </c>
      <c r="B7850" s="1832">
        <f>'PCTC-OEPP 27-28'!F116</f>
        <v>0</v>
      </c>
      <c r="D7850" s="2" t="str">
        <f t="shared" si="129"/>
        <v>Error?</v>
      </c>
      <c r="E7850" s="4" t="s">
        <v>1993</v>
      </c>
    </row>
    <row r="7851" spans="1:5" x14ac:dyDescent="0.2">
      <c r="A7851">
        <v>7790</v>
      </c>
      <c r="B7851" s="1832">
        <f>'PCTC-OEPP 27-28'!F117</f>
        <v>0</v>
      </c>
      <c r="D7851" s="2" t="str">
        <f t="shared" si="129"/>
        <v>Error?</v>
      </c>
      <c r="E7851" s="4" t="s">
        <v>1993</v>
      </c>
    </row>
    <row r="7852" spans="1:5" x14ac:dyDescent="0.2">
      <c r="A7852">
        <v>7791</v>
      </c>
      <c r="B7852" s="1832">
        <f>'PCTC-OEPP 27-28'!F118</f>
        <v>0</v>
      </c>
      <c r="D7852" s="2" t="str">
        <f t="shared" si="129"/>
        <v>Error?</v>
      </c>
      <c r="E7852" s="4" t="s">
        <v>1993</v>
      </c>
    </row>
    <row r="7853" spans="1:5" x14ac:dyDescent="0.2">
      <c r="A7853">
        <v>7792</v>
      </c>
      <c r="B7853" s="1832">
        <f>'PCTC-OEPP 27-28'!F119</f>
        <v>0</v>
      </c>
      <c r="D7853" s="2" t="str">
        <f t="shared" si="129"/>
        <v>Error?</v>
      </c>
      <c r="E7853" s="4" t="s">
        <v>1993</v>
      </c>
    </row>
    <row r="7854" spans="1:5" x14ac:dyDescent="0.2">
      <c r="A7854">
        <v>7793</v>
      </c>
      <c r="B7854" s="1832">
        <f>'PCTC-OEPP 27-28'!F120</f>
        <v>0</v>
      </c>
      <c r="D7854" s="2" t="str">
        <f t="shared" si="129"/>
        <v>Error?</v>
      </c>
      <c r="E7854" s="4" t="s">
        <v>1993</v>
      </c>
    </row>
    <row r="7855" spans="1:5" x14ac:dyDescent="0.2">
      <c r="A7855">
        <v>7794</v>
      </c>
      <c r="B7855" s="1832">
        <f>'PCTC-OEPP 27-28'!F122</f>
        <v>0</v>
      </c>
      <c r="D7855" s="2" t="str">
        <f t="shared" si="129"/>
        <v>Error?</v>
      </c>
      <c r="E7855" s="4" t="s">
        <v>1993</v>
      </c>
    </row>
    <row r="7856" spans="1:5" x14ac:dyDescent="0.2">
      <c r="A7856">
        <v>7795</v>
      </c>
      <c r="B7856" s="1832">
        <f>'PCTC-OEPP 27-28'!F124</f>
        <v>0</v>
      </c>
      <c r="D7856" s="2" t="str">
        <f t="shared" si="129"/>
        <v>Error?</v>
      </c>
      <c r="E7856" s="4" t="s">
        <v>1993</v>
      </c>
    </row>
    <row r="7857" spans="1:5" x14ac:dyDescent="0.2">
      <c r="A7857">
        <v>7796</v>
      </c>
      <c r="B7857" s="1832">
        <f>'PCTC-OEPP 27-28'!F125</f>
        <v>49405</v>
      </c>
      <c r="D7857" s="2" t="str">
        <f t="shared" si="129"/>
        <v>Error?</v>
      </c>
      <c r="E7857" s="4" t="s">
        <v>1993</v>
      </c>
    </row>
    <row r="7858" spans="1:5" x14ac:dyDescent="0.2">
      <c r="A7858">
        <v>7797</v>
      </c>
      <c r="B7858" s="1832">
        <f>'PCTC-OEPP 27-28'!F126</f>
        <v>1088885</v>
      </c>
      <c r="D7858" s="2" t="str">
        <f t="shared" si="129"/>
        <v>Error?</v>
      </c>
      <c r="E7858" s="4" t="s">
        <v>1993</v>
      </c>
    </row>
    <row r="7859" spans="1:5" x14ac:dyDescent="0.2">
      <c r="A7859">
        <v>7798</v>
      </c>
      <c r="B7859" s="1832">
        <f>'PCTC-OEPP 27-28'!F127</f>
        <v>1006883</v>
      </c>
      <c r="D7859" s="2" t="str">
        <f t="shared" si="129"/>
        <v>Error?</v>
      </c>
      <c r="E7859" s="4" t="s">
        <v>1993</v>
      </c>
    </row>
    <row r="7860" spans="1:5" x14ac:dyDescent="0.2">
      <c r="A7860">
        <v>7799</v>
      </c>
      <c r="B7860" s="1832">
        <f>'PCTC-OEPP 27-28'!F128</f>
        <v>0</v>
      </c>
      <c r="D7860" s="2" t="str">
        <f t="shared" si="129"/>
        <v>Error?</v>
      </c>
      <c r="E7860" s="4" t="s">
        <v>1993</v>
      </c>
    </row>
    <row r="7861" spans="1:5" x14ac:dyDescent="0.2">
      <c r="A7861">
        <v>7800</v>
      </c>
      <c r="B7861" s="1832">
        <f>'PCTC-OEPP 27-28'!F129</f>
        <v>527625</v>
      </c>
      <c r="D7861" s="2" t="str">
        <f t="shared" si="129"/>
        <v>Error?</v>
      </c>
      <c r="E7861" s="4" t="s">
        <v>1993</v>
      </c>
    </row>
    <row r="7862" spans="1:5" x14ac:dyDescent="0.2">
      <c r="A7862">
        <v>7801</v>
      </c>
      <c r="B7862" s="1832">
        <f>'PCTC-OEPP 27-28'!F130</f>
        <v>595624</v>
      </c>
      <c r="D7862" s="2" t="str">
        <f t="shared" si="129"/>
        <v>Error?</v>
      </c>
      <c r="E7862" s="4" t="s">
        <v>1993</v>
      </c>
    </row>
    <row r="7863" spans="1:5" x14ac:dyDescent="0.2">
      <c r="A7863">
        <v>7802</v>
      </c>
      <c r="B7863" s="1832">
        <f>'PCTC-OEPP 27-28'!F131</f>
        <v>0</v>
      </c>
      <c r="D7863" s="2" t="str">
        <f t="shared" si="129"/>
        <v>Error?</v>
      </c>
      <c r="E7863" s="4" t="s">
        <v>1993</v>
      </c>
    </row>
    <row r="7864" spans="1:5" x14ac:dyDescent="0.2">
      <c r="A7864">
        <v>7803</v>
      </c>
      <c r="B7864" s="1832">
        <f>'PCTC-OEPP 27-28'!F132</f>
        <v>0</v>
      </c>
      <c r="D7864" s="2" t="str">
        <f t="shared" si="129"/>
        <v>Error?</v>
      </c>
      <c r="E7864" s="4" t="s">
        <v>1993</v>
      </c>
    </row>
    <row r="7865" spans="1:5" x14ac:dyDescent="0.2">
      <c r="A7865">
        <v>7804</v>
      </c>
      <c r="B7865" s="1832">
        <f>'PCTC-OEPP 27-28'!F133</f>
        <v>0</v>
      </c>
      <c r="D7865" s="2" t="str">
        <f t="shared" si="129"/>
        <v>Error?</v>
      </c>
      <c r="E7865" s="4" t="s">
        <v>1993</v>
      </c>
    </row>
    <row r="7866" spans="1:5" x14ac:dyDescent="0.2">
      <c r="A7866">
        <v>7805</v>
      </c>
      <c r="B7866" s="1832">
        <f>'PCTC-OEPP 27-28'!F158</f>
        <v>0</v>
      </c>
      <c r="D7866" s="2" t="str">
        <f t="shared" si="129"/>
        <v>Error?</v>
      </c>
      <c r="E7866" s="4" t="s">
        <v>1993</v>
      </c>
    </row>
    <row r="7867" spans="1:5" x14ac:dyDescent="0.2">
      <c r="A7867">
        <v>7806</v>
      </c>
      <c r="B7867" s="1832">
        <f>'PCTC-OEPP 27-28'!F160</f>
        <v>0</v>
      </c>
      <c r="D7867" s="2" t="str">
        <f t="shared" si="129"/>
        <v>Error?</v>
      </c>
      <c r="E7867" s="4" t="s">
        <v>1993</v>
      </c>
    </row>
    <row r="7868" spans="1:5" x14ac:dyDescent="0.2">
      <c r="A7868">
        <v>7807</v>
      </c>
      <c r="B7868" s="1832">
        <f>'PCTC-OEPP 27-28'!F161</f>
        <v>0</v>
      </c>
      <c r="D7868" s="2" t="str">
        <f t="shared" si="129"/>
        <v>Error?</v>
      </c>
      <c r="E7868" s="4" t="s">
        <v>1993</v>
      </c>
    </row>
    <row r="7869" spans="1:5" x14ac:dyDescent="0.2">
      <c r="A7869">
        <v>7808</v>
      </c>
      <c r="B7869" s="1832">
        <f>'PCTC-OEPP 27-28'!F162</f>
        <v>10811</v>
      </c>
      <c r="D7869" s="2" t="str">
        <f t="shared" si="129"/>
        <v>Error?</v>
      </c>
      <c r="E7869" s="4" t="s">
        <v>1993</v>
      </c>
    </row>
    <row r="7870" spans="1:5" x14ac:dyDescent="0.2">
      <c r="A7870">
        <v>7809</v>
      </c>
      <c r="B7870" s="1832">
        <f>'PCTC-OEPP 27-28'!F163</f>
        <v>0</v>
      </c>
      <c r="D7870" s="2" t="str">
        <f t="shared" si="129"/>
        <v>Error?</v>
      </c>
      <c r="E7870" s="4" t="s">
        <v>1993</v>
      </c>
    </row>
    <row r="7871" spans="1:5" x14ac:dyDescent="0.2">
      <c r="A7871">
        <v>7810</v>
      </c>
      <c r="B7871" s="1832">
        <f>'PCTC-OEPP 27-28'!F164</f>
        <v>0</v>
      </c>
      <c r="D7871" s="2" t="str">
        <f t="shared" si="129"/>
        <v>Error?</v>
      </c>
      <c r="E7871" s="4" t="s">
        <v>1993</v>
      </c>
    </row>
    <row r="7872" spans="1:5" x14ac:dyDescent="0.2">
      <c r="A7872">
        <v>7811</v>
      </c>
      <c r="B7872" s="1832">
        <f>'PCTC-OEPP 27-28'!F165</f>
        <v>139902</v>
      </c>
      <c r="D7872" s="2" t="str">
        <f t="shared" si="129"/>
        <v>Error?</v>
      </c>
      <c r="E7872" s="4" t="s">
        <v>1993</v>
      </c>
    </row>
    <row r="7873" spans="1:5" x14ac:dyDescent="0.2">
      <c r="A7873">
        <v>7812</v>
      </c>
      <c r="B7873" s="1832">
        <f>'PCTC-OEPP 27-28'!F166</f>
        <v>0</v>
      </c>
      <c r="D7873" s="2" t="str">
        <f t="shared" si="129"/>
        <v>Error?</v>
      </c>
      <c r="E7873" s="4" t="s">
        <v>1993</v>
      </c>
    </row>
    <row r="7874" spans="1:5" x14ac:dyDescent="0.2">
      <c r="A7874">
        <v>7813</v>
      </c>
      <c r="B7874" s="1832">
        <f>'PCTC-OEPP 27-28'!F169</f>
        <v>20876</v>
      </c>
      <c r="D7874" s="2" t="str">
        <f t="shared" si="129"/>
        <v>Error?</v>
      </c>
      <c r="E7874" s="4" t="s">
        <v>1993</v>
      </c>
    </row>
    <row r="7875" spans="1:5" x14ac:dyDescent="0.2">
      <c r="A7875">
        <v>7814</v>
      </c>
      <c r="B7875" s="1832">
        <f>'PCTC-OEPP 27-28'!F170</f>
        <v>5754</v>
      </c>
      <c r="D7875" s="2" t="str">
        <f t="shared" si="129"/>
        <v>Error?</v>
      </c>
      <c r="E7875" s="4" t="s">
        <v>1993</v>
      </c>
    </row>
    <row r="7876" spans="1:5" x14ac:dyDescent="0.2">
      <c r="A7876">
        <v>7815</v>
      </c>
      <c r="B7876" s="1832">
        <f>'PCTC-OEPP 27-28'!F171</f>
        <v>680768</v>
      </c>
      <c r="D7876" s="2" t="str">
        <f t="shared" si="129"/>
        <v>Error?</v>
      </c>
      <c r="E7876" s="4" t="s">
        <v>1993</v>
      </c>
    </row>
    <row r="7877" spans="1:5" x14ac:dyDescent="0.2">
      <c r="A7877">
        <v>7816</v>
      </c>
      <c r="B7877" s="1832">
        <f>'PCTC-OEPP 27-28'!F175</f>
        <v>6555742.4100000001</v>
      </c>
      <c r="D7877" s="2" t="str">
        <f t="shared" si="129"/>
        <v>Error?</v>
      </c>
      <c r="E7877" s="4" t="s">
        <v>1993</v>
      </c>
    </row>
    <row r="7878" spans="1:5" x14ac:dyDescent="0.2">
      <c r="A7878">
        <v>7817</v>
      </c>
      <c r="B7878" s="1832">
        <f>'PCTC-OEPP 27-28'!F176</f>
        <v>11027984.59</v>
      </c>
      <c r="D7878" s="2" t="str">
        <f t="shared" si="129"/>
        <v>Error?</v>
      </c>
      <c r="E7878" s="4" t="s">
        <v>1993</v>
      </c>
    </row>
    <row r="7879" spans="1:5" x14ac:dyDescent="0.2">
      <c r="A7879">
        <v>7818</v>
      </c>
      <c r="B7879" s="1832">
        <f>'PCTC-OEPP 27-28'!F178</f>
        <v>12212114.59</v>
      </c>
      <c r="D7879" s="2" t="str">
        <f t="shared" si="129"/>
        <v>Error?</v>
      </c>
      <c r="E7879" s="4" t="s">
        <v>1993</v>
      </c>
    </row>
    <row r="7880" spans="1:5" x14ac:dyDescent="0.2">
      <c r="A7880">
        <v>7819</v>
      </c>
      <c r="B7880" s="1832">
        <f>'PCTC-OEPP 27-28'!F180</f>
        <v>6838.0730108068756</v>
      </c>
      <c r="D7880" s="2" t="str">
        <f t="shared" si="129"/>
        <v>Error?</v>
      </c>
      <c r="E7880" s="4" t="s">
        <v>1993</v>
      </c>
    </row>
    <row r="7881" spans="1:5" x14ac:dyDescent="0.2">
      <c r="A7881">
        <v>7820</v>
      </c>
      <c r="B7881" s="135">
        <f>'PCTC-OEPP 27-28'!F29</f>
        <v>0</v>
      </c>
      <c r="D7881" s="2" t="str">
        <f t="shared" si="129"/>
        <v>Error?</v>
      </c>
      <c r="E7881" s="4" t="s">
        <v>1993</v>
      </c>
    </row>
    <row r="7882" spans="1:5" x14ac:dyDescent="0.2">
      <c r="A7882">
        <v>7821</v>
      </c>
      <c r="B7882" s="135">
        <f>'Revenues 9-14'!H117</f>
        <v>800132</v>
      </c>
      <c r="D7882" s="2" t="str">
        <f t="shared" si="129"/>
        <v>Error?</v>
      </c>
      <c r="E7882" s="4" t="s">
        <v>1994</v>
      </c>
    </row>
    <row r="7883" spans="1:5" x14ac:dyDescent="0.2">
      <c r="A7883">
        <v>7822</v>
      </c>
      <c r="B7883" s="135">
        <f>'Revenues 9-14'!H118</f>
        <v>0</v>
      </c>
      <c r="D7883" s="2" t="str">
        <f t="shared" si="129"/>
        <v>Error?</v>
      </c>
      <c r="E7883" s="4" t="s">
        <v>1994</v>
      </c>
    </row>
    <row r="7884" spans="1:5" x14ac:dyDescent="0.2">
      <c r="A7884">
        <v>7823</v>
      </c>
      <c r="B7884" s="135">
        <f>'Revenues 9-14'!H119</f>
        <v>0</v>
      </c>
      <c r="D7884" s="2" t="str">
        <f t="shared" si="129"/>
        <v>Error?</v>
      </c>
      <c r="E7884" s="4" t="s">
        <v>1994</v>
      </c>
    </row>
    <row r="7885" spans="1:5" x14ac:dyDescent="0.2">
      <c r="A7885">
        <v>7824</v>
      </c>
      <c r="B7885" s="135">
        <f>'Revenues 9-14'!H121</f>
        <v>0</v>
      </c>
      <c r="D7885" s="2" t="str">
        <f t="shared" si="129"/>
        <v>Error?</v>
      </c>
      <c r="E7885" s="4" t="s">
        <v>1994</v>
      </c>
    </row>
    <row r="7886" spans="1:5" x14ac:dyDescent="0.2">
      <c r="A7886">
        <v>7825</v>
      </c>
      <c r="B7886" s="135">
        <f>'PCTC-OEPP 27-28'!F75</f>
        <v>0</v>
      </c>
      <c r="D7886" s="2" t="str">
        <f t="shared" si="129"/>
        <v>Error?</v>
      </c>
      <c r="E7886" s="4" t="s">
        <v>1993</v>
      </c>
    </row>
    <row r="7887" spans="1:5" x14ac:dyDescent="0.2">
      <c r="A7887">
        <v>7826</v>
      </c>
      <c r="B7887" s="135">
        <f>'PCTC-OEPP 27-28'!F76</f>
        <v>0</v>
      </c>
      <c r="D7887" s="2" t="str">
        <f t="shared" si="129"/>
        <v>Error?</v>
      </c>
      <c r="E7887" s="4" t="s">
        <v>1993</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46" t="s">
        <v>1181</v>
      </c>
      <c r="B2" s="2646"/>
      <c r="C2" s="2646"/>
      <c r="D2" s="2646"/>
      <c r="E2" s="2646"/>
      <c r="F2" s="2646"/>
      <c r="G2" s="2646"/>
      <c r="H2" s="2646"/>
      <c r="I2" s="2646"/>
      <c r="J2" s="2646"/>
      <c r="K2" s="2646"/>
      <c r="L2" s="2646"/>
    </row>
    <row r="3" spans="1:29" ht="13.5" customHeight="1" x14ac:dyDescent="0.2">
      <c r="A3" s="2632" t="s">
        <v>1180</v>
      </c>
      <c r="B3" s="2632"/>
      <c r="C3" s="2632"/>
      <c r="D3" s="2632"/>
      <c r="E3" s="2632"/>
      <c r="F3" s="2632"/>
      <c r="G3" s="2632"/>
      <c r="H3" s="2632"/>
      <c r="I3" s="2632"/>
      <c r="J3" s="2632"/>
      <c r="K3" s="2632"/>
      <c r="L3" s="2632"/>
    </row>
    <row r="4" spans="1:29" ht="13.5" customHeight="1" x14ac:dyDescent="0.2">
      <c r="A4" s="2663" t="str">
        <f>"Year Ending June 30, "&amp;'AFR20'!E2</f>
        <v>Year Ending June 30, 2020</v>
      </c>
      <c r="B4" s="2664"/>
      <c r="C4" s="2664"/>
      <c r="D4" s="2664"/>
      <c r="E4" s="2664"/>
      <c r="F4" s="2664"/>
      <c r="G4" s="2664"/>
      <c r="H4" s="2664"/>
      <c r="I4" s="2664"/>
      <c r="J4" s="2664"/>
      <c r="K4" s="2664"/>
      <c r="L4" s="266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626" t="str">
        <f>COVER!A17</f>
        <v xml:space="preserve">   Kewanee CUSD 229</v>
      </c>
      <c r="B7" s="2627"/>
      <c r="C7" s="2627"/>
      <c r="D7" s="2665"/>
      <c r="E7" s="2666">
        <f>COVER!A13</f>
        <v>28037229026</v>
      </c>
      <c r="F7" s="2667"/>
      <c r="G7" s="2633" t="str">
        <f>COVER!T23</f>
        <v>066-005027</v>
      </c>
      <c r="H7" s="2634"/>
      <c r="I7" s="2634"/>
      <c r="J7" s="2634"/>
      <c r="K7" s="2634"/>
      <c r="L7" s="263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636"/>
      <c r="B9" s="2637"/>
      <c r="C9" s="2637"/>
      <c r="D9" s="2637"/>
      <c r="E9" s="2637"/>
      <c r="F9" s="2638"/>
      <c r="G9" s="2639" t="str">
        <f>COVER!T13</f>
        <v>Gorenz and Associates, Ltd.</v>
      </c>
      <c r="H9" s="2640"/>
      <c r="I9" s="2640"/>
      <c r="J9" s="2640"/>
      <c r="K9" s="2640"/>
      <c r="L9" s="2641"/>
    </row>
    <row r="10" spans="1:29" ht="13.5" customHeight="1" x14ac:dyDescent="0.2">
      <c r="A10" s="2623" t="str">
        <f>COVER!A38</f>
        <v>Dr. Chris Sullens</v>
      </c>
      <c r="B10" s="2624"/>
      <c r="C10" s="2624"/>
      <c r="D10" s="2624"/>
      <c r="E10" s="2624"/>
      <c r="F10" s="2625"/>
      <c r="G10" s="2639" t="str">
        <f>COVER!T17</f>
        <v>4200 N Knoxville Ave.</v>
      </c>
      <c r="H10" s="2652"/>
      <c r="I10" s="2652"/>
      <c r="J10" s="2652"/>
      <c r="K10" s="2652"/>
      <c r="L10" s="2653"/>
    </row>
    <row r="11" spans="1:29" ht="13.5" customHeight="1" x14ac:dyDescent="0.2">
      <c r="A11" s="963" t="s">
        <v>1502</v>
      </c>
      <c r="B11" s="964"/>
      <c r="C11" s="965"/>
      <c r="D11" s="970"/>
      <c r="E11" s="965"/>
      <c r="F11" s="969"/>
      <c r="G11" s="2639" t="str">
        <f>COVER!T19</f>
        <v>Peoria</v>
      </c>
      <c r="H11" s="2652"/>
      <c r="I11" s="2652"/>
      <c r="J11" s="2652"/>
      <c r="K11" s="2652"/>
      <c r="L11" s="2653"/>
    </row>
    <row r="12" spans="1:29" ht="13.5" customHeight="1" x14ac:dyDescent="0.2">
      <c r="A12" s="2657" t="s">
        <v>1501</v>
      </c>
      <c r="B12" s="2658"/>
      <c r="C12" s="2658"/>
      <c r="D12" s="2658"/>
      <c r="E12" s="2658"/>
      <c r="F12" s="2659"/>
      <c r="G12" s="2654"/>
      <c r="H12" s="2655"/>
      <c r="I12" s="2655"/>
      <c r="J12" s="2655"/>
      <c r="K12" s="2655"/>
      <c r="L12" s="2656"/>
    </row>
    <row r="13" spans="1:29" ht="13.5" customHeight="1" x14ac:dyDescent="0.2">
      <c r="A13" s="2639"/>
      <c r="B13" s="2652"/>
      <c r="C13" s="2652"/>
      <c r="D13" s="2652"/>
      <c r="E13" s="2652"/>
      <c r="F13" s="2653"/>
      <c r="G13" s="2647" t="s">
        <v>1503</v>
      </c>
      <c r="H13" s="2648"/>
      <c r="I13" s="2660" t="str">
        <f>COVER!T25</f>
        <v>rrumbold@gorenzcpa.com</v>
      </c>
      <c r="J13" s="2661"/>
      <c r="K13" s="2661"/>
      <c r="L13" s="2662"/>
    </row>
    <row r="14" spans="1:29" ht="13.5" customHeight="1" x14ac:dyDescent="0.2">
      <c r="A14" s="2639" t="str">
        <f>COVER!A19</f>
        <v>1001 N. Main</v>
      </c>
      <c r="B14" s="2652"/>
      <c r="C14" s="2652"/>
      <c r="D14" s="2652"/>
      <c r="E14" s="2652"/>
      <c r="F14" s="2653"/>
      <c r="G14" s="974" t="s">
        <v>1175</v>
      </c>
      <c r="H14" s="972"/>
      <c r="I14" s="972"/>
      <c r="J14" s="972"/>
      <c r="K14" s="972"/>
      <c r="L14" s="973"/>
    </row>
    <row r="15" spans="1:29" ht="13.5" customHeight="1" x14ac:dyDescent="0.2">
      <c r="A15" s="2639" t="str">
        <f>COVER!A21</f>
        <v>Kewanee</v>
      </c>
      <c r="B15" s="2652"/>
      <c r="C15" s="2652"/>
      <c r="D15" s="2652"/>
      <c r="E15" s="2652"/>
      <c r="F15" s="2653"/>
      <c r="G15" s="2649" t="str">
        <f>COVER!T15</f>
        <v>Russell J. Rumbold II, CPA</v>
      </c>
      <c r="H15" s="2650"/>
      <c r="I15" s="2650"/>
      <c r="J15" s="2650"/>
      <c r="K15" s="2650"/>
      <c r="L15" s="2651"/>
    </row>
    <row r="16" spans="1:29" ht="12.2" customHeight="1" x14ac:dyDescent="0.2">
      <c r="A16" s="2629">
        <f>COVER!A25</f>
        <v>61443</v>
      </c>
      <c r="B16" s="2630"/>
      <c r="C16" s="2630"/>
      <c r="D16" s="2630"/>
      <c r="E16" s="2630"/>
      <c r="F16" s="2631"/>
      <c r="G16" s="2642"/>
      <c r="H16" s="2643"/>
      <c r="I16" s="2643"/>
      <c r="J16" s="2643"/>
      <c r="K16" s="2643"/>
      <c r="L16" s="2644"/>
    </row>
    <row r="17" spans="1:13" ht="12.2" customHeight="1" x14ac:dyDescent="0.2">
      <c r="A17" s="2645"/>
      <c r="B17" s="2630"/>
      <c r="C17" s="2630"/>
      <c r="D17" s="2630"/>
      <c r="E17" s="2630"/>
      <c r="F17" s="2631"/>
      <c r="G17" s="974" t="s">
        <v>1174</v>
      </c>
      <c r="H17" s="972"/>
      <c r="I17" s="972"/>
      <c r="J17" s="972"/>
      <c r="K17" s="976" t="s">
        <v>1173</v>
      </c>
      <c r="L17" s="969"/>
      <c r="M17" s="962"/>
    </row>
    <row r="18" spans="1:13" ht="12.2" customHeight="1" x14ac:dyDescent="0.2">
      <c r="A18" s="2623"/>
      <c r="B18" s="2624"/>
      <c r="C18" s="2624"/>
      <c r="D18" s="2624"/>
      <c r="E18" s="2624"/>
      <c r="F18" s="2625"/>
      <c r="G18" s="2626" t="str">
        <f>COVER!T21</f>
        <v>309-685-7621</v>
      </c>
      <c r="H18" s="2627"/>
      <c r="I18" s="2627"/>
      <c r="J18" s="2627"/>
      <c r="K18" s="2626" t="str">
        <f>COVER!X21</f>
        <v>309-685-4758</v>
      </c>
      <c r="L18" s="262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1675</v>
      </c>
    </row>
    <row r="22" spans="1:13" ht="12.2" customHeight="1" x14ac:dyDescent="0.2">
      <c r="A22" s="979"/>
    </row>
    <row r="23" spans="1:13" ht="12.2" customHeight="1" x14ac:dyDescent="0.2">
      <c r="A23" s="979"/>
      <c r="B23" s="980" t="s">
        <v>2066</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2066</v>
      </c>
      <c r="C26" s="981" t="s">
        <v>1676</v>
      </c>
    </row>
    <row r="27" spans="1:13" s="977" customFormat="1" ht="9" customHeight="1" x14ac:dyDescent="0.2">
      <c r="B27" s="982"/>
      <c r="C27" s="981"/>
    </row>
    <row r="28" spans="1:13" s="977" customFormat="1" ht="12.2" customHeight="1" x14ac:dyDescent="0.2">
      <c r="A28" s="984"/>
      <c r="B28" s="980" t="s">
        <v>2066</v>
      </c>
      <c r="C28" s="981" t="s">
        <v>1677</v>
      </c>
    </row>
    <row r="29" spans="1:13" s="977" customFormat="1" ht="9" customHeight="1" x14ac:dyDescent="0.2">
      <c r="A29" s="984"/>
      <c r="B29" s="982"/>
      <c r="C29" s="981"/>
    </row>
    <row r="30" spans="1:13" s="977" customFormat="1" ht="12.2" customHeight="1" x14ac:dyDescent="0.2">
      <c r="B30" s="980" t="s">
        <v>2066</v>
      </c>
      <c r="C30" s="981" t="s">
        <v>1544</v>
      </c>
      <c r="D30" s="975"/>
      <c r="E30" s="975"/>
    </row>
    <row r="31" spans="1:13" s="977" customFormat="1" ht="9" customHeight="1" x14ac:dyDescent="0.2">
      <c r="B31" s="982"/>
      <c r="C31" s="981"/>
      <c r="D31" s="975"/>
      <c r="E31" s="975"/>
    </row>
    <row r="32" spans="1:13" s="977" customFormat="1" ht="12.2" customHeight="1" x14ac:dyDescent="0.2">
      <c r="B32" s="980" t="s">
        <v>2066</v>
      </c>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t="s">
        <v>2066</v>
      </c>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t="s">
        <v>2066</v>
      </c>
      <c r="C38" s="981" t="s">
        <v>1548</v>
      </c>
    </row>
    <row r="39" spans="1:8" ht="9" customHeight="1" x14ac:dyDescent="0.2">
      <c r="B39" s="982"/>
      <c r="C39" s="985"/>
    </row>
    <row r="40" spans="1:8" s="977" customFormat="1" ht="13.5" customHeight="1" x14ac:dyDescent="0.2">
      <c r="B40" s="980" t="s">
        <v>2066</v>
      </c>
      <c r="C40" s="981" t="s">
        <v>1549</v>
      </c>
    </row>
    <row r="41" spans="1:8" ht="9" customHeight="1" x14ac:dyDescent="0.2">
      <c r="A41" s="986"/>
      <c r="B41" s="982"/>
      <c r="C41" s="985"/>
    </row>
    <row r="42" spans="1:8" s="977" customFormat="1" ht="13.5" customHeight="1" x14ac:dyDescent="0.2">
      <c r="B42" s="980" t="s">
        <v>2066</v>
      </c>
      <c r="C42" s="981" t="s">
        <v>1804</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68" t="str">
        <f>'Single Audit Cover'!A7</f>
        <v xml:space="preserve">   Kewanee CUSD 229</v>
      </c>
      <c r="B1" s="2669"/>
      <c r="C1" s="2669"/>
      <c r="D1" s="2669"/>
    </row>
    <row r="2" spans="1:11" s="991" customFormat="1" ht="12.75" x14ac:dyDescent="0.2">
      <c r="A2" s="2670">
        <f>'Single Audit Cover'!E7</f>
        <v>28037229026</v>
      </c>
      <c r="B2" s="2671"/>
      <c r="C2" s="2671"/>
      <c r="D2" s="2671"/>
    </row>
    <row r="3" spans="1:11" s="991" customFormat="1" ht="12.75" x14ac:dyDescent="0.2">
      <c r="A3" s="2668" t="s">
        <v>1496</v>
      </c>
      <c r="B3" s="2669"/>
      <c r="C3" s="2669"/>
      <c r="D3" s="266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1964</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1199</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1198</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1197</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1196</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1190</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1805</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73" t="str">
        <f>'Single Audit Cover'!A7</f>
        <v xml:space="preserve">   Kewanee CUSD 229</v>
      </c>
      <c r="B1" s="2673"/>
      <c r="C1" s="2673"/>
      <c r="D1" s="2673"/>
      <c r="E1" s="2673"/>
    </row>
    <row r="2" spans="1:5" x14ac:dyDescent="0.2">
      <c r="A2" s="2674">
        <f>'Single Audit Cover'!E7</f>
        <v>28037229026</v>
      </c>
      <c r="B2" s="2674"/>
      <c r="C2" s="2674"/>
      <c r="D2" s="2674"/>
      <c r="E2" s="2674"/>
    </row>
    <row r="3" spans="1:5" ht="4.5" customHeight="1" x14ac:dyDescent="0.2"/>
    <row r="4" spans="1:5" x14ac:dyDescent="0.2">
      <c r="A4" s="2673" t="s">
        <v>1234</v>
      </c>
      <c r="B4" s="2673"/>
      <c r="C4" s="2673"/>
      <c r="D4" s="2673"/>
      <c r="E4" s="2673"/>
    </row>
    <row r="5" spans="1:5" x14ac:dyDescent="0.2">
      <c r="A5" s="2676" t="str">
        <f>'Single Audit Cover'!A4</f>
        <v>Year Ending June 30, 2020</v>
      </c>
      <c r="B5" s="2676"/>
      <c r="C5" s="2676"/>
      <c r="D5" s="2676"/>
      <c r="E5" s="2676"/>
    </row>
    <row r="6" spans="1:5" x14ac:dyDescent="0.2">
      <c r="A6" s="2673" t="s">
        <v>1233</v>
      </c>
      <c r="B6" s="2673"/>
      <c r="C6" s="2673"/>
      <c r="D6" s="2673"/>
      <c r="E6" s="2673"/>
    </row>
    <row r="8" spans="1:5" x14ac:dyDescent="0.2">
      <c r="A8" s="1036" t="s">
        <v>1232</v>
      </c>
    </row>
    <row r="10" spans="1:5" x14ac:dyDescent="0.2">
      <c r="A10" s="1037" t="s">
        <v>1231</v>
      </c>
      <c r="B10" s="1038" t="s">
        <v>1230</v>
      </c>
      <c r="C10" s="1038"/>
      <c r="D10" s="1039">
        <f>SUM('Acct Summary 7-8'!C7:K7)</f>
        <v>4149921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1999</v>
      </c>
      <c r="B14" s="1038"/>
      <c r="C14" s="1038"/>
      <c r="D14" s="1040">
        <f>'ICR Computation 30'!E11</f>
        <v>100914</v>
      </c>
    </row>
    <row r="15" spans="1:5" x14ac:dyDescent="0.2">
      <c r="A15" s="1037"/>
      <c r="B15" s="1038"/>
      <c r="C15" s="1038"/>
    </row>
    <row r="16" spans="1:5" x14ac:dyDescent="0.2">
      <c r="A16" s="1037" t="s">
        <v>1810</v>
      </c>
      <c r="B16" s="1038"/>
      <c r="C16" s="1038"/>
    </row>
    <row r="17" spans="1:4" x14ac:dyDescent="0.2">
      <c r="A17" s="1037" t="s">
        <v>1959</v>
      </c>
      <c r="B17" s="1038" t="s">
        <v>1225</v>
      </c>
      <c r="C17" s="1038"/>
      <c r="D17" s="1040">
        <f>-SUM('Revenues 9-14'!C264:D264,'Revenues 9-14'!F264:G264)</f>
        <v>-5754</v>
      </c>
    </row>
    <row r="19" spans="1:4" ht="13.5" thickBot="1" x14ac:dyDescent="0.25">
      <c r="A19" s="1041" t="s">
        <v>1224</v>
      </c>
      <c r="D19" s="1042">
        <f>SUM(D10:D17)</f>
        <v>4245081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75" t="s">
        <v>2256</v>
      </c>
      <c r="B24" s="2675"/>
      <c r="D24" s="1044">
        <v>-100914</v>
      </c>
    </row>
    <row r="25" spans="1:4" x14ac:dyDescent="0.2">
      <c r="A25" s="2672"/>
      <c r="B25" s="2672"/>
      <c r="D25" s="1044"/>
    </row>
    <row r="26" spans="1:4" x14ac:dyDescent="0.2">
      <c r="A26" s="2672"/>
      <c r="B26" s="2672"/>
      <c r="D26" s="1044"/>
    </row>
    <row r="27" spans="1:4" x14ac:dyDescent="0.2">
      <c r="A27" s="2672"/>
      <c r="B27" s="2672"/>
      <c r="D27" s="1044"/>
    </row>
    <row r="28" spans="1:4" x14ac:dyDescent="0.2">
      <c r="A28" s="2672"/>
      <c r="B28" s="2672"/>
      <c r="D28" s="1044"/>
    </row>
    <row r="29" spans="1:4" x14ac:dyDescent="0.2">
      <c r="A29" s="2672"/>
      <c r="B29" s="2672"/>
      <c r="D29" s="1044"/>
    </row>
    <row r="30" spans="1:4" x14ac:dyDescent="0.2">
      <c r="A30" s="2672"/>
      <c r="B30" s="2672"/>
      <c r="D30" s="1044"/>
    </row>
    <row r="32" spans="1:4" x14ac:dyDescent="0.2">
      <c r="A32" s="1036" t="s">
        <v>1222</v>
      </c>
      <c r="D32" s="1039">
        <f>SUM(D19:D30)</f>
        <v>4144167</v>
      </c>
    </row>
    <row r="33" spans="1:4" x14ac:dyDescent="0.2">
      <c r="D33" s="1045"/>
    </row>
    <row r="34" spans="1:4" x14ac:dyDescent="0.2">
      <c r="A34" s="295" t="s">
        <v>1221</v>
      </c>
    </row>
    <row r="35" spans="1:4" x14ac:dyDescent="0.2">
      <c r="A35" s="295" t="s">
        <v>1220</v>
      </c>
      <c r="B35" s="1034" t="s">
        <v>1219</v>
      </c>
      <c r="D35" s="1046">
        <v>4144167</v>
      </c>
    </row>
    <row r="37" spans="1:4" x14ac:dyDescent="0.2">
      <c r="A37" s="1036" t="s">
        <v>1218</v>
      </c>
    </row>
    <row r="39" spans="1:4" ht="13.35" customHeight="1" x14ac:dyDescent="0.2">
      <c r="A39" s="1043" t="s">
        <v>1217</v>
      </c>
    </row>
    <row r="40" spans="1:4" x14ac:dyDescent="0.2">
      <c r="A40" s="2672"/>
      <c r="B40" s="2672"/>
      <c r="D40" s="1044"/>
    </row>
    <row r="41" spans="1:4" x14ac:dyDescent="0.2">
      <c r="A41" s="2672"/>
      <c r="B41" s="2672"/>
      <c r="D41" s="1047"/>
    </row>
    <row r="42" spans="1:4" x14ac:dyDescent="0.2">
      <c r="A42" s="2672"/>
      <c r="B42" s="2672"/>
      <c r="D42" s="1047"/>
    </row>
    <row r="43" spans="1:4" x14ac:dyDescent="0.2">
      <c r="A43" s="2672"/>
      <c r="B43" s="2672"/>
      <c r="D43" s="1047"/>
    </row>
    <row r="44" spans="1:4" x14ac:dyDescent="0.2">
      <c r="A44" s="2672"/>
      <c r="B44" s="2672"/>
      <c r="D44" s="1047"/>
    </row>
    <row r="45" spans="1:4" x14ac:dyDescent="0.2">
      <c r="A45" s="2672"/>
      <c r="B45" s="2672"/>
      <c r="D45" s="1047"/>
    </row>
    <row r="47" spans="1:4" x14ac:dyDescent="0.2">
      <c r="B47" s="1048" t="s">
        <v>1216</v>
      </c>
      <c r="C47" s="1048"/>
      <c r="D47" s="1049">
        <f>SUM(D35:D45)</f>
        <v>4144167</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FEFDE-C0F0-4767-B343-A490052E0D56}">
  <sheetPr transitionEvaluation="1"/>
  <dimension ref="A1:U160"/>
  <sheetViews>
    <sheetView showGridLines="0" topLeftCell="A5" zoomScaleNormal="100" zoomScaleSheetLayoutView="90" workbookViewId="0">
      <selection activeCell="A5" sqref="A5:S5"/>
    </sheetView>
  </sheetViews>
  <sheetFormatPr defaultColWidth="16.7109375" defaultRowHeight="12.75" customHeight="1" x14ac:dyDescent="0.2"/>
  <cols>
    <col min="1" max="1" width="6.5703125" style="2067" customWidth="1"/>
    <col min="2" max="2" width="41.85546875" style="2068" customWidth="1"/>
    <col min="3" max="3" width="9.85546875" style="2068" customWidth="1"/>
    <col min="4" max="4" width="1.85546875" style="2068" customWidth="1"/>
    <col min="5" max="5" width="11" style="2068" customWidth="1"/>
    <col min="6" max="6" width="5.28515625" style="2100" customWidth="1"/>
    <col min="7" max="7" width="11.5703125" style="2068" bestFit="1" customWidth="1"/>
    <col min="8" max="8" width="1.85546875" style="2068" customWidth="1"/>
    <col min="9" max="9" width="12.28515625" style="2068" customWidth="1"/>
    <col min="10" max="10" width="2.28515625" style="2100" customWidth="1"/>
    <col min="11" max="11" width="13.140625" style="2068" bestFit="1" customWidth="1"/>
    <col min="12" max="12" width="1.85546875" style="2068" customWidth="1"/>
    <col min="13" max="13" width="12.28515625" style="2068" customWidth="1"/>
    <col min="14" max="14" width="1.85546875" style="2068" customWidth="1"/>
    <col min="15" max="15" width="10.5703125" style="2068" customWidth="1"/>
    <col min="16" max="16" width="4.42578125" style="2100" customWidth="1"/>
    <col min="17" max="17" width="13.28515625" style="2068" bestFit="1" customWidth="1"/>
    <col min="18" max="18" width="1" style="2068" customWidth="1"/>
    <col min="19" max="19" width="12.5703125" style="2068" customWidth="1"/>
    <col min="20" max="20" width="16.7109375" style="2068" customWidth="1"/>
    <col min="21" max="250" width="16.7109375" style="2068"/>
    <col min="251" max="251" width="6.5703125" style="2068" customWidth="1"/>
    <col min="252" max="252" width="41.85546875" style="2068" customWidth="1"/>
    <col min="253" max="253" width="9.85546875" style="2068" customWidth="1"/>
    <col min="254" max="254" width="1.85546875" style="2068" customWidth="1"/>
    <col min="255" max="255" width="11" style="2068" customWidth="1"/>
    <col min="256" max="256" width="5.28515625" style="2068" customWidth="1"/>
    <col min="257" max="257" width="11.5703125" style="2068" bestFit="1" customWidth="1"/>
    <col min="258" max="258" width="1.85546875" style="2068" customWidth="1"/>
    <col min="259" max="259" width="12.28515625" style="2068" customWidth="1"/>
    <col min="260" max="260" width="2.28515625" style="2068" customWidth="1"/>
    <col min="261" max="261" width="13.140625" style="2068" bestFit="1" customWidth="1"/>
    <col min="262" max="262" width="1.85546875" style="2068" customWidth="1"/>
    <col min="263" max="263" width="12.28515625" style="2068" customWidth="1"/>
    <col min="264" max="264" width="1.85546875" style="2068" customWidth="1"/>
    <col min="265" max="265" width="10.5703125" style="2068" customWidth="1"/>
    <col min="266" max="266" width="4.42578125" style="2068" customWidth="1"/>
    <col min="267" max="267" width="13.28515625" style="2068" bestFit="1" customWidth="1"/>
    <col min="268" max="268" width="1" style="2068" customWidth="1"/>
    <col min="269" max="269" width="12.5703125" style="2068" customWidth="1"/>
    <col min="270" max="270" width="16.140625" style="2068" customWidth="1"/>
    <col min="271" max="271" width="12.42578125" style="2068" customWidth="1"/>
    <col min="272" max="272" width="17.28515625" style="2068" customWidth="1"/>
    <col min="273" max="275" width="18.42578125" style="2068" customWidth="1"/>
    <col min="276" max="506" width="16.7109375" style="2068"/>
    <col min="507" max="507" width="6.5703125" style="2068" customWidth="1"/>
    <col min="508" max="508" width="41.85546875" style="2068" customWidth="1"/>
    <col min="509" max="509" width="9.85546875" style="2068" customWidth="1"/>
    <col min="510" max="510" width="1.85546875" style="2068" customWidth="1"/>
    <col min="511" max="511" width="11" style="2068" customWidth="1"/>
    <col min="512" max="512" width="5.28515625" style="2068" customWidth="1"/>
    <col min="513" max="513" width="11.5703125" style="2068" bestFit="1" customWidth="1"/>
    <col min="514" max="514" width="1.85546875" style="2068" customWidth="1"/>
    <col min="515" max="515" width="12.28515625" style="2068" customWidth="1"/>
    <col min="516" max="516" width="2.28515625" style="2068" customWidth="1"/>
    <col min="517" max="517" width="13.140625" style="2068" bestFit="1" customWidth="1"/>
    <col min="518" max="518" width="1.85546875" style="2068" customWidth="1"/>
    <col min="519" max="519" width="12.28515625" style="2068" customWidth="1"/>
    <col min="520" max="520" width="1.85546875" style="2068" customWidth="1"/>
    <col min="521" max="521" width="10.5703125" style="2068" customWidth="1"/>
    <col min="522" max="522" width="4.42578125" style="2068" customWidth="1"/>
    <col min="523" max="523" width="13.28515625" style="2068" bestFit="1" customWidth="1"/>
    <col min="524" max="524" width="1" style="2068" customWidth="1"/>
    <col min="525" max="525" width="12.5703125" style="2068" customWidth="1"/>
    <col min="526" max="526" width="16.140625" style="2068" customWidth="1"/>
    <col min="527" max="527" width="12.42578125" style="2068" customWidth="1"/>
    <col min="528" max="528" width="17.28515625" style="2068" customWidth="1"/>
    <col min="529" max="531" width="18.42578125" style="2068" customWidth="1"/>
    <col min="532" max="762" width="16.7109375" style="2068"/>
    <col min="763" max="763" width="6.5703125" style="2068" customWidth="1"/>
    <col min="764" max="764" width="41.85546875" style="2068" customWidth="1"/>
    <col min="765" max="765" width="9.85546875" style="2068" customWidth="1"/>
    <col min="766" max="766" width="1.85546875" style="2068" customWidth="1"/>
    <col min="767" max="767" width="11" style="2068" customWidth="1"/>
    <col min="768" max="768" width="5.28515625" style="2068" customWidth="1"/>
    <col min="769" max="769" width="11.5703125" style="2068" bestFit="1" customWidth="1"/>
    <col min="770" max="770" width="1.85546875" style="2068" customWidth="1"/>
    <col min="771" max="771" width="12.28515625" style="2068" customWidth="1"/>
    <col min="772" max="772" width="2.28515625" style="2068" customWidth="1"/>
    <col min="773" max="773" width="13.140625" style="2068" bestFit="1" customWidth="1"/>
    <col min="774" max="774" width="1.85546875" style="2068" customWidth="1"/>
    <col min="775" max="775" width="12.28515625" style="2068" customWidth="1"/>
    <col min="776" max="776" width="1.85546875" style="2068" customWidth="1"/>
    <col min="777" max="777" width="10.5703125" style="2068" customWidth="1"/>
    <col min="778" max="778" width="4.42578125" style="2068" customWidth="1"/>
    <col min="779" max="779" width="13.28515625" style="2068" bestFit="1" customWidth="1"/>
    <col min="780" max="780" width="1" style="2068" customWidth="1"/>
    <col min="781" max="781" width="12.5703125" style="2068" customWidth="1"/>
    <col min="782" max="782" width="16.140625" style="2068" customWidth="1"/>
    <col min="783" max="783" width="12.42578125" style="2068" customWidth="1"/>
    <col min="784" max="784" width="17.28515625" style="2068" customWidth="1"/>
    <col min="785" max="787" width="18.42578125" style="2068" customWidth="1"/>
    <col min="788" max="1018" width="16.7109375" style="2068"/>
    <col min="1019" max="1019" width="6.5703125" style="2068" customWidth="1"/>
    <col min="1020" max="1020" width="41.85546875" style="2068" customWidth="1"/>
    <col min="1021" max="1021" width="9.85546875" style="2068" customWidth="1"/>
    <col min="1022" max="1022" width="1.85546875" style="2068" customWidth="1"/>
    <col min="1023" max="1023" width="11" style="2068" customWidth="1"/>
    <col min="1024" max="1024" width="5.28515625" style="2068" customWidth="1"/>
    <col min="1025" max="1025" width="11.5703125" style="2068" bestFit="1" customWidth="1"/>
    <col min="1026" max="1026" width="1.85546875" style="2068" customWidth="1"/>
    <col min="1027" max="1027" width="12.28515625" style="2068" customWidth="1"/>
    <col min="1028" max="1028" width="2.28515625" style="2068" customWidth="1"/>
    <col min="1029" max="1029" width="13.140625" style="2068" bestFit="1" customWidth="1"/>
    <col min="1030" max="1030" width="1.85546875" style="2068" customWidth="1"/>
    <col min="1031" max="1031" width="12.28515625" style="2068" customWidth="1"/>
    <col min="1032" max="1032" width="1.85546875" style="2068" customWidth="1"/>
    <col min="1033" max="1033" width="10.5703125" style="2068" customWidth="1"/>
    <col min="1034" max="1034" width="4.42578125" style="2068" customWidth="1"/>
    <col min="1035" max="1035" width="13.28515625" style="2068" bestFit="1" customWidth="1"/>
    <col min="1036" max="1036" width="1" style="2068" customWidth="1"/>
    <col min="1037" max="1037" width="12.5703125" style="2068" customWidth="1"/>
    <col min="1038" max="1038" width="16.140625" style="2068" customWidth="1"/>
    <col min="1039" max="1039" width="12.42578125" style="2068" customWidth="1"/>
    <col min="1040" max="1040" width="17.28515625" style="2068" customWidth="1"/>
    <col min="1041" max="1043" width="18.42578125" style="2068" customWidth="1"/>
    <col min="1044" max="1274" width="16.7109375" style="2068"/>
    <col min="1275" max="1275" width="6.5703125" style="2068" customWidth="1"/>
    <col min="1276" max="1276" width="41.85546875" style="2068" customWidth="1"/>
    <col min="1277" max="1277" width="9.85546875" style="2068" customWidth="1"/>
    <col min="1278" max="1278" width="1.85546875" style="2068" customWidth="1"/>
    <col min="1279" max="1279" width="11" style="2068" customWidth="1"/>
    <col min="1280" max="1280" width="5.28515625" style="2068" customWidth="1"/>
    <col min="1281" max="1281" width="11.5703125" style="2068" bestFit="1" customWidth="1"/>
    <col min="1282" max="1282" width="1.85546875" style="2068" customWidth="1"/>
    <col min="1283" max="1283" width="12.28515625" style="2068" customWidth="1"/>
    <col min="1284" max="1284" width="2.28515625" style="2068" customWidth="1"/>
    <col min="1285" max="1285" width="13.140625" style="2068" bestFit="1" customWidth="1"/>
    <col min="1286" max="1286" width="1.85546875" style="2068" customWidth="1"/>
    <col min="1287" max="1287" width="12.28515625" style="2068" customWidth="1"/>
    <col min="1288" max="1288" width="1.85546875" style="2068" customWidth="1"/>
    <col min="1289" max="1289" width="10.5703125" style="2068" customWidth="1"/>
    <col min="1290" max="1290" width="4.42578125" style="2068" customWidth="1"/>
    <col min="1291" max="1291" width="13.28515625" style="2068" bestFit="1" customWidth="1"/>
    <col min="1292" max="1292" width="1" style="2068" customWidth="1"/>
    <col min="1293" max="1293" width="12.5703125" style="2068" customWidth="1"/>
    <col min="1294" max="1294" width="16.140625" style="2068" customWidth="1"/>
    <col min="1295" max="1295" width="12.42578125" style="2068" customWidth="1"/>
    <col min="1296" max="1296" width="17.28515625" style="2068" customWidth="1"/>
    <col min="1297" max="1299" width="18.42578125" style="2068" customWidth="1"/>
    <col min="1300" max="1530" width="16.7109375" style="2068"/>
    <col min="1531" max="1531" width="6.5703125" style="2068" customWidth="1"/>
    <col min="1532" max="1532" width="41.85546875" style="2068" customWidth="1"/>
    <col min="1533" max="1533" width="9.85546875" style="2068" customWidth="1"/>
    <col min="1534" max="1534" width="1.85546875" style="2068" customWidth="1"/>
    <col min="1535" max="1535" width="11" style="2068" customWidth="1"/>
    <col min="1536" max="1536" width="5.28515625" style="2068" customWidth="1"/>
    <col min="1537" max="1537" width="11.5703125" style="2068" bestFit="1" customWidth="1"/>
    <col min="1538" max="1538" width="1.85546875" style="2068" customWidth="1"/>
    <col min="1539" max="1539" width="12.28515625" style="2068" customWidth="1"/>
    <col min="1540" max="1540" width="2.28515625" style="2068" customWidth="1"/>
    <col min="1541" max="1541" width="13.140625" style="2068" bestFit="1" customWidth="1"/>
    <col min="1542" max="1542" width="1.85546875" style="2068" customWidth="1"/>
    <col min="1543" max="1543" width="12.28515625" style="2068" customWidth="1"/>
    <col min="1544" max="1544" width="1.85546875" style="2068" customWidth="1"/>
    <col min="1545" max="1545" width="10.5703125" style="2068" customWidth="1"/>
    <col min="1546" max="1546" width="4.42578125" style="2068" customWidth="1"/>
    <col min="1547" max="1547" width="13.28515625" style="2068" bestFit="1" customWidth="1"/>
    <col min="1548" max="1548" width="1" style="2068" customWidth="1"/>
    <col min="1549" max="1549" width="12.5703125" style="2068" customWidth="1"/>
    <col min="1550" max="1550" width="16.140625" style="2068" customWidth="1"/>
    <col min="1551" max="1551" width="12.42578125" style="2068" customWidth="1"/>
    <col min="1552" max="1552" width="17.28515625" style="2068" customWidth="1"/>
    <col min="1553" max="1555" width="18.42578125" style="2068" customWidth="1"/>
    <col min="1556" max="1786" width="16.7109375" style="2068"/>
    <col min="1787" max="1787" width="6.5703125" style="2068" customWidth="1"/>
    <col min="1788" max="1788" width="41.85546875" style="2068" customWidth="1"/>
    <col min="1789" max="1789" width="9.85546875" style="2068" customWidth="1"/>
    <col min="1790" max="1790" width="1.85546875" style="2068" customWidth="1"/>
    <col min="1791" max="1791" width="11" style="2068" customWidth="1"/>
    <col min="1792" max="1792" width="5.28515625" style="2068" customWidth="1"/>
    <col min="1793" max="1793" width="11.5703125" style="2068" bestFit="1" customWidth="1"/>
    <col min="1794" max="1794" width="1.85546875" style="2068" customWidth="1"/>
    <col min="1795" max="1795" width="12.28515625" style="2068" customWidth="1"/>
    <col min="1796" max="1796" width="2.28515625" style="2068" customWidth="1"/>
    <col min="1797" max="1797" width="13.140625" style="2068" bestFit="1" customWidth="1"/>
    <col min="1798" max="1798" width="1.85546875" style="2068" customWidth="1"/>
    <col min="1799" max="1799" width="12.28515625" style="2068" customWidth="1"/>
    <col min="1800" max="1800" width="1.85546875" style="2068" customWidth="1"/>
    <col min="1801" max="1801" width="10.5703125" style="2068" customWidth="1"/>
    <col min="1802" max="1802" width="4.42578125" style="2068" customWidth="1"/>
    <col min="1803" max="1803" width="13.28515625" style="2068" bestFit="1" customWidth="1"/>
    <col min="1804" max="1804" width="1" style="2068" customWidth="1"/>
    <col min="1805" max="1805" width="12.5703125" style="2068" customWidth="1"/>
    <col min="1806" max="1806" width="16.140625" style="2068" customWidth="1"/>
    <col min="1807" max="1807" width="12.42578125" style="2068" customWidth="1"/>
    <col min="1808" max="1808" width="17.28515625" style="2068" customWidth="1"/>
    <col min="1809" max="1811" width="18.42578125" style="2068" customWidth="1"/>
    <col min="1812" max="2042" width="16.7109375" style="2068"/>
    <col min="2043" max="2043" width="6.5703125" style="2068" customWidth="1"/>
    <col min="2044" max="2044" width="41.85546875" style="2068" customWidth="1"/>
    <col min="2045" max="2045" width="9.85546875" style="2068" customWidth="1"/>
    <col min="2046" max="2046" width="1.85546875" style="2068" customWidth="1"/>
    <col min="2047" max="2047" width="11" style="2068" customWidth="1"/>
    <col min="2048" max="2048" width="5.28515625" style="2068" customWidth="1"/>
    <col min="2049" max="2049" width="11.5703125" style="2068" bestFit="1" customWidth="1"/>
    <col min="2050" max="2050" width="1.85546875" style="2068" customWidth="1"/>
    <col min="2051" max="2051" width="12.28515625" style="2068" customWidth="1"/>
    <col min="2052" max="2052" width="2.28515625" style="2068" customWidth="1"/>
    <col min="2053" max="2053" width="13.140625" style="2068" bestFit="1" customWidth="1"/>
    <col min="2054" max="2054" width="1.85546875" style="2068" customWidth="1"/>
    <col min="2055" max="2055" width="12.28515625" style="2068" customWidth="1"/>
    <col min="2056" max="2056" width="1.85546875" style="2068" customWidth="1"/>
    <col min="2057" max="2057" width="10.5703125" style="2068" customWidth="1"/>
    <col min="2058" max="2058" width="4.42578125" style="2068" customWidth="1"/>
    <col min="2059" max="2059" width="13.28515625" style="2068" bestFit="1" customWidth="1"/>
    <col min="2060" max="2060" width="1" style="2068" customWidth="1"/>
    <col min="2061" max="2061" width="12.5703125" style="2068" customWidth="1"/>
    <col min="2062" max="2062" width="16.140625" style="2068" customWidth="1"/>
    <col min="2063" max="2063" width="12.42578125" style="2068" customWidth="1"/>
    <col min="2064" max="2064" width="17.28515625" style="2068" customWidth="1"/>
    <col min="2065" max="2067" width="18.42578125" style="2068" customWidth="1"/>
    <col min="2068" max="2298" width="16.7109375" style="2068"/>
    <col min="2299" max="2299" width="6.5703125" style="2068" customWidth="1"/>
    <col min="2300" max="2300" width="41.85546875" style="2068" customWidth="1"/>
    <col min="2301" max="2301" width="9.85546875" style="2068" customWidth="1"/>
    <col min="2302" max="2302" width="1.85546875" style="2068" customWidth="1"/>
    <col min="2303" max="2303" width="11" style="2068" customWidth="1"/>
    <col min="2304" max="2304" width="5.28515625" style="2068" customWidth="1"/>
    <col min="2305" max="2305" width="11.5703125" style="2068" bestFit="1" customWidth="1"/>
    <col min="2306" max="2306" width="1.85546875" style="2068" customWidth="1"/>
    <col min="2307" max="2307" width="12.28515625" style="2068" customWidth="1"/>
    <col min="2308" max="2308" width="2.28515625" style="2068" customWidth="1"/>
    <col min="2309" max="2309" width="13.140625" style="2068" bestFit="1" customWidth="1"/>
    <col min="2310" max="2310" width="1.85546875" style="2068" customWidth="1"/>
    <col min="2311" max="2311" width="12.28515625" style="2068" customWidth="1"/>
    <col min="2312" max="2312" width="1.85546875" style="2068" customWidth="1"/>
    <col min="2313" max="2313" width="10.5703125" style="2068" customWidth="1"/>
    <col min="2314" max="2314" width="4.42578125" style="2068" customWidth="1"/>
    <col min="2315" max="2315" width="13.28515625" style="2068" bestFit="1" customWidth="1"/>
    <col min="2316" max="2316" width="1" style="2068" customWidth="1"/>
    <col min="2317" max="2317" width="12.5703125" style="2068" customWidth="1"/>
    <col min="2318" max="2318" width="16.140625" style="2068" customWidth="1"/>
    <col min="2319" max="2319" width="12.42578125" style="2068" customWidth="1"/>
    <col min="2320" max="2320" width="17.28515625" style="2068" customWidth="1"/>
    <col min="2321" max="2323" width="18.42578125" style="2068" customWidth="1"/>
    <col min="2324" max="2554" width="16.7109375" style="2068"/>
    <col min="2555" max="2555" width="6.5703125" style="2068" customWidth="1"/>
    <col min="2556" max="2556" width="41.85546875" style="2068" customWidth="1"/>
    <col min="2557" max="2557" width="9.85546875" style="2068" customWidth="1"/>
    <col min="2558" max="2558" width="1.85546875" style="2068" customWidth="1"/>
    <col min="2559" max="2559" width="11" style="2068" customWidth="1"/>
    <col min="2560" max="2560" width="5.28515625" style="2068" customWidth="1"/>
    <col min="2561" max="2561" width="11.5703125" style="2068" bestFit="1" customWidth="1"/>
    <col min="2562" max="2562" width="1.85546875" style="2068" customWidth="1"/>
    <col min="2563" max="2563" width="12.28515625" style="2068" customWidth="1"/>
    <col min="2564" max="2564" width="2.28515625" style="2068" customWidth="1"/>
    <col min="2565" max="2565" width="13.140625" style="2068" bestFit="1" customWidth="1"/>
    <col min="2566" max="2566" width="1.85546875" style="2068" customWidth="1"/>
    <col min="2567" max="2567" width="12.28515625" style="2068" customWidth="1"/>
    <col min="2568" max="2568" width="1.85546875" style="2068" customWidth="1"/>
    <col min="2569" max="2569" width="10.5703125" style="2068" customWidth="1"/>
    <col min="2570" max="2570" width="4.42578125" style="2068" customWidth="1"/>
    <col min="2571" max="2571" width="13.28515625" style="2068" bestFit="1" customWidth="1"/>
    <col min="2572" max="2572" width="1" style="2068" customWidth="1"/>
    <col min="2573" max="2573" width="12.5703125" style="2068" customWidth="1"/>
    <col min="2574" max="2574" width="16.140625" style="2068" customWidth="1"/>
    <col min="2575" max="2575" width="12.42578125" style="2068" customWidth="1"/>
    <col min="2576" max="2576" width="17.28515625" style="2068" customWidth="1"/>
    <col min="2577" max="2579" width="18.42578125" style="2068" customWidth="1"/>
    <col min="2580" max="2810" width="16.7109375" style="2068"/>
    <col min="2811" max="2811" width="6.5703125" style="2068" customWidth="1"/>
    <col min="2812" max="2812" width="41.85546875" style="2068" customWidth="1"/>
    <col min="2813" max="2813" width="9.85546875" style="2068" customWidth="1"/>
    <col min="2814" max="2814" width="1.85546875" style="2068" customWidth="1"/>
    <col min="2815" max="2815" width="11" style="2068" customWidth="1"/>
    <col min="2816" max="2816" width="5.28515625" style="2068" customWidth="1"/>
    <col min="2817" max="2817" width="11.5703125" style="2068" bestFit="1" customWidth="1"/>
    <col min="2818" max="2818" width="1.85546875" style="2068" customWidth="1"/>
    <col min="2819" max="2819" width="12.28515625" style="2068" customWidth="1"/>
    <col min="2820" max="2820" width="2.28515625" style="2068" customWidth="1"/>
    <col min="2821" max="2821" width="13.140625" style="2068" bestFit="1" customWidth="1"/>
    <col min="2822" max="2822" width="1.85546875" style="2068" customWidth="1"/>
    <col min="2823" max="2823" width="12.28515625" style="2068" customWidth="1"/>
    <col min="2824" max="2824" width="1.85546875" style="2068" customWidth="1"/>
    <col min="2825" max="2825" width="10.5703125" style="2068" customWidth="1"/>
    <col min="2826" max="2826" width="4.42578125" style="2068" customWidth="1"/>
    <col min="2827" max="2827" width="13.28515625" style="2068" bestFit="1" customWidth="1"/>
    <col min="2828" max="2828" width="1" style="2068" customWidth="1"/>
    <col min="2829" max="2829" width="12.5703125" style="2068" customWidth="1"/>
    <col min="2830" max="2830" width="16.140625" style="2068" customWidth="1"/>
    <col min="2831" max="2831" width="12.42578125" style="2068" customWidth="1"/>
    <col min="2832" max="2832" width="17.28515625" style="2068" customWidth="1"/>
    <col min="2833" max="2835" width="18.42578125" style="2068" customWidth="1"/>
    <col min="2836" max="3066" width="16.7109375" style="2068"/>
    <col min="3067" max="3067" width="6.5703125" style="2068" customWidth="1"/>
    <col min="3068" max="3068" width="41.85546875" style="2068" customWidth="1"/>
    <col min="3069" max="3069" width="9.85546875" style="2068" customWidth="1"/>
    <col min="3070" max="3070" width="1.85546875" style="2068" customWidth="1"/>
    <col min="3071" max="3071" width="11" style="2068" customWidth="1"/>
    <col min="3072" max="3072" width="5.28515625" style="2068" customWidth="1"/>
    <col min="3073" max="3073" width="11.5703125" style="2068" bestFit="1" customWidth="1"/>
    <col min="3074" max="3074" width="1.85546875" style="2068" customWidth="1"/>
    <col min="3075" max="3075" width="12.28515625" style="2068" customWidth="1"/>
    <col min="3076" max="3076" width="2.28515625" style="2068" customWidth="1"/>
    <col min="3077" max="3077" width="13.140625" style="2068" bestFit="1" customWidth="1"/>
    <col min="3078" max="3078" width="1.85546875" style="2068" customWidth="1"/>
    <col min="3079" max="3079" width="12.28515625" style="2068" customWidth="1"/>
    <col min="3080" max="3080" width="1.85546875" style="2068" customWidth="1"/>
    <col min="3081" max="3081" width="10.5703125" style="2068" customWidth="1"/>
    <col min="3082" max="3082" width="4.42578125" style="2068" customWidth="1"/>
    <col min="3083" max="3083" width="13.28515625" style="2068" bestFit="1" customWidth="1"/>
    <col min="3084" max="3084" width="1" style="2068" customWidth="1"/>
    <col min="3085" max="3085" width="12.5703125" style="2068" customWidth="1"/>
    <col min="3086" max="3086" width="16.140625" style="2068" customWidth="1"/>
    <col min="3087" max="3087" width="12.42578125" style="2068" customWidth="1"/>
    <col min="3088" max="3088" width="17.28515625" style="2068" customWidth="1"/>
    <col min="3089" max="3091" width="18.42578125" style="2068" customWidth="1"/>
    <col min="3092" max="3322" width="16.7109375" style="2068"/>
    <col min="3323" max="3323" width="6.5703125" style="2068" customWidth="1"/>
    <col min="3324" max="3324" width="41.85546875" style="2068" customWidth="1"/>
    <col min="3325" max="3325" width="9.85546875" style="2068" customWidth="1"/>
    <col min="3326" max="3326" width="1.85546875" style="2068" customWidth="1"/>
    <col min="3327" max="3327" width="11" style="2068" customWidth="1"/>
    <col min="3328" max="3328" width="5.28515625" style="2068" customWidth="1"/>
    <col min="3329" max="3329" width="11.5703125" style="2068" bestFit="1" customWidth="1"/>
    <col min="3330" max="3330" width="1.85546875" style="2068" customWidth="1"/>
    <col min="3331" max="3331" width="12.28515625" style="2068" customWidth="1"/>
    <col min="3332" max="3332" width="2.28515625" style="2068" customWidth="1"/>
    <col min="3333" max="3333" width="13.140625" style="2068" bestFit="1" customWidth="1"/>
    <col min="3334" max="3334" width="1.85546875" style="2068" customWidth="1"/>
    <col min="3335" max="3335" width="12.28515625" style="2068" customWidth="1"/>
    <col min="3336" max="3336" width="1.85546875" style="2068" customWidth="1"/>
    <col min="3337" max="3337" width="10.5703125" style="2068" customWidth="1"/>
    <col min="3338" max="3338" width="4.42578125" style="2068" customWidth="1"/>
    <col min="3339" max="3339" width="13.28515625" style="2068" bestFit="1" customWidth="1"/>
    <col min="3340" max="3340" width="1" style="2068" customWidth="1"/>
    <col min="3341" max="3341" width="12.5703125" style="2068" customWidth="1"/>
    <col min="3342" max="3342" width="16.140625" style="2068" customWidth="1"/>
    <col min="3343" max="3343" width="12.42578125" style="2068" customWidth="1"/>
    <col min="3344" max="3344" width="17.28515625" style="2068" customWidth="1"/>
    <col min="3345" max="3347" width="18.42578125" style="2068" customWidth="1"/>
    <col min="3348" max="3578" width="16.7109375" style="2068"/>
    <col min="3579" max="3579" width="6.5703125" style="2068" customWidth="1"/>
    <col min="3580" max="3580" width="41.85546875" style="2068" customWidth="1"/>
    <col min="3581" max="3581" width="9.85546875" style="2068" customWidth="1"/>
    <col min="3582" max="3582" width="1.85546875" style="2068" customWidth="1"/>
    <col min="3583" max="3583" width="11" style="2068" customWidth="1"/>
    <col min="3584" max="3584" width="5.28515625" style="2068" customWidth="1"/>
    <col min="3585" max="3585" width="11.5703125" style="2068" bestFit="1" customWidth="1"/>
    <col min="3586" max="3586" width="1.85546875" style="2068" customWidth="1"/>
    <col min="3587" max="3587" width="12.28515625" style="2068" customWidth="1"/>
    <col min="3588" max="3588" width="2.28515625" style="2068" customWidth="1"/>
    <col min="3589" max="3589" width="13.140625" style="2068" bestFit="1" customWidth="1"/>
    <col min="3590" max="3590" width="1.85546875" style="2068" customWidth="1"/>
    <col min="3591" max="3591" width="12.28515625" style="2068" customWidth="1"/>
    <col min="3592" max="3592" width="1.85546875" style="2068" customWidth="1"/>
    <col min="3593" max="3593" width="10.5703125" style="2068" customWidth="1"/>
    <col min="3594" max="3594" width="4.42578125" style="2068" customWidth="1"/>
    <col min="3595" max="3595" width="13.28515625" style="2068" bestFit="1" customWidth="1"/>
    <col min="3596" max="3596" width="1" style="2068" customWidth="1"/>
    <col min="3597" max="3597" width="12.5703125" style="2068" customWidth="1"/>
    <col min="3598" max="3598" width="16.140625" style="2068" customWidth="1"/>
    <col min="3599" max="3599" width="12.42578125" style="2068" customWidth="1"/>
    <col min="3600" max="3600" width="17.28515625" style="2068" customWidth="1"/>
    <col min="3601" max="3603" width="18.42578125" style="2068" customWidth="1"/>
    <col min="3604" max="3834" width="16.7109375" style="2068"/>
    <col min="3835" max="3835" width="6.5703125" style="2068" customWidth="1"/>
    <col min="3836" max="3836" width="41.85546875" style="2068" customWidth="1"/>
    <col min="3837" max="3837" width="9.85546875" style="2068" customWidth="1"/>
    <col min="3838" max="3838" width="1.85546875" style="2068" customWidth="1"/>
    <col min="3839" max="3839" width="11" style="2068" customWidth="1"/>
    <col min="3840" max="3840" width="5.28515625" style="2068" customWidth="1"/>
    <col min="3841" max="3841" width="11.5703125" style="2068" bestFit="1" customWidth="1"/>
    <col min="3842" max="3842" width="1.85546875" style="2068" customWidth="1"/>
    <col min="3843" max="3843" width="12.28515625" style="2068" customWidth="1"/>
    <col min="3844" max="3844" width="2.28515625" style="2068" customWidth="1"/>
    <col min="3845" max="3845" width="13.140625" style="2068" bestFit="1" customWidth="1"/>
    <col min="3846" max="3846" width="1.85546875" style="2068" customWidth="1"/>
    <col min="3847" max="3847" width="12.28515625" style="2068" customWidth="1"/>
    <col min="3848" max="3848" width="1.85546875" style="2068" customWidth="1"/>
    <col min="3849" max="3849" width="10.5703125" style="2068" customWidth="1"/>
    <col min="3850" max="3850" width="4.42578125" style="2068" customWidth="1"/>
    <col min="3851" max="3851" width="13.28515625" style="2068" bestFit="1" customWidth="1"/>
    <col min="3852" max="3852" width="1" style="2068" customWidth="1"/>
    <col min="3853" max="3853" width="12.5703125" style="2068" customWidth="1"/>
    <col min="3854" max="3854" width="16.140625" style="2068" customWidth="1"/>
    <col min="3855" max="3855" width="12.42578125" style="2068" customWidth="1"/>
    <col min="3856" max="3856" width="17.28515625" style="2068" customWidth="1"/>
    <col min="3857" max="3859" width="18.42578125" style="2068" customWidth="1"/>
    <col min="3860" max="4090" width="16.7109375" style="2068"/>
    <col min="4091" max="4091" width="6.5703125" style="2068" customWidth="1"/>
    <col min="4092" max="4092" width="41.85546875" style="2068" customWidth="1"/>
    <col min="4093" max="4093" width="9.85546875" style="2068" customWidth="1"/>
    <col min="4094" max="4094" width="1.85546875" style="2068" customWidth="1"/>
    <col min="4095" max="4095" width="11" style="2068" customWidth="1"/>
    <col min="4096" max="4096" width="5.28515625" style="2068" customWidth="1"/>
    <col min="4097" max="4097" width="11.5703125" style="2068" bestFit="1" customWidth="1"/>
    <col min="4098" max="4098" width="1.85546875" style="2068" customWidth="1"/>
    <col min="4099" max="4099" width="12.28515625" style="2068" customWidth="1"/>
    <col min="4100" max="4100" width="2.28515625" style="2068" customWidth="1"/>
    <col min="4101" max="4101" width="13.140625" style="2068" bestFit="1" customWidth="1"/>
    <col min="4102" max="4102" width="1.85546875" style="2068" customWidth="1"/>
    <col min="4103" max="4103" width="12.28515625" style="2068" customWidth="1"/>
    <col min="4104" max="4104" width="1.85546875" style="2068" customWidth="1"/>
    <col min="4105" max="4105" width="10.5703125" style="2068" customWidth="1"/>
    <col min="4106" max="4106" width="4.42578125" style="2068" customWidth="1"/>
    <col min="4107" max="4107" width="13.28515625" style="2068" bestFit="1" customWidth="1"/>
    <col min="4108" max="4108" width="1" style="2068" customWidth="1"/>
    <col min="4109" max="4109" width="12.5703125" style="2068" customWidth="1"/>
    <col min="4110" max="4110" width="16.140625" style="2068" customWidth="1"/>
    <col min="4111" max="4111" width="12.42578125" style="2068" customWidth="1"/>
    <col min="4112" max="4112" width="17.28515625" style="2068" customWidth="1"/>
    <col min="4113" max="4115" width="18.42578125" style="2068" customWidth="1"/>
    <col min="4116" max="4346" width="16.7109375" style="2068"/>
    <col min="4347" max="4347" width="6.5703125" style="2068" customWidth="1"/>
    <col min="4348" max="4348" width="41.85546875" style="2068" customWidth="1"/>
    <col min="4349" max="4349" width="9.85546875" style="2068" customWidth="1"/>
    <col min="4350" max="4350" width="1.85546875" style="2068" customWidth="1"/>
    <col min="4351" max="4351" width="11" style="2068" customWidth="1"/>
    <col min="4352" max="4352" width="5.28515625" style="2068" customWidth="1"/>
    <col min="4353" max="4353" width="11.5703125" style="2068" bestFit="1" customWidth="1"/>
    <col min="4354" max="4354" width="1.85546875" style="2068" customWidth="1"/>
    <col min="4355" max="4355" width="12.28515625" style="2068" customWidth="1"/>
    <col min="4356" max="4356" width="2.28515625" style="2068" customWidth="1"/>
    <col min="4357" max="4357" width="13.140625" style="2068" bestFit="1" customWidth="1"/>
    <col min="4358" max="4358" width="1.85546875" style="2068" customWidth="1"/>
    <col min="4359" max="4359" width="12.28515625" style="2068" customWidth="1"/>
    <col min="4360" max="4360" width="1.85546875" style="2068" customWidth="1"/>
    <col min="4361" max="4361" width="10.5703125" style="2068" customWidth="1"/>
    <col min="4362" max="4362" width="4.42578125" style="2068" customWidth="1"/>
    <col min="4363" max="4363" width="13.28515625" style="2068" bestFit="1" customWidth="1"/>
    <col min="4364" max="4364" width="1" style="2068" customWidth="1"/>
    <col min="4365" max="4365" width="12.5703125" style="2068" customWidth="1"/>
    <col min="4366" max="4366" width="16.140625" style="2068" customWidth="1"/>
    <col min="4367" max="4367" width="12.42578125" style="2068" customWidth="1"/>
    <col min="4368" max="4368" width="17.28515625" style="2068" customWidth="1"/>
    <col min="4369" max="4371" width="18.42578125" style="2068" customWidth="1"/>
    <col min="4372" max="4602" width="16.7109375" style="2068"/>
    <col min="4603" max="4603" width="6.5703125" style="2068" customWidth="1"/>
    <col min="4604" max="4604" width="41.85546875" style="2068" customWidth="1"/>
    <col min="4605" max="4605" width="9.85546875" style="2068" customWidth="1"/>
    <col min="4606" max="4606" width="1.85546875" style="2068" customWidth="1"/>
    <col min="4607" max="4607" width="11" style="2068" customWidth="1"/>
    <col min="4608" max="4608" width="5.28515625" style="2068" customWidth="1"/>
    <col min="4609" max="4609" width="11.5703125" style="2068" bestFit="1" customWidth="1"/>
    <col min="4610" max="4610" width="1.85546875" style="2068" customWidth="1"/>
    <col min="4611" max="4611" width="12.28515625" style="2068" customWidth="1"/>
    <col min="4612" max="4612" width="2.28515625" style="2068" customWidth="1"/>
    <col min="4613" max="4613" width="13.140625" style="2068" bestFit="1" customWidth="1"/>
    <col min="4614" max="4614" width="1.85546875" style="2068" customWidth="1"/>
    <col min="4615" max="4615" width="12.28515625" style="2068" customWidth="1"/>
    <col min="4616" max="4616" width="1.85546875" style="2068" customWidth="1"/>
    <col min="4617" max="4617" width="10.5703125" style="2068" customWidth="1"/>
    <col min="4618" max="4618" width="4.42578125" style="2068" customWidth="1"/>
    <col min="4619" max="4619" width="13.28515625" style="2068" bestFit="1" customWidth="1"/>
    <col min="4620" max="4620" width="1" style="2068" customWidth="1"/>
    <col min="4621" max="4621" width="12.5703125" style="2068" customWidth="1"/>
    <col min="4622" max="4622" width="16.140625" style="2068" customWidth="1"/>
    <col min="4623" max="4623" width="12.42578125" style="2068" customWidth="1"/>
    <col min="4624" max="4624" width="17.28515625" style="2068" customWidth="1"/>
    <col min="4625" max="4627" width="18.42578125" style="2068" customWidth="1"/>
    <col min="4628" max="4858" width="16.7109375" style="2068"/>
    <col min="4859" max="4859" width="6.5703125" style="2068" customWidth="1"/>
    <col min="4860" max="4860" width="41.85546875" style="2068" customWidth="1"/>
    <col min="4861" max="4861" width="9.85546875" style="2068" customWidth="1"/>
    <col min="4862" max="4862" width="1.85546875" style="2068" customWidth="1"/>
    <col min="4863" max="4863" width="11" style="2068" customWidth="1"/>
    <col min="4864" max="4864" width="5.28515625" style="2068" customWidth="1"/>
    <col min="4865" max="4865" width="11.5703125" style="2068" bestFit="1" customWidth="1"/>
    <col min="4866" max="4866" width="1.85546875" style="2068" customWidth="1"/>
    <col min="4867" max="4867" width="12.28515625" style="2068" customWidth="1"/>
    <col min="4868" max="4868" width="2.28515625" style="2068" customWidth="1"/>
    <col min="4869" max="4869" width="13.140625" style="2068" bestFit="1" customWidth="1"/>
    <col min="4870" max="4870" width="1.85546875" style="2068" customWidth="1"/>
    <col min="4871" max="4871" width="12.28515625" style="2068" customWidth="1"/>
    <col min="4872" max="4872" width="1.85546875" style="2068" customWidth="1"/>
    <col min="4873" max="4873" width="10.5703125" style="2068" customWidth="1"/>
    <col min="4874" max="4874" width="4.42578125" style="2068" customWidth="1"/>
    <col min="4875" max="4875" width="13.28515625" style="2068" bestFit="1" customWidth="1"/>
    <col min="4876" max="4876" width="1" style="2068" customWidth="1"/>
    <col min="4877" max="4877" width="12.5703125" style="2068" customWidth="1"/>
    <col min="4878" max="4878" width="16.140625" style="2068" customWidth="1"/>
    <col min="4879" max="4879" width="12.42578125" style="2068" customWidth="1"/>
    <col min="4880" max="4880" width="17.28515625" style="2068" customWidth="1"/>
    <col min="4881" max="4883" width="18.42578125" style="2068" customWidth="1"/>
    <col min="4884" max="5114" width="16.7109375" style="2068"/>
    <col min="5115" max="5115" width="6.5703125" style="2068" customWidth="1"/>
    <col min="5116" max="5116" width="41.85546875" style="2068" customWidth="1"/>
    <col min="5117" max="5117" width="9.85546875" style="2068" customWidth="1"/>
    <col min="5118" max="5118" width="1.85546875" style="2068" customWidth="1"/>
    <col min="5119" max="5119" width="11" style="2068" customWidth="1"/>
    <col min="5120" max="5120" width="5.28515625" style="2068" customWidth="1"/>
    <col min="5121" max="5121" width="11.5703125" style="2068" bestFit="1" customWidth="1"/>
    <col min="5122" max="5122" width="1.85546875" style="2068" customWidth="1"/>
    <col min="5123" max="5123" width="12.28515625" style="2068" customWidth="1"/>
    <col min="5124" max="5124" width="2.28515625" style="2068" customWidth="1"/>
    <col min="5125" max="5125" width="13.140625" style="2068" bestFit="1" customWidth="1"/>
    <col min="5126" max="5126" width="1.85546875" style="2068" customWidth="1"/>
    <col min="5127" max="5127" width="12.28515625" style="2068" customWidth="1"/>
    <col min="5128" max="5128" width="1.85546875" style="2068" customWidth="1"/>
    <col min="5129" max="5129" width="10.5703125" style="2068" customWidth="1"/>
    <col min="5130" max="5130" width="4.42578125" style="2068" customWidth="1"/>
    <col min="5131" max="5131" width="13.28515625" style="2068" bestFit="1" customWidth="1"/>
    <col min="5132" max="5132" width="1" style="2068" customWidth="1"/>
    <col min="5133" max="5133" width="12.5703125" style="2068" customWidth="1"/>
    <col min="5134" max="5134" width="16.140625" style="2068" customWidth="1"/>
    <col min="5135" max="5135" width="12.42578125" style="2068" customWidth="1"/>
    <col min="5136" max="5136" width="17.28515625" style="2068" customWidth="1"/>
    <col min="5137" max="5139" width="18.42578125" style="2068" customWidth="1"/>
    <col min="5140" max="5370" width="16.7109375" style="2068"/>
    <col min="5371" max="5371" width="6.5703125" style="2068" customWidth="1"/>
    <col min="5372" max="5372" width="41.85546875" style="2068" customWidth="1"/>
    <col min="5373" max="5373" width="9.85546875" style="2068" customWidth="1"/>
    <col min="5374" max="5374" width="1.85546875" style="2068" customWidth="1"/>
    <col min="5375" max="5375" width="11" style="2068" customWidth="1"/>
    <col min="5376" max="5376" width="5.28515625" style="2068" customWidth="1"/>
    <col min="5377" max="5377" width="11.5703125" style="2068" bestFit="1" customWidth="1"/>
    <col min="5378" max="5378" width="1.85546875" style="2068" customWidth="1"/>
    <col min="5379" max="5379" width="12.28515625" style="2068" customWidth="1"/>
    <col min="5380" max="5380" width="2.28515625" style="2068" customWidth="1"/>
    <col min="5381" max="5381" width="13.140625" style="2068" bestFit="1" customWidth="1"/>
    <col min="5382" max="5382" width="1.85546875" style="2068" customWidth="1"/>
    <col min="5383" max="5383" width="12.28515625" style="2068" customWidth="1"/>
    <col min="5384" max="5384" width="1.85546875" style="2068" customWidth="1"/>
    <col min="5385" max="5385" width="10.5703125" style="2068" customWidth="1"/>
    <col min="5386" max="5386" width="4.42578125" style="2068" customWidth="1"/>
    <col min="5387" max="5387" width="13.28515625" style="2068" bestFit="1" customWidth="1"/>
    <col min="5388" max="5388" width="1" style="2068" customWidth="1"/>
    <col min="5389" max="5389" width="12.5703125" style="2068" customWidth="1"/>
    <col min="5390" max="5390" width="16.140625" style="2068" customWidth="1"/>
    <col min="5391" max="5391" width="12.42578125" style="2068" customWidth="1"/>
    <col min="5392" max="5392" width="17.28515625" style="2068" customWidth="1"/>
    <col min="5393" max="5395" width="18.42578125" style="2068" customWidth="1"/>
    <col min="5396" max="5626" width="16.7109375" style="2068"/>
    <col min="5627" max="5627" width="6.5703125" style="2068" customWidth="1"/>
    <col min="5628" max="5628" width="41.85546875" style="2068" customWidth="1"/>
    <col min="5629" max="5629" width="9.85546875" style="2068" customWidth="1"/>
    <col min="5630" max="5630" width="1.85546875" style="2068" customWidth="1"/>
    <col min="5631" max="5631" width="11" style="2068" customWidth="1"/>
    <col min="5632" max="5632" width="5.28515625" style="2068" customWidth="1"/>
    <col min="5633" max="5633" width="11.5703125" style="2068" bestFit="1" customWidth="1"/>
    <col min="5634" max="5634" width="1.85546875" style="2068" customWidth="1"/>
    <col min="5635" max="5635" width="12.28515625" style="2068" customWidth="1"/>
    <col min="5636" max="5636" width="2.28515625" style="2068" customWidth="1"/>
    <col min="5637" max="5637" width="13.140625" style="2068" bestFit="1" customWidth="1"/>
    <col min="5638" max="5638" width="1.85546875" style="2068" customWidth="1"/>
    <col min="5639" max="5639" width="12.28515625" style="2068" customWidth="1"/>
    <col min="5640" max="5640" width="1.85546875" style="2068" customWidth="1"/>
    <col min="5641" max="5641" width="10.5703125" style="2068" customWidth="1"/>
    <col min="5642" max="5642" width="4.42578125" style="2068" customWidth="1"/>
    <col min="5643" max="5643" width="13.28515625" style="2068" bestFit="1" customWidth="1"/>
    <col min="5644" max="5644" width="1" style="2068" customWidth="1"/>
    <col min="5645" max="5645" width="12.5703125" style="2068" customWidth="1"/>
    <col min="5646" max="5646" width="16.140625" style="2068" customWidth="1"/>
    <col min="5647" max="5647" width="12.42578125" style="2068" customWidth="1"/>
    <col min="5648" max="5648" width="17.28515625" style="2068" customWidth="1"/>
    <col min="5649" max="5651" width="18.42578125" style="2068" customWidth="1"/>
    <col min="5652" max="5882" width="16.7109375" style="2068"/>
    <col min="5883" max="5883" width="6.5703125" style="2068" customWidth="1"/>
    <col min="5884" max="5884" width="41.85546875" style="2068" customWidth="1"/>
    <col min="5885" max="5885" width="9.85546875" style="2068" customWidth="1"/>
    <col min="5886" max="5886" width="1.85546875" style="2068" customWidth="1"/>
    <col min="5887" max="5887" width="11" style="2068" customWidth="1"/>
    <col min="5888" max="5888" width="5.28515625" style="2068" customWidth="1"/>
    <col min="5889" max="5889" width="11.5703125" style="2068" bestFit="1" customWidth="1"/>
    <col min="5890" max="5890" width="1.85546875" style="2068" customWidth="1"/>
    <col min="5891" max="5891" width="12.28515625" style="2068" customWidth="1"/>
    <col min="5892" max="5892" width="2.28515625" style="2068" customWidth="1"/>
    <col min="5893" max="5893" width="13.140625" style="2068" bestFit="1" customWidth="1"/>
    <col min="5894" max="5894" width="1.85546875" style="2068" customWidth="1"/>
    <col min="5895" max="5895" width="12.28515625" style="2068" customWidth="1"/>
    <col min="5896" max="5896" width="1.85546875" style="2068" customWidth="1"/>
    <col min="5897" max="5897" width="10.5703125" style="2068" customWidth="1"/>
    <col min="5898" max="5898" width="4.42578125" style="2068" customWidth="1"/>
    <col min="5899" max="5899" width="13.28515625" style="2068" bestFit="1" customWidth="1"/>
    <col min="5900" max="5900" width="1" style="2068" customWidth="1"/>
    <col min="5901" max="5901" width="12.5703125" style="2068" customWidth="1"/>
    <col min="5902" max="5902" width="16.140625" style="2068" customWidth="1"/>
    <col min="5903" max="5903" width="12.42578125" style="2068" customWidth="1"/>
    <col min="5904" max="5904" width="17.28515625" style="2068" customWidth="1"/>
    <col min="5905" max="5907" width="18.42578125" style="2068" customWidth="1"/>
    <col min="5908" max="6138" width="16.7109375" style="2068"/>
    <col min="6139" max="6139" width="6.5703125" style="2068" customWidth="1"/>
    <col min="6140" max="6140" width="41.85546875" style="2068" customWidth="1"/>
    <col min="6141" max="6141" width="9.85546875" style="2068" customWidth="1"/>
    <col min="6142" max="6142" width="1.85546875" style="2068" customWidth="1"/>
    <col min="6143" max="6143" width="11" style="2068" customWidth="1"/>
    <col min="6144" max="6144" width="5.28515625" style="2068" customWidth="1"/>
    <col min="6145" max="6145" width="11.5703125" style="2068" bestFit="1" customWidth="1"/>
    <col min="6146" max="6146" width="1.85546875" style="2068" customWidth="1"/>
    <col min="6147" max="6147" width="12.28515625" style="2068" customWidth="1"/>
    <col min="6148" max="6148" width="2.28515625" style="2068" customWidth="1"/>
    <col min="6149" max="6149" width="13.140625" style="2068" bestFit="1" customWidth="1"/>
    <col min="6150" max="6150" width="1.85546875" style="2068" customWidth="1"/>
    <col min="6151" max="6151" width="12.28515625" style="2068" customWidth="1"/>
    <col min="6152" max="6152" width="1.85546875" style="2068" customWidth="1"/>
    <col min="6153" max="6153" width="10.5703125" style="2068" customWidth="1"/>
    <col min="6154" max="6154" width="4.42578125" style="2068" customWidth="1"/>
    <col min="6155" max="6155" width="13.28515625" style="2068" bestFit="1" customWidth="1"/>
    <col min="6156" max="6156" width="1" style="2068" customWidth="1"/>
    <col min="6157" max="6157" width="12.5703125" style="2068" customWidth="1"/>
    <col min="6158" max="6158" width="16.140625" style="2068" customWidth="1"/>
    <col min="6159" max="6159" width="12.42578125" style="2068" customWidth="1"/>
    <col min="6160" max="6160" width="17.28515625" style="2068" customWidth="1"/>
    <col min="6161" max="6163" width="18.42578125" style="2068" customWidth="1"/>
    <col min="6164" max="6394" width="16.7109375" style="2068"/>
    <col min="6395" max="6395" width="6.5703125" style="2068" customWidth="1"/>
    <col min="6396" max="6396" width="41.85546875" style="2068" customWidth="1"/>
    <col min="6397" max="6397" width="9.85546875" style="2068" customWidth="1"/>
    <col min="6398" max="6398" width="1.85546875" style="2068" customWidth="1"/>
    <col min="6399" max="6399" width="11" style="2068" customWidth="1"/>
    <col min="6400" max="6400" width="5.28515625" style="2068" customWidth="1"/>
    <col min="6401" max="6401" width="11.5703125" style="2068" bestFit="1" customWidth="1"/>
    <col min="6402" max="6402" width="1.85546875" style="2068" customWidth="1"/>
    <col min="6403" max="6403" width="12.28515625" style="2068" customWidth="1"/>
    <col min="6404" max="6404" width="2.28515625" style="2068" customWidth="1"/>
    <col min="6405" max="6405" width="13.140625" style="2068" bestFit="1" customWidth="1"/>
    <col min="6406" max="6406" width="1.85546875" style="2068" customWidth="1"/>
    <col min="6407" max="6407" width="12.28515625" style="2068" customWidth="1"/>
    <col min="6408" max="6408" width="1.85546875" style="2068" customWidth="1"/>
    <col min="6409" max="6409" width="10.5703125" style="2068" customWidth="1"/>
    <col min="6410" max="6410" width="4.42578125" style="2068" customWidth="1"/>
    <col min="6411" max="6411" width="13.28515625" style="2068" bestFit="1" customWidth="1"/>
    <col min="6412" max="6412" width="1" style="2068" customWidth="1"/>
    <col min="6413" max="6413" width="12.5703125" style="2068" customWidth="1"/>
    <col min="6414" max="6414" width="16.140625" style="2068" customWidth="1"/>
    <col min="6415" max="6415" width="12.42578125" style="2068" customWidth="1"/>
    <col min="6416" max="6416" width="17.28515625" style="2068" customWidth="1"/>
    <col min="6417" max="6419" width="18.42578125" style="2068" customWidth="1"/>
    <col min="6420" max="6650" width="16.7109375" style="2068"/>
    <col min="6651" max="6651" width="6.5703125" style="2068" customWidth="1"/>
    <col min="6652" max="6652" width="41.85546875" style="2068" customWidth="1"/>
    <col min="6653" max="6653" width="9.85546875" style="2068" customWidth="1"/>
    <col min="6654" max="6654" width="1.85546875" style="2068" customWidth="1"/>
    <col min="6655" max="6655" width="11" style="2068" customWidth="1"/>
    <col min="6656" max="6656" width="5.28515625" style="2068" customWidth="1"/>
    <col min="6657" max="6657" width="11.5703125" style="2068" bestFit="1" customWidth="1"/>
    <col min="6658" max="6658" width="1.85546875" style="2068" customWidth="1"/>
    <col min="6659" max="6659" width="12.28515625" style="2068" customWidth="1"/>
    <col min="6660" max="6660" width="2.28515625" style="2068" customWidth="1"/>
    <col min="6661" max="6661" width="13.140625" style="2068" bestFit="1" customWidth="1"/>
    <col min="6662" max="6662" width="1.85546875" style="2068" customWidth="1"/>
    <col min="6663" max="6663" width="12.28515625" style="2068" customWidth="1"/>
    <col min="6664" max="6664" width="1.85546875" style="2068" customWidth="1"/>
    <col min="6665" max="6665" width="10.5703125" style="2068" customWidth="1"/>
    <col min="6666" max="6666" width="4.42578125" style="2068" customWidth="1"/>
    <col min="6667" max="6667" width="13.28515625" style="2068" bestFit="1" customWidth="1"/>
    <col min="6668" max="6668" width="1" style="2068" customWidth="1"/>
    <col min="6669" max="6669" width="12.5703125" style="2068" customWidth="1"/>
    <col min="6670" max="6670" width="16.140625" style="2068" customWidth="1"/>
    <col min="6671" max="6671" width="12.42578125" style="2068" customWidth="1"/>
    <col min="6672" max="6672" width="17.28515625" style="2068" customWidth="1"/>
    <col min="6673" max="6675" width="18.42578125" style="2068" customWidth="1"/>
    <col min="6676" max="6906" width="16.7109375" style="2068"/>
    <col min="6907" max="6907" width="6.5703125" style="2068" customWidth="1"/>
    <col min="6908" max="6908" width="41.85546875" style="2068" customWidth="1"/>
    <col min="6909" max="6909" width="9.85546875" style="2068" customWidth="1"/>
    <col min="6910" max="6910" width="1.85546875" style="2068" customWidth="1"/>
    <col min="6911" max="6911" width="11" style="2068" customWidth="1"/>
    <col min="6912" max="6912" width="5.28515625" style="2068" customWidth="1"/>
    <col min="6913" max="6913" width="11.5703125" style="2068" bestFit="1" customWidth="1"/>
    <col min="6914" max="6914" width="1.85546875" style="2068" customWidth="1"/>
    <col min="6915" max="6915" width="12.28515625" style="2068" customWidth="1"/>
    <col min="6916" max="6916" width="2.28515625" style="2068" customWidth="1"/>
    <col min="6917" max="6917" width="13.140625" style="2068" bestFit="1" customWidth="1"/>
    <col min="6918" max="6918" width="1.85546875" style="2068" customWidth="1"/>
    <col min="6919" max="6919" width="12.28515625" style="2068" customWidth="1"/>
    <col min="6920" max="6920" width="1.85546875" style="2068" customWidth="1"/>
    <col min="6921" max="6921" width="10.5703125" style="2068" customWidth="1"/>
    <col min="6922" max="6922" width="4.42578125" style="2068" customWidth="1"/>
    <col min="6923" max="6923" width="13.28515625" style="2068" bestFit="1" customWidth="1"/>
    <col min="6924" max="6924" width="1" style="2068" customWidth="1"/>
    <col min="6925" max="6925" width="12.5703125" style="2068" customWidth="1"/>
    <col min="6926" max="6926" width="16.140625" style="2068" customWidth="1"/>
    <col min="6927" max="6927" width="12.42578125" style="2068" customWidth="1"/>
    <col min="6928" max="6928" width="17.28515625" style="2068" customWidth="1"/>
    <col min="6929" max="6931" width="18.42578125" style="2068" customWidth="1"/>
    <col min="6932" max="7162" width="16.7109375" style="2068"/>
    <col min="7163" max="7163" width="6.5703125" style="2068" customWidth="1"/>
    <col min="7164" max="7164" width="41.85546875" style="2068" customWidth="1"/>
    <col min="7165" max="7165" width="9.85546875" style="2068" customWidth="1"/>
    <col min="7166" max="7166" width="1.85546875" style="2068" customWidth="1"/>
    <col min="7167" max="7167" width="11" style="2068" customWidth="1"/>
    <col min="7168" max="7168" width="5.28515625" style="2068" customWidth="1"/>
    <col min="7169" max="7169" width="11.5703125" style="2068" bestFit="1" customWidth="1"/>
    <col min="7170" max="7170" width="1.85546875" style="2068" customWidth="1"/>
    <col min="7171" max="7171" width="12.28515625" style="2068" customWidth="1"/>
    <col min="7172" max="7172" width="2.28515625" style="2068" customWidth="1"/>
    <col min="7173" max="7173" width="13.140625" style="2068" bestFit="1" customWidth="1"/>
    <col min="7174" max="7174" width="1.85546875" style="2068" customWidth="1"/>
    <col min="7175" max="7175" width="12.28515625" style="2068" customWidth="1"/>
    <col min="7176" max="7176" width="1.85546875" style="2068" customWidth="1"/>
    <col min="7177" max="7177" width="10.5703125" style="2068" customWidth="1"/>
    <col min="7178" max="7178" width="4.42578125" style="2068" customWidth="1"/>
    <col min="7179" max="7179" width="13.28515625" style="2068" bestFit="1" customWidth="1"/>
    <col min="7180" max="7180" width="1" style="2068" customWidth="1"/>
    <col min="7181" max="7181" width="12.5703125" style="2068" customWidth="1"/>
    <col min="7182" max="7182" width="16.140625" style="2068" customWidth="1"/>
    <col min="7183" max="7183" width="12.42578125" style="2068" customWidth="1"/>
    <col min="7184" max="7184" width="17.28515625" style="2068" customWidth="1"/>
    <col min="7185" max="7187" width="18.42578125" style="2068" customWidth="1"/>
    <col min="7188" max="7418" width="16.7109375" style="2068"/>
    <col min="7419" max="7419" width="6.5703125" style="2068" customWidth="1"/>
    <col min="7420" max="7420" width="41.85546875" style="2068" customWidth="1"/>
    <col min="7421" max="7421" width="9.85546875" style="2068" customWidth="1"/>
    <col min="7422" max="7422" width="1.85546875" style="2068" customWidth="1"/>
    <col min="7423" max="7423" width="11" style="2068" customWidth="1"/>
    <col min="7424" max="7424" width="5.28515625" style="2068" customWidth="1"/>
    <col min="7425" max="7425" width="11.5703125" style="2068" bestFit="1" customWidth="1"/>
    <col min="7426" max="7426" width="1.85546875" style="2068" customWidth="1"/>
    <col min="7427" max="7427" width="12.28515625" style="2068" customWidth="1"/>
    <col min="7428" max="7428" width="2.28515625" style="2068" customWidth="1"/>
    <col min="7429" max="7429" width="13.140625" style="2068" bestFit="1" customWidth="1"/>
    <col min="7430" max="7430" width="1.85546875" style="2068" customWidth="1"/>
    <col min="7431" max="7431" width="12.28515625" style="2068" customWidth="1"/>
    <col min="7432" max="7432" width="1.85546875" style="2068" customWidth="1"/>
    <col min="7433" max="7433" width="10.5703125" style="2068" customWidth="1"/>
    <col min="7434" max="7434" width="4.42578125" style="2068" customWidth="1"/>
    <col min="7435" max="7435" width="13.28515625" style="2068" bestFit="1" customWidth="1"/>
    <col min="7436" max="7436" width="1" style="2068" customWidth="1"/>
    <col min="7437" max="7437" width="12.5703125" style="2068" customWidth="1"/>
    <col min="7438" max="7438" width="16.140625" style="2068" customWidth="1"/>
    <col min="7439" max="7439" width="12.42578125" style="2068" customWidth="1"/>
    <col min="7440" max="7440" width="17.28515625" style="2068" customWidth="1"/>
    <col min="7441" max="7443" width="18.42578125" style="2068" customWidth="1"/>
    <col min="7444" max="7674" width="16.7109375" style="2068"/>
    <col min="7675" max="7675" width="6.5703125" style="2068" customWidth="1"/>
    <col min="7676" max="7676" width="41.85546875" style="2068" customWidth="1"/>
    <col min="7677" max="7677" width="9.85546875" style="2068" customWidth="1"/>
    <col min="7678" max="7678" width="1.85546875" style="2068" customWidth="1"/>
    <col min="7679" max="7679" width="11" style="2068" customWidth="1"/>
    <col min="7680" max="7680" width="5.28515625" style="2068" customWidth="1"/>
    <col min="7681" max="7681" width="11.5703125" style="2068" bestFit="1" customWidth="1"/>
    <col min="7682" max="7682" width="1.85546875" style="2068" customWidth="1"/>
    <col min="7683" max="7683" width="12.28515625" style="2068" customWidth="1"/>
    <col min="7684" max="7684" width="2.28515625" style="2068" customWidth="1"/>
    <col min="7685" max="7685" width="13.140625" style="2068" bestFit="1" customWidth="1"/>
    <col min="7686" max="7686" width="1.85546875" style="2068" customWidth="1"/>
    <col min="7687" max="7687" width="12.28515625" style="2068" customWidth="1"/>
    <col min="7688" max="7688" width="1.85546875" style="2068" customWidth="1"/>
    <col min="7689" max="7689" width="10.5703125" style="2068" customWidth="1"/>
    <col min="7690" max="7690" width="4.42578125" style="2068" customWidth="1"/>
    <col min="7691" max="7691" width="13.28515625" style="2068" bestFit="1" customWidth="1"/>
    <col min="7692" max="7692" width="1" style="2068" customWidth="1"/>
    <col min="7693" max="7693" width="12.5703125" style="2068" customWidth="1"/>
    <col min="7694" max="7694" width="16.140625" style="2068" customWidth="1"/>
    <col min="7695" max="7695" width="12.42578125" style="2068" customWidth="1"/>
    <col min="7696" max="7696" width="17.28515625" style="2068" customWidth="1"/>
    <col min="7697" max="7699" width="18.42578125" style="2068" customWidth="1"/>
    <col min="7700" max="7930" width="16.7109375" style="2068"/>
    <col min="7931" max="7931" width="6.5703125" style="2068" customWidth="1"/>
    <col min="7932" max="7932" width="41.85546875" style="2068" customWidth="1"/>
    <col min="7933" max="7933" width="9.85546875" style="2068" customWidth="1"/>
    <col min="7934" max="7934" width="1.85546875" style="2068" customWidth="1"/>
    <col min="7935" max="7935" width="11" style="2068" customWidth="1"/>
    <col min="7936" max="7936" width="5.28515625" style="2068" customWidth="1"/>
    <col min="7937" max="7937" width="11.5703125" style="2068" bestFit="1" customWidth="1"/>
    <col min="7938" max="7938" width="1.85546875" style="2068" customWidth="1"/>
    <col min="7939" max="7939" width="12.28515625" style="2068" customWidth="1"/>
    <col min="7940" max="7940" width="2.28515625" style="2068" customWidth="1"/>
    <col min="7941" max="7941" width="13.140625" style="2068" bestFit="1" customWidth="1"/>
    <col min="7942" max="7942" width="1.85546875" style="2068" customWidth="1"/>
    <col min="7943" max="7943" width="12.28515625" style="2068" customWidth="1"/>
    <col min="7944" max="7944" width="1.85546875" style="2068" customWidth="1"/>
    <col min="7945" max="7945" width="10.5703125" style="2068" customWidth="1"/>
    <col min="7946" max="7946" width="4.42578125" style="2068" customWidth="1"/>
    <col min="7947" max="7947" width="13.28515625" style="2068" bestFit="1" customWidth="1"/>
    <col min="7948" max="7948" width="1" style="2068" customWidth="1"/>
    <col min="7949" max="7949" width="12.5703125" style="2068" customWidth="1"/>
    <col min="7950" max="7950" width="16.140625" style="2068" customWidth="1"/>
    <col min="7951" max="7951" width="12.42578125" style="2068" customWidth="1"/>
    <col min="7952" max="7952" width="17.28515625" style="2068" customWidth="1"/>
    <col min="7953" max="7955" width="18.42578125" style="2068" customWidth="1"/>
    <col min="7956" max="8186" width="16.7109375" style="2068"/>
    <col min="8187" max="8187" width="6.5703125" style="2068" customWidth="1"/>
    <col min="8188" max="8188" width="41.85546875" style="2068" customWidth="1"/>
    <col min="8189" max="8189" width="9.85546875" style="2068" customWidth="1"/>
    <col min="8190" max="8190" width="1.85546875" style="2068" customWidth="1"/>
    <col min="8191" max="8191" width="11" style="2068" customWidth="1"/>
    <col min="8192" max="8192" width="5.28515625" style="2068" customWidth="1"/>
    <col min="8193" max="8193" width="11.5703125" style="2068" bestFit="1" customWidth="1"/>
    <col min="8194" max="8194" width="1.85546875" style="2068" customWidth="1"/>
    <col min="8195" max="8195" width="12.28515625" style="2068" customWidth="1"/>
    <col min="8196" max="8196" width="2.28515625" style="2068" customWidth="1"/>
    <col min="8197" max="8197" width="13.140625" style="2068" bestFit="1" customWidth="1"/>
    <col min="8198" max="8198" width="1.85546875" style="2068" customWidth="1"/>
    <col min="8199" max="8199" width="12.28515625" style="2068" customWidth="1"/>
    <col min="8200" max="8200" width="1.85546875" style="2068" customWidth="1"/>
    <col min="8201" max="8201" width="10.5703125" style="2068" customWidth="1"/>
    <col min="8202" max="8202" width="4.42578125" style="2068" customWidth="1"/>
    <col min="8203" max="8203" width="13.28515625" style="2068" bestFit="1" customWidth="1"/>
    <col min="8204" max="8204" width="1" style="2068" customWidth="1"/>
    <col min="8205" max="8205" width="12.5703125" style="2068" customWidth="1"/>
    <col min="8206" max="8206" width="16.140625" style="2068" customWidth="1"/>
    <col min="8207" max="8207" width="12.42578125" style="2068" customWidth="1"/>
    <col min="8208" max="8208" width="17.28515625" style="2068" customWidth="1"/>
    <col min="8209" max="8211" width="18.42578125" style="2068" customWidth="1"/>
    <col min="8212" max="8442" width="16.7109375" style="2068"/>
    <col min="8443" max="8443" width="6.5703125" style="2068" customWidth="1"/>
    <col min="8444" max="8444" width="41.85546875" style="2068" customWidth="1"/>
    <col min="8445" max="8445" width="9.85546875" style="2068" customWidth="1"/>
    <col min="8446" max="8446" width="1.85546875" style="2068" customWidth="1"/>
    <col min="8447" max="8447" width="11" style="2068" customWidth="1"/>
    <col min="8448" max="8448" width="5.28515625" style="2068" customWidth="1"/>
    <col min="8449" max="8449" width="11.5703125" style="2068" bestFit="1" customWidth="1"/>
    <col min="8450" max="8450" width="1.85546875" style="2068" customWidth="1"/>
    <col min="8451" max="8451" width="12.28515625" style="2068" customWidth="1"/>
    <col min="8452" max="8452" width="2.28515625" style="2068" customWidth="1"/>
    <col min="8453" max="8453" width="13.140625" style="2068" bestFit="1" customWidth="1"/>
    <col min="8454" max="8454" width="1.85546875" style="2068" customWidth="1"/>
    <col min="8455" max="8455" width="12.28515625" style="2068" customWidth="1"/>
    <col min="8456" max="8456" width="1.85546875" style="2068" customWidth="1"/>
    <col min="8457" max="8457" width="10.5703125" style="2068" customWidth="1"/>
    <col min="8458" max="8458" width="4.42578125" style="2068" customWidth="1"/>
    <col min="8459" max="8459" width="13.28515625" style="2068" bestFit="1" customWidth="1"/>
    <col min="8460" max="8460" width="1" style="2068" customWidth="1"/>
    <col min="8461" max="8461" width="12.5703125" style="2068" customWidth="1"/>
    <col min="8462" max="8462" width="16.140625" style="2068" customWidth="1"/>
    <col min="8463" max="8463" width="12.42578125" style="2068" customWidth="1"/>
    <col min="8464" max="8464" width="17.28515625" style="2068" customWidth="1"/>
    <col min="8465" max="8467" width="18.42578125" style="2068" customWidth="1"/>
    <col min="8468" max="8698" width="16.7109375" style="2068"/>
    <col min="8699" max="8699" width="6.5703125" style="2068" customWidth="1"/>
    <col min="8700" max="8700" width="41.85546875" style="2068" customWidth="1"/>
    <col min="8701" max="8701" width="9.85546875" style="2068" customWidth="1"/>
    <col min="8702" max="8702" width="1.85546875" style="2068" customWidth="1"/>
    <col min="8703" max="8703" width="11" style="2068" customWidth="1"/>
    <col min="8704" max="8704" width="5.28515625" style="2068" customWidth="1"/>
    <col min="8705" max="8705" width="11.5703125" style="2068" bestFit="1" customWidth="1"/>
    <col min="8706" max="8706" width="1.85546875" style="2068" customWidth="1"/>
    <col min="8707" max="8707" width="12.28515625" style="2068" customWidth="1"/>
    <col min="8708" max="8708" width="2.28515625" style="2068" customWidth="1"/>
    <col min="8709" max="8709" width="13.140625" style="2068" bestFit="1" customWidth="1"/>
    <col min="8710" max="8710" width="1.85546875" style="2068" customWidth="1"/>
    <col min="8711" max="8711" width="12.28515625" style="2068" customWidth="1"/>
    <col min="8712" max="8712" width="1.85546875" style="2068" customWidth="1"/>
    <col min="8713" max="8713" width="10.5703125" style="2068" customWidth="1"/>
    <col min="8714" max="8714" width="4.42578125" style="2068" customWidth="1"/>
    <col min="8715" max="8715" width="13.28515625" style="2068" bestFit="1" customWidth="1"/>
    <col min="8716" max="8716" width="1" style="2068" customWidth="1"/>
    <col min="8717" max="8717" width="12.5703125" style="2068" customWidth="1"/>
    <col min="8718" max="8718" width="16.140625" style="2068" customWidth="1"/>
    <col min="8719" max="8719" width="12.42578125" style="2068" customWidth="1"/>
    <col min="8720" max="8720" width="17.28515625" style="2068" customWidth="1"/>
    <col min="8721" max="8723" width="18.42578125" style="2068" customWidth="1"/>
    <col min="8724" max="8954" width="16.7109375" style="2068"/>
    <col min="8955" max="8955" width="6.5703125" style="2068" customWidth="1"/>
    <col min="8956" max="8956" width="41.85546875" style="2068" customWidth="1"/>
    <col min="8957" max="8957" width="9.85546875" style="2068" customWidth="1"/>
    <col min="8958" max="8958" width="1.85546875" style="2068" customWidth="1"/>
    <col min="8959" max="8959" width="11" style="2068" customWidth="1"/>
    <col min="8960" max="8960" width="5.28515625" style="2068" customWidth="1"/>
    <col min="8961" max="8961" width="11.5703125" style="2068" bestFit="1" customWidth="1"/>
    <col min="8962" max="8962" width="1.85546875" style="2068" customWidth="1"/>
    <col min="8963" max="8963" width="12.28515625" style="2068" customWidth="1"/>
    <col min="8964" max="8964" width="2.28515625" style="2068" customWidth="1"/>
    <col min="8965" max="8965" width="13.140625" style="2068" bestFit="1" customWidth="1"/>
    <col min="8966" max="8966" width="1.85546875" style="2068" customWidth="1"/>
    <col min="8967" max="8967" width="12.28515625" style="2068" customWidth="1"/>
    <col min="8968" max="8968" width="1.85546875" style="2068" customWidth="1"/>
    <col min="8969" max="8969" width="10.5703125" style="2068" customWidth="1"/>
    <col min="8970" max="8970" width="4.42578125" style="2068" customWidth="1"/>
    <col min="8971" max="8971" width="13.28515625" style="2068" bestFit="1" customWidth="1"/>
    <col min="8972" max="8972" width="1" style="2068" customWidth="1"/>
    <col min="8973" max="8973" width="12.5703125" style="2068" customWidth="1"/>
    <col min="8974" max="8974" width="16.140625" style="2068" customWidth="1"/>
    <col min="8975" max="8975" width="12.42578125" style="2068" customWidth="1"/>
    <col min="8976" max="8976" width="17.28515625" style="2068" customWidth="1"/>
    <col min="8977" max="8979" width="18.42578125" style="2068" customWidth="1"/>
    <col min="8980" max="9210" width="16.7109375" style="2068"/>
    <col min="9211" max="9211" width="6.5703125" style="2068" customWidth="1"/>
    <col min="9212" max="9212" width="41.85546875" style="2068" customWidth="1"/>
    <col min="9213" max="9213" width="9.85546875" style="2068" customWidth="1"/>
    <col min="9214" max="9214" width="1.85546875" style="2068" customWidth="1"/>
    <col min="9215" max="9215" width="11" style="2068" customWidth="1"/>
    <col min="9216" max="9216" width="5.28515625" style="2068" customWidth="1"/>
    <col min="9217" max="9217" width="11.5703125" style="2068" bestFit="1" customWidth="1"/>
    <col min="9218" max="9218" width="1.85546875" style="2068" customWidth="1"/>
    <col min="9219" max="9219" width="12.28515625" style="2068" customWidth="1"/>
    <col min="9220" max="9220" width="2.28515625" style="2068" customWidth="1"/>
    <col min="9221" max="9221" width="13.140625" style="2068" bestFit="1" customWidth="1"/>
    <col min="9222" max="9222" width="1.85546875" style="2068" customWidth="1"/>
    <col min="9223" max="9223" width="12.28515625" style="2068" customWidth="1"/>
    <col min="9224" max="9224" width="1.85546875" style="2068" customWidth="1"/>
    <col min="9225" max="9225" width="10.5703125" style="2068" customWidth="1"/>
    <col min="9226" max="9226" width="4.42578125" style="2068" customWidth="1"/>
    <col min="9227" max="9227" width="13.28515625" style="2068" bestFit="1" customWidth="1"/>
    <col min="9228" max="9228" width="1" style="2068" customWidth="1"/>
    <col min="9229" max="9229" width="12.5703125" style="2068" customWidth="1"/>
    <col min="9230" max="9230" width="16.140625" style="2068" customWidth="1"/>
    <col min="9231" max="9231" width="12.42578125" style="2068" customWidth="1"/>
    <col min="9232" max="9232" width="17.28515625" style="2068" customWidth="1"/>
    <col min="9233" max="9235" width="18.42578125" style="2068" customWidth="1"/>
    <col min="9236" max="9466" width="16.7109375" style="2068"/>
    <col min="9467" max="9467" width="6.5703125" style="2068" customWidth="1"/>
    <col min="9468" max="9468" width="41.85546875" style="2068" customWidth="1"/>
    <col min="9469" max="9469" width="9.85546875" style="2068" customWidth="1"/>
    <col min="9470" max="9470" width="1.85546875" style="2068" customWidth="1"/>
    <col min="9471" max="9471" width="11" style="2068" customWidth="1"/>
    <col min="9472" max="9472" width="5.28515625" style="2068" customWidth="1"/>
    <col min="9473" max="9473" width="11.5703125" style="2068" bestFit="1" customWidth="1"/>
    <col min="9474" max="9474" width="1.85546875" style="2068" customWidth="1"/>
    <col min="9475" max="9475" width="12.28515625" style="2068" customWidth="1"/>
    <col min="9476" max="9476" width="2.28515625" style="2068" customWidth="1"/>
    <col min="9477" max="9477" width="13.140625" style="2068" bestFit="1" customWidth="1"/>
    <col min="9478" max="9478" width="1.85546875" style="2068" customWidth="1"/>
    <col min="9479" max="9479" width="12.28515625" style="2068" customWidth="1"/>
    <col min="9480" max="9480" width="1.85546875" style="2068" customWidth="1"/>
    <col min="9481" max="9481" width="10.5703125" style="2068" customWidth="1"/>
    <col min="9482" max="9482" width="4.42578125" style="2068" customWidth="1"/>
    <col min="9483" max="9483" width="13.28515625" style="2068" bestFit="1" customWidth="1"/>
    <col min="9484" max="9484" width="1" style="2068" customWidth="1"/>
    <col min="9485" max="9485" width="12.5703125" style="2068" customWidth="1"/>
    <col min="9486" max="9486" width="16.140625" style="2068" customWidth="1"/>
    <col min="9487" max="9487" width="12.42578125" style="2068" customWidth="1"/>
    <col min="9488" max="9488" width="17.28515625" style="2068" customWidth="1"/>
    <col min="9489" max="9491" width="18.42578125" style="2068" customWidth="1"/>
    <col min="9492" max="9722" width="16.7109375" style="2068"/>
    <col min="9723" max="9723" width="6.5703125" style="2068" customWidth="1"/>
    <col min="9724" max="9724" width="41.85546875" style="2068" customWidth="1"/>
    <col min="9725" max="9725" width="9.85546875" style="2068" customWidth="1"/>
    <col min="9726" max="9726" width="1.85546875" style="2068" customWidth="1"/>
    <col min="9727" max="9727" width="11" style="2068" customWidth="1"/>
    <col min="9728" max="9728" width="5.28515625" style="2068" customWidth="1"/>
    <col min="9729" max="9729" width="11.5703125" style="2068" bestFit="1" customWidth="1"/>
    <col min="9730" max="9730" width="1.85546875" style="2068" customWidth="1"/>
    <col min="9731" max="9731" width="12.28515625" style="2068" customWidth="1"/>
    <col min="9732" max="9732" width="2.28515625" style="2068" customWidth="1"/>
    <col min="9733" max="9733" width="13.140625" style="2068" bestFit="1" customWidth="1"/>
    <col min="9734" max="9734" width="1.85546875" style="2068" customWidth="1"/>
    <col min="9735" max="9735" width="12.28515625" style="2068" customWidth="1"/>
    <col min="9736" max="9736" width="1.85546875" style="2068" customWidth="1"/>
    <col min="9737" max="9737" width="10.5703125" style="2068" customWidth="1"/>
    <col min="9738" max="9738" width="4.42578125" style="2068" customWidth="1"/>
    <col min="9739" max="9739" width="13.28515625" style="2068" bestFit="1" customWidth="1"/>
    <col min="9740" max="9740" width="1" style="2068" customWidth="1"/>
    <col min="9741" max="9741" width="12.5703125" style="2068" customWidth="1"/>
    <col min="9742" max="9742" width="16.140625" style="2068" customWidth="1"/>
    <col min="9743" max="9743" width="12.42578125" style="2068" customWidth="1"/>
    <col min="9744" max="9744" width="17.28515625" style="2068" customWidth="1"/>
    <col min="9745" max="9747" width="18.42578125" style="2068" customWidth="1"/>
    <col min="9748" max="9978" width="16.7109375" style="2068"/>
    <col min="9979" max="9979" width="6.5703125" style="2068" customWidth="1"/>
    <col min="9980" max="9980" width="41.85546875" style="2068" customWidth="1"/>
    <col min="9981" max="9981" width="9.85546875" style="2068" customWidth="1"/>
    <col min="9982" max="9982" width="1.85546875" style="2068" customWidth="1"/>
    <col min="9983" max="9983" width="11" style="2068" customWidth="1"/>
    <col min="9984" max="9984" width="5.28515625" style="2068" customWidth="1"/>
    <col min="9985" max="9985" width="11.5703125" style="2068" bestFit="1" customWidth="1"/>
    <col min="9986" max="9986" width="1.85546875" style="2068" customWidth="1"/>
    <col min="9987" max="9987" width="12.28515625" style="2068" customWidth="1"/>
    <col min="9988" max="9988" width="2.28515625" style="2068" customWidth="1"/>
    <col min="9989" max="9989" width="13.140625" style="2068" bestFit="1" customWidth="1"/>
    <col min="9990" max="9990" width="1.85546875" style="2068" customWidth="1"/>
    <col min="9991" max="9991" width="12.28515625" style="2068" customWidth="1"/>
    <col min="9992" max="9992" width="1.85546875" style="2068" customWidth="1"/>
    <col min="9993" max="9993" width="10.5703125" style="2068" customWidth="1"/>
    <col min="9994" max="9994" width="4.42578125" style="2068" customWidth="1"/>
    <col min="9995" max="9995" width="13.28515625" style="2068" bestFit="1" customWidth="1"/>
    <col min="9996" max="9996" width="1" style="2068" customWidth="1"/>
    <col min="9997" max="9997" width="12.5703125" style="2068" customWidth="1"/>
    <col min="9998" max="9998" width="16.140625" style="2068" customWidth="1"/>
    <col min="9999" max="9999" width="12.42578125" style="2068" customWidth="1"/>
    <col min="10000" max="10000" width="17.28515625" style="2068" customWidth="1"/>
    <col min="10001" max="10003" width="18.42578125" style="2068" customWidth="1"/>
    <col min="10004" max="10234" width="16.7109375" style="2068"/>
    <col min="10235" max="10235" width="6.5703125" style="2068" customWidth="1"/>
    <col min="10236" max="10236" width="41.85546875" style="2068" customWidth="1"/>
    <col min="10237" max="10237" width="9.85546875" style="2068" customWidth="1"/>
    <col min="10238" max="10238" width="1.85546875" style="2068" customWidth="1"/>
    <col min="10239" max="10239" width="11" style="2068" customWidth="1"/>
    <col min="10240" max="10240" width="5.28515625" style="2068" customWidth="1"/>
    <col min="10241" max="10241" width="11.5703125" style="2068" bestFit="1" customWidth="1"/>
    <col min="10242" max="10242" width="1.85546875" style="2068" customWidth="1"/>
    <col min="10243" max="10243" width="12.28515625" style="2068" customWidth="1"/>
    <col min="10244" max="10244" width="2.28515625" style="2068" customWidth="1"/>
    <col min="10245" max="10245" width="13.140625" style="2068" bestFit="1" customWidth="1"/>
    <col min="10246" max="10246" width="1.85546875" style="2068" customWidth="1"/>
    <col min="10247" max="10247" width="12.28515625" style="2068" customWidth="1"/>
    <col min="10248" max="10248" width="1.85546875" style="2068" customWidth="1"/>
    <col min="10249" max="10249" width="10.5703125" style="2068" customWidth="1"/>
    <col min="10250" max="10250" width="4.42578125" style="2068" customWidth="1"/>
    <col min="10251" max="10251" width="13.28515625" style="2068" bestFit="1" customWidth="1"/>
    <col min="10252" max="10252" width="1" style="2068" customWidth="1"/>
    <col min="10253" max="10253" width="12.5703125" style="2068" customWidth="1"/>
    <col min="10254" max="10254" width="16.140625" style="2068" customWidth="1"/>
    <col min="10255" max="10255" width="12.42578125" style="2068" customWidth="1"/>
    <col min="10256" max="10256" width="17.28515625" style="2068" customWidth="1"/>
    <col min="10257" max="10259" width="18.42578125" style="2068" customWidth="1"/>
    <col min="10260" max="10490" width="16.7109375" style="2068"/>
    <col min="10491" max="10491" width="6.5703125" style="2068" customWidth="1"/>
    <col min="10492" max="10492" width="41.85546875" style="2068" customWidth="1"/>
    <col min="10493" max="10493" width="9.85546875" style="2068" customWidth="1"/>
    <col min="10494" max="10494" width="1.85546875" style="2068" customWidth="1"/>
    <col min="10495" max="10495" width="11" style="2068" customWidth="1"/>
    <col min="10496" max="10496" width="5.28515625" style="2068" customWidth="1"/>
    <col min="10497" max="10497" width="11.5703125" style="2068" bestFit="1" customWidth="1"/>
    <col min="10498" max="10498" width="1.85546875" style="2068" customWidth="1"/>
    <col min="10499" max="10499" width="12.28515625" style="2068" customWidth="1"/>
    <col min="10500" max="10500" width="2.28515625" style="2068" customWidth="1"/>
    <col min="10501" max="10501" width="13.140625" style="2068" bestFit="1" customWidth="1"/>
    <col min="10502" max="10502" width="1.85546875" style="2068" customWidth="1"/>
    <col min="10503" max="10503" width="12.28515625" style="2068" customWidth="1"/>
    <col min="10504" max="10504" width="1.85546875" style="2068" customWidth="1"/>
    <col min="10505" max="10505" width="10.5703125" style="2068" customWidth="1"/>
    <col min="10506" max="10506" width="4.42578125" style="2068" customWidth="1"/>
    <col min="10507" max="10507" width="13.28515625" style="2068" bestFit="1" customWidth="1"/>
    <col min="10508" max="10508" width="1" style="2068" customWidth="1"/>
    <col min="10509" max="10509" width="12.5703125" style="2068" customWidth="1"/>
    <col min="10510" max="10510" width="16.140625" style="2068" customWidth="1"/>
    <col min="10511" max="10511" width="12.42578125" style="2068" customWidth="1"/>
    <col min="10512" max="10512" width="17.28515625" style="2068" customWidth="1"/>
    <col min="10513" max="10515" width="18.42578125" style="2068" customWidth="1"/>
    <col min="10516" max="10746" width="16.7109375" style="2068"/>
    <col min="10747" max="10747" width="6.5703125" style="2068" customWidth="1"/>
    <col min="10748" max="10748" width="41.85546875" style="2068" customWidth="1"/>
    <col min="10749" max="10749" width="9.85546875" style="2068" customWidth="1"/>
    <col min="10750" max="10750" width="1.85546875" style="2068" customWidth="1"/>
    <col min="10751" max="10751" width="11" style="2068" customWidth="1"/>
    <col min="10752" max="10752" width="5.28515625" style="2068" customWidth="1"/>
    <col min="10753" max="10753" width="11.5703125" style="2068" bestFit="1" customWidth="1"/>
    <col min="10754" max="10754" width="1.85546875" style="2068" customWidth="1"/>
    <col min="10755" max="10755" width="12.28515625" style="2068" customWidth="1"/>
    <col min="10756" max="10756" width="2.28515625" style="2068" customWidth="1"/>
    <col min="10757" max="10757" width="13.140625" style="2068" bestFit="1" customWidth="1"/>
    <col min="10758" max="10758" width="1.85546875" style="2068" customWidth="1"/>
    <col min="10759" max="10759" width="12.28515625" style="2068" customWidth="1"/>
    <col min="10760" max="10760" width="1.85546875" style="2068" customWidth="1"/>
    <col min="10761" max="10761" width="10.5703125" style="2068" customWidth="1"/>
    <col min="10762" max="10762" width="4.42578125" style="2068" customWidth="1"/>
    <col min="10763" max="10763" width="13.28515625" style="2068" bestFit="1" customWidth="1"/>
    <col min="10764" max="10764" width="1" style="2068" customWidth="1"/>
    <col min="10765" max="10765" width="12.5703125" style="2068" customWidth="1"/>
    <col min="10766" max="10766" width="16.140625" style="2068" customWidth="1"/>
    <col min="10767" max="10767" width="12.42578125" style="2068" customWidth="1"/>
    <col min="10768" max="10768" width="17.28515625" style="2068" customWidth="1"/>
    <col min="10769" max="10771" width="18.42578125" style="2068" customWidth="1"/>
    <col min="10772" max="11002" width="16.7109375" style="2068"/>
    <col min="11003" max="11003" width="6.5703125" style="2068" customWidth="1"/>
    <col min="11004" max="11004" width="41.85546875" style="2068" customWidth="1"/>
    <col min="11005" max="11005" width="9.85546875" style="2068" customWidth="1"/>
    <col min="11006" max="11006" width="1.85546875" style="2068" customWidth="1"/>
    <col min="11007" max="11007" width="11" style="2068" customWidth="1"/>
    <col min="11008" max="11008" width="5.28515625" style="2068" customWidth="1"/>
    <col min="11009" max="11009" width="11.5703125" style="2068" bestFit="1" customWidth="1"/>
    <col min="11010" max="11010" width="1.85546875" style="2068" customWidth="1"/>
    <col min="11011" max="11011" width="12.28515625" style="2068" customWidth="1"/>
    <col min="11012" max="11012" width="2.28515625" style="2068" customWidth="1"/>
    <col min="11013" max="11013" width="13.140625" style="2068" bestFit="1" customWidth="1"/>
    <col min="11014" max="11014" width="1.85546875" style="2068" customWidth="1"/>
    <col min="11015" max="11015" width="12.28515625" style="2068" customWidth="1"/>
    <col min="11016" max="11016" width="1.85546875" style="2068" customWidth="1"/>
    <col min="11017" max="11017" width="10.5703125" style="2068" customWidth="1"/>
    <col min="11018" max="11018" width="4.42578125" style="2068" customWidth="1"/>
    <col min="11019" max="11019" width="13.28515625" style="2068" bestFit="1" customWidth="1"/>
    <col min="11020" max="11020" width="1" style="2068" customWidth="1"/>
    <col min="11021" max="11021" width="12.5703125" style="2068" customWidth="1"/>
    <col min="11022" max="11022" width="16.140625" style="2068" customWidth="1"/>
    <col min="11023" max="11023" width="12.42578125" style="2068" customWidth="1"/>
    <col min="11024" max="11024" width="17.28515625" style="2068" customWidth="1"/>
    <col min="11025" max="11027" width="18.42578125" style="2068" customWidth="1"/>
    <col min="11028" max="11258" width="16.7109375" style="2068"/>
    <col min="11259" max="11259" width="6.5703125" style="2068" customWidth="1"/>
    <col min="11260" max="11260" width="41.85546875" style="2068" customWidth="1"/>
    <col min="11261" max="11261" width="9.85546875" style="2068" customWidth="1"/>
    <col min="11262" max="11262" width="1.85546875" style="2068" customWidth="1"/>
    <col min="11263" max="11263" width="11" style="2068" customWidth="1"/>
    <col min="11264" max="11264" width="5.28515625" style="2068" customWidth="1"/>
    <col min="11265" max="11265" width="11.5703125" style="2068" bestFit="1" customWidth="1"/>
    <col min="11266" max="11266" width="1.85546875" style="2068" customWidth="1"/>
    <col min="11267" max="11267" width="12.28515625" style="2068" customWidth="1"/>
    <col min="11268" max="11268" width="2.28515625" style="2068" customWidth="1"/>
    <col min="11269" max="11269" width="13.140625" style="2068" bestFit="1" customWidth="1"/>
    <col min="11270" max="11270" width="1.85546875" style="2068" customWidth="1"/>
    <col min="11271" max="11271" width="12.28515625" style="2068" customWidth="1"/>
    <col min="11272" max="11272" width="1.85546875" style="2068" customWidth="1"/>
    <col min="11273" max="11273" width="10.5703125" style="2068" customWidth="1"/>
    <col min="11274" max="11274" width="4.42578125" style="2068" customWidth="1"/>
    <col min="11275" max="11275" width="13.28515625" style="2068" bestFit="1" customWidth="1"/>
    <col min="11276" max="11276" width="1" style="2068" customWidth="1"/>
    <col min="11277" max="11277" width="12.5703125" style="2068" customWidth="1"/>
    <col min="11278" max="11278" width="16.140625" style="2068" customWidth="1"/>
    <col min="11279" max="11279" width="12.42578125" style="2068" customWidth="1"/>
    <col min="11280" max="11280" width="17.28515625" style="2068" customWidth="1"/>
    <col min="11281" max="11283" width="18.42578125" style="2068" customWidth="1"/>
    <col min="11284" max="11514" width="16.7109375" style="2068"/>
    <col min="11515" max="11515" width="6.5703125" style="2068" customWidth="1"/>
    <col min="11516" max="11516" width="41.85546875" style="2068" customWidth="1"/>
    <col min="11517" max="11517" width="9.85546875" style="2068" customWidth="1"/>
    <col min="11518" max="11518" width="1.85546875" style="2068" customWidth="1"/>
    <col min="11519" max="11519" width="11" style="2068" customWidth="1"/>
    <col min="11520" max="11520" width="5.28515625" style="2068" customWidth="1"/>
    <col min="11521" max="11521" width="11.5703125" style="2068" bestFit="1" customWidth="1"/>
    <col min="11522" max="11522" width="1.85546875" style="2068" customWidth="1"/>
    <col min="11523" max="11523" width="12.28515625" style="2068" customWidth="1"/>
    <col min="11524" max="11524" width="2.28515625" style="2068" customWidth="1"/>
    <col min="11525" max="11525" width="13.140625" style="2068" bestFit="1" customWidth="1"/>
    <col min="11526" max="11526" width="1.85546875" style="2068" customWidth="1"/>
    <col min="11527" max="11527" width="12.28515625" style="2068" customWidth="1"/>
    <col min="11528" max="11528" width="1.85546875" style="2068" customWidth="1"/>
    <col min="11529" max="11529" width="10.5703125" style="2068" customWidth="1"/>
    <col min="11530" max="11530" width="4.42578125" style="2068" customWidth="1"/>
    <col min="11531" max="11531" width="13.28515625" style="2068" bestFit="1" customWidth="1"/>
    <col min="11532" max="11532" width="1" style="2068" customWidth="1"/>
    <col min="11533" max="11533" width="12.5703125" style="2068" customWidth="1"/>
    <col min="11534" max="11534" width="16.140625" style="2068" customWidth="1"/>
    <col min="11535" max="11535" width="12.42578125" style="2068" customWidth="1"/>
    <col min="11536" max="11536" width="17.28515625" style="2068" customWidth="1"/>
    <col min="11537" max="11539" width="18.42578125" style="2068" customWidth="1"/>
    <col min="11540" max="11770" width="16.7109375" style="2068"/>
    <col min="11771" max="11771" width="6.5703125" style="2068" customWidth="1"/>
    <col min="11772" max="11772" width="41.85546875" style="2068" customWidth="1"/>
    <col min="11773" max="11773" width="9.85546875" style="2068" customWidth="1"/>
    <col min="11774" max="11774" width="1.85546875" style="2068" customWidth="1"/>
    <col min="11775" max="11775" width="11" style="2068" customWidth="1"/>
    <col min="11776" max="11776" width="5.28515625" style="2068" customWidth="1"/>
    <col min="11777" max="11777" width="11.5703125" style="2068" bestFit="1" customWidth="1"/>
    <col min="11778" max="11778" width="1.85546875" style="2068" customWidth="1"/>
    <col min="11779" max="11779" width="12.28515625" style="2068" customWidth="1"/>
    <col min="11780" max="11780" width="2.28515625" style="2068" customWidth="1"/>
    <col min="11781" max="11781" width="13.140625" style="2068" bestFit="1" customWidth="1"/>
    <col min="11782" max="11782" width="1.85546875" style="2068" customWidth="1"/>
    <col min="11783" max="11783" width="12.28515625" style="2068" customWidth="1"/>
    <col min="11784" max="11784" width="1.85546875" style="2068" customWidth="1"/>
    <col min="11785" max="11785" width="10.5703125" style="2068" customWidth="1"/>
    <col min="11786" max="11786" width="4.42578125" style="2068" customWidth="1"/>
    <col min="11787" max="11787" width="13.28515625" style="2068" bestFit="1" customWidth="1"/>
    <col min="11788" max="11788" width="1" style="2068" customWidth="1"/>
    <col min="11789" max="11789" width="12.5703125" style="2068" customWidth="1"/>
    <col min="11790" max="11790" width="16.140625" style="2068" customWidth="1"/>
    <col min="11791" max="11791" width="12.42578125" style="2068" customWidth="1"/>
    <col min="11792" max="11792" width="17.28515625" style="2068" customWidth="1"/>
    <col min="11793" max="11795" width="18.42578125" style="2068" customWidth="1"/>
    <col min="11796" max="12026" width="16.7109375" style="2068"/>
    <col min="12027" max="12027" width="6.5703125" style="2068" customWidth="1"/>
    <col min="12028" max="12028" width="41.85546875" style="2068" customWidth="1"/>
    <col min="12029" max="12029" width="9.85546875" style="2068" customWidth="1"/>
    <col min="12030" max="12030" width="1.85546875" style="2068" customWidth="1"/>
    <col min="12031" max="12031" width="11" style="2068" customWidth="1"/>
    <col min="12032" max="12032" width="5.28515625" style="2068" customWidth="1"/>
    <col min="12033" max="12033" width="11.5703125" style="2068" bestFit="1" customWidth="1"/>
    <col min="12034" max="12034" width="1.85546875" style="2068" customWidth="1"/>
    <col min="12035" max="12035" width="12.28515625" style="2068" customWidth="1"/>
    <col min="12036" max="12036" width="2.28515625" style="2068" customWidth="1"/>
    <col min="12037" max="12037" width="13.140625" style="2068" bestFit="1" customWidth="1"/>
    <col min="12038" max="12038" width="1.85546875" style="2068" customWidth="1"/>
    <col min="12039" max="12039" width="12.28515625" style="2068" customWidth="1"/>
    <col min="12040" max="12040" width="1.85546875" style="2068" customWidth="1"/>
    <col min="12041" max="12041" width="10.5703125" style="2068" customWidth="1"/>
    <col min="12042" max="12042" width="4.42578125" style="2068" customWidth="1"/>
    <col min="12043" max="12043" width="13.28515625" style="2068" bestFit="1" customWidth="1"/>
    <col min="12044" max="12044" width="1" style="2068" customWidth="1"/>
    <col min="12045" max="12045" width="12.5703125" style="2068" customWidth="1"/>
    <col min="12046" max="12046" width="16.140625" style="2068" customWidth="1"/>
    <col min="12047" max="12047" width="12.42578125" style="2068" customWidth="1"/>
    <col min="12048" max="12048" width="17.28515625" style="2068" customWidth="1"/>
    <col min="12049" max="12051" width="18.42578125" style="2068" customWidth="1"/>
    <col min="12052" max="12282" width="16.7109375" style="2068"/>
    <col min="12283" max="12283" width="6.5703125" style="2068" customWidth="1"/>
    <col min="12284" max="12284" width="41.85546875" style="2068" customWidth="1"/>
    <col min="12285" max="12285" width="9.85546875" style="2068" customWidth="1"/>
    <col min="12286" max="12286" width="1.85546875" style="2068" customWidth="1"/>
    <col min="12287" max="12287" width="11" style="2068" customWidth="1"/>
    <col min="12288" max="12288" width="5.28515625" style="2068" customWidth="1"/>
    <col min="12289" max="12289" width="11.5703125" style="2068" bestFit="1" customWidth="1"/>
    <col min="12290" max="12290" width="1.85546875" style="2068" customWidth="1"/>
    <col min="12291" max="12291" width="12.28515625" style="2068" customWidth="1"/>
    <col min="12292" max="12292" width="2.28515625" style="2068" customWidth="1"/>
    <col min="12293" max="12293" width="13.140625" style="2068" bestFit="1" customWidth="1"/>
    <col min="12294" max="12294" width="1.85546875" style="2068" customWidth="1"/>
    <col min="12295" max="12295" width="12.28515625" style="2068" customWidth="1"/>
    <col min="12296" max="12296" width="1.85546875" style="2068" customWidth="1"/>
    <col min="12297" max="12297" width="10.5703125" style="2068" customWidth="1"/>
    <col min="12298" max="12298" width="4.42578125" style="2068" customWidth="1"/>
    <col min="12299" max="12299" width="13.28515625" style="2068" bestFit="1" customWidth="1"/>
    <col min="12300" max="12300" width="1" style="2068" customWidth="1"/>
    <col min="12301" max="12301" width="12.5703125" style="2068" customWidth="1"/>
    <col min="12302" max="12302" width="16.140625" style="2068" customWidth="1"/>
    <col min="12303" max="12303" width="12.42578125" style="2068" customWidth="1"/>
    <col min="12304" max="12304" width="17.28515625" style="2068" customWidth="1"/>
    <col min="12305" max="12307" width="18.42578125" style="2068" customWidth="1"/>
    <col min="12308" max="12538" width="16.7109375" style="2068"/>
    <col min="12539" max="12539" width="6.5703125" style="2068" customWidth="1"/>
    <col min="12540" max="12540" width="41.85546875" style="2068" customWidth="1"/>
    <col min="12541" max="12541" width="9.85546875" style="2068" customWidth="1"/>
    <col min="12542" max="12542" width="1.85546875" style="2068" customWidth="1"/>
    <col min="12543" max="12543" width="11" style="2068" customWidth="1"/>
    <col min="12544" max="12544" width="5.28515625" style="2068" customWidth="1"/>
    <col min="12545" max="12545" width="11.5703125" style="2068" bestFit="1" customWidth="1"/>
    <col min="12546" max="12546" width="1.85546875" style="2068" customWidth="1"/>
    <col min="12547" max="12547" width="12.28515625" style="2068" customWidth="1"/>
    <col min="12548" max="12548" width="2.28515625" style="2068" customWidth="1"/>
    <col min="12549" max="12549" width="13.140625" style="2068" bestFit="1" customWidth="1"/>
    <col min="12550" max="12550" width="1.85546875" style="2068" customWidth="1"/>
    <col min="12551" max="12551" width="12.28515625" style="2068" customWidth="1"/>
    <col min="12552" max="12552" width="1.85546875" style="2068" customWidth="1"/>
    <col min="12553" max="12553" width="10.5703125" style="2068" customWidth="1"/>
    <col min="12554" max="12554" width="4.42578125" style="2068" customWidth="1"/>
    <col min="12555" max="12555" width="13.28515625" style="2068" bestFit="1" customWidth="1"/>
    <col min="12556" max="12556" width="1" style="2068" customWidth="1"/>
    <col min="12557" max="12557" width="12.5703125" style="2068" customWidth="1"/>
    <col min="12558" max="12558" width="16.140625" style="2068" customWidth="1"/>
    <col min="12559" max="12559" width="12.42578125" style="2068" customWidth="1"/>
    <col min="12560" max="12560" width="17.28515625" style="2068" customWidth="1"/>
    <col min="12561" max="12563" width="18.42578125" style="2068" customWidth="1"/>
    <col min="12564" max="12794" width="16.7109375" style="2068"/>
    <col min="12795" max="12795" width="6.5703125" style="2068" customWidth="1"/>
    <col min="12796" max="12796" width="41.85546875" style="2068" customWidth="1"/>
    <col min="12797" max="12797" width="9.85546875" style="2068" customWidth="1"/>
    <col min="12798" max="12798" width="1.85546875" style="2068" customWidth="1"/>
    <col min="12799" max="12799" width="11" style="2068" customWidth="1"/>
    <col min="12800" max="12800" width="5.28515625" style="2068" customWidth="1"/>
    <col min="12801" max="12801" width="11.5703125" style="2068" bestFit="1" customWidth="1"/>
    <col min="12802" max="12802" width="1.85546875" style="2068" customWidth="1"/>
    <col min="12803" max="12803" width="12.28515625" style="2068" customWidth="1"/>
    <col min="12804" max="12804" width="2.28515625" style="2068" customWidth="1"/>
    <col min="12805" max="12805" width="13.140625" style="2068" bestFit="1" customWidth="1"/>
    <col min="12806" max="12806" width="1.85546875" style="2068" customWidth="1"/>
    <col min="12807" max="12807" width="12.28515625" style="2068" customWidth="1"/>
    <col min="12808" max="12808" width="1.85546875" style="2068" customWidth="1"/>
    <col min="12809" max="12809" width="10.5703125" style="2068" customWidth="1"/>
    <col min="12810" max="12810" width="4.42578125" style="2068" customWidth="1"/>
    <col min="12811" max="12811" width="13.28515625" style="2068" bestFit="1" customWidth="1"/>
    <col min="12812" max="12812" width="1" style="2068" customWidth="1"/>
    <col min="12813" max="12813" width="12.5703125" style="2068" customWidth="1"/>
    <col min="12814" max="12814" width="16.140625" style="2068" customWidth="1"/>
    <col min="12815" max="12815" width="12.42578125" style="2068" customWidth="1"/>
    <col min="12816" max="12816" width="17.28515625" style="2068" customWidth="1"/>
    <col min="12817" max="12819" width="18.42578125" style="2068" customWidth="1"/>
    <col min="12820" max="13050" width="16.7109375" style="2068"/>
    <col min="13051" max="13051" width="6.5703125" style="2068" customWidth="1"/>
    <col min="13052" max="13052" width="41.85546875" style="2068" customWidth="1"/>
    <col min="13053" max="13053" width="9.85546875" style="2068" customWidth="1"/>
    <col min="13054" max="13054" width="1.85546875" style="2068" customWidth="1"/>
    <col min="13055" max="13055" width="11" style="2068" customWidth="1"/>
    <col min="13056" max="13056" width="5.28515625" style="2068" customWidth="1"/>
    <col min="13057" max="13057" width="11.5703125" style="2068" bestFit="1" customWidth="1"/>
    <col min="13058" max="13058" width="1.85546875" style="2068" customWidth="1"/>
    <col min="13059" max="13059" width="12.28515625" style="2068" customWidth="1"/>
    <col min="13060" max="13060" width="2.28515625" style="2068" customWidth="1"/>
    <col min="13061" max="13061" width="13.140625" style="2068" bestFit="1" customWidth="1"/>
    <col min="13062" max="13062" width="1.85546875" style="2068" customWidth="1"/>
    <col min="13063" max="13063" width="12.28515625" style="2068" customWidth="1"/>
    <col min="13064" max="13064" width="1.85546875" style="2068" customWidth="1"/>
    <col min="13065" max="13065" width="10.5703125" style="2068" customWidth="1"/>
    <col min="13066" max="13066" width="4.42578125" style="2068" customWidth="1"/>
    <col min="13067" max="13067" width="13.28515625" style="2068" bestFit="1" customWidth="1"/>
    <col min="13068" max="13068" width="1" style="2068" customWidth="1"/>
    <col min="13069" max="13069" width="12.5703125" style="2068" customWidth="1"/>
    <col min="13070" max="13070" width="16.140625" style="2068" customWidth="1"/>
    <col min="13071" max="13071" width="12.42578125" style="2068" customWidth="1"/>
    <col min="13072" max="13072" width="17.28515625" style="2068" customWidth="1"/>
    <col min="13073" max="13075" width="18.42578125" style="2068" customWidth="1"/>
    <col min="13076" max="13306" width="16.7109375" style="2068"/>
    <col min="13307" max="13307" width="6.5703125" style="2068" customWidth="1"/>
    <col min="13308" max="13308" width="41.85546875" style="2068" customWidth="1"/>
    <col min="13309" max="13309" width="9.85546875" style="2068" customWidth="1"/>
    <col min="13310" max="13310" width="1.85546875" style="2068" customWidth="1"/>
    <col min="13311" max="13311" width="11" style="2068" customWidth="1"/>
    <col min="13312" max="13312" width="5.28515625" style="2068" customWidth="1"/>
    <col min="13313" max="13313" width="11.5703125" style="2068" bestFit="1" customWidth="1"/>
    <col min="13314" max="13314" width="1.85546875" style="2068" customWidth="1"/>
    <col min="13315" max="13315" width="12.28515625" style="2068" customWidth="1"/>
    <col min="13316" max="13316" width="2.28515625" style="2068" customWidth="1"/>
    <col min="13317" max="13317" width="13.140625" style="2068" bestFit="1" customWidth="1"/>
    <col min="13318" max="13318" width="1.85546875" style="2068" customWidth="1"/>
    <col min="13319" max="13319" width="12.28515625" style="2068" customWidth="1"/>
    <col min="13320" max="13320" width="1.85546875" style="2068" customWidth="1"/>
    <col min="13321" max="13321" width="10.5703125" style="2068" customWidth="1"/>
    <col min="13322" max="13322" width="4.42578125" style="2068" customWidth="1"/>
    <col min="13323" max="13323" width="13.28515625" style="2068" bestFit="1" customWidth="1"/>
    <col min="13324" max="13324" width="1" style="2068" customWidth="1"/>
    <col min="13325" max="13325" width="12.5703125" style="2068" customWidth="1"/>
    <col min="13326" max="13326" width="16.140625" style="2068" customWidth="1"/>
    <col min="13327" max="13327" width="12.42578125" style="2068" customWidth="1"/>
    <col min="13328" max="13328" width="17.28515625" style="2068" customWidth="1"/>
    <col min="13329" max="13331" width="18.42578125" style="2068" customWidth="1"/>
    <col min="13332" max="13562" width="16.7109375" style="2068"/>
    <col min="13563" max="13563" width="6.5703125" style="2068" customWidth="1"/>
    <col min="13564" max="13564" width="41.85546875" style="2068" customWidth="1"/>
    <col min="13565" max="13565" width="9.85546875" style="2068" customWidth="1"/>
    <col min="13566" max="13566" width="1.85546875" style="2068" customWidth="1"/>
    <col min="13567" max="13567" width="11" style="2068" customWidth="1"/>
    <col min="13568" max="13568" width="5.28515625" style="2068" customWidth="1"/>
    <col min="13569" max="13569" width="11.5703125" style="2068" bestFit="1" customWidth="1"/>
    <col min="13570" max="13570" width="1.85546875" style="2068" customWidth="1"/>
    <col min="13571" max="13571" width="12.28515625" style="2068" customWidth="1"/>
    <col min="13572" max="13572" width="2.28515625" style="2068" customWidth="1"/>
    <col min="13573" max="13573" width="13.140625" style="2068" bestFit="1" customWidth="1"/>
    <col min="13574" max="13574" width="1.85546875" style="2068" customWidth="1"/>
    <col min="13575" max="13575" width="12.28515625" style="2068" customWidth="1"/>
    <col min="13576" max="13576" width="1.85546875" style="2068" customWidth="1"/>
    <col min="13577" max="13577" width="10.5703125" style="2068" customWidth="1"/>
    <col min="13578" max="13578" width="4.42578125" style="2068" customWidth="1"/>
    <col min="13579" max="13579" width="13.28515625" style="2068" bestFit="1" customWidth="1"/>
    <col min="13580" max="13580" width="1" style="2068" customWidth="1"/>
    <col min="13581" max="13581" width="12.5703125" style="2068" customWidth="1"/>
    <col min="13582" max="13582" width="16.140625" style="2068" customWidth="1"/>
    <col min="13583" max="13583" width="12.42578125" style="2068" customWidth="1"/>
    <col min="13584" max="13584" width="17.28515625" style="2068" customWidth="1"/>
    <col min="13585" max="13587" width="18.42578125" style="2068" customWidth="1"/>
    <col min="13588" max="13818" width="16.7109375" style="2068"/>
    <col min="13819" max="13819" width="6.5703125" style="2068" customWidth="1"/>
    <col min="13820" max="13820" width="41.85546875" style="2068" customWidth="1"/>
    <col min="13821" max="13821" width="9.85546875" style="2068" customWidth="1"/>
    <col min="13822" max="13822" width="1.85546875" style="2068" customWidth="1"/>
    <col min="13823" max="13823" width="11" style="2068" customWidth="1"/>
    <col min="13824" max="13824" width="5.28515625" style="2068" customWidth="1"/>
    <col min="13825" max="13825" width="11.5703125" style="2068" bestFit="1" customWidth="1"/>
    <col min="13826" max="13826" width="1.85546875" style="2068" customWidth="1"/>
    <col min="13827" max="13827" width="12.28515625" style="2068" customWidth="1"/>
    <col min="13828" max="13828" width="2.28515625" style="2068" customWidth="1"/>
    <col min="13829" max="13829" width="13.140625" style="2068" bestFit="1" customWidth="1"/>
    <col min="13830" max="13830" width="1.85546875" style="2068" customWidth="1"/>
    <col min="13831" max="13831" width="12.28515625" style="2068" customWidth="1"/>
    <col min="13832" max="13832" width="1.85546875" style="2068" customWidth="1"/>
    <col min="13833" max="13833" width="10.5703125" style="2068" customWidth="1"/>
    <col min="13834" max="13834" width="4.42578125" style="2068" customWidth="1"/>
    <col min="13835" max="13835" width="13.28515625" style="2068" bestFit="1" customWidth="1"/>
    <col min="13836" max="13836" width="1" style="2068" customWidth="1"/>
    <col min="13837" max="13837" width="12.5703125" style="2068" customWidth="1"/>
    <col min="13838" max="13838" width="16.140625" style="2068" customWidth="1"/>
    <col min="13839" max="13839" width="12.42578125" style="2068" customWidth="1"/>
    <col min="13840" max="13840" width="17.28515625" style="2068" customWidth="1"/>
    <col min="13841" max="13843" width="18.42578125" style="2068" customWidth="1"/>
    <col min="13844" max="14074" width="16.7109375" style="2068"/>
    <col min="14075" max="14075" width="6.5703125" style="2068" customWidth="1"/>
    <col min="14076" max="14076" width="41.85546875" style="2068" customWidth="1"/>
    <col min="14077" max="14077" width="9.85546875" style="2068" customWidth="1"/>
    <col min="14078" max="14078" width="1.85546875" style="2068" customWidth="1"/>
    <col min="14079" max="14079" width="11" style="2068" customWidth="1"/>
    <col min="14080" max="14080" width="5.28515625" style="2068" customWidth="1"/>
    <col min="14081" max="14081" width="11.5703125" style="2068" bestFit="1" customWidth="1"/>
    <col min="14082" max="14082" width="1.85546875" style="2068" customWidth="1"/>
    <col min="14083" max="14083" width="12.28515625" style="2068" customWidth="1"/>
    <col min="14084" max="14084" width="2.28515625" style="2068" customWidth="1"/>
    <col min="14085" max="14085" width="13.140625" style="2068" bestFit="1" customWidth="1"/>
    <col min="14086" max="14086" width="1.85546875" style="2068" customWidth="1"/>
    <col min="14087" max="14087" width="12.28515625" style="2068" customWidth="1"/>
    <col min="14088" max="14088" width="1.85546875" style="2068" customWidth="1"/>
    <col min="14089" max="14089" width="10.5703125" style="2068" customWidth="1"/>
    <col min="14090" max="14090" width="4.42578125" style="2068" customWidth="1"/>
    <col min="14091" max="14091" width="13.28515625" style="2068" bestFit="1" customWidth="1"/>
    <col min="14092" max="14092" width="1" style="2068" customWidth="1"/>
    <col min="14093" max="14093" width="12.5703125" style="2068" customWidth="1"/>
    <col min="14094" max="14094" width="16.140625" style="2068" customWidth="1"/>
    <col min="14095" max="14095" width="12.42578125" style="2068" customWidth="1"/>
    <col min="14096" max="14096" width="17.28515625" style="2068" customWidth="1"/>
    <col min="14097" max="14099" width="18.42578125" style="2068" customWidth="1"/>
    <col min="14100" max="14330" width="16.7109375" style="2068"/>
    <col min="14331" max="14331" width="6.5703125" style="2068" customWidth="1"/>
    <col min="14332" max="14332" width="41.85546875" style="2068" customWidth="1"/>
    <col min="14333" max="14333" width="9.85546875" style="2068" customWidth="1"/>
    <col min="14334" max="14334" width="1.85546875" style="2068" customWidth="1"/>
    <col min="14335" max="14335" width="11" style="2068" customWidth="1"/>
    <col min="14336" max="14336" width="5.28515625" style="2068" customWidth="1"/>
    <col min="14337" max="14337" width="11.5703125" style="2068" bestFit="1" customWidth="1"/>
    <col min="14338" max="14338" width="1.85546875" style="2068" customWidth="1"/>
    <col min="14339" max="14339" width="12.28515625" style="2068" customWidth="1"/>
    <col min="14340" max="14340" width="2.28515625" style="2068" customWidth="1"/>
    <col min="14341" max="14341" width="13.140625" style="2068" bestFit="1" customWidth="1"/>
    <col min="14342" max="14342" width="1.85546875" style="2068" customWidth="1"/>
    <col min="14343" max="14343" width="12.28515625" style="2068" customWidth="1"/>
    <col min="14344" max="14344" width="1.85546875" style="2068" customWidth="1"/>
    <col min="14345" max="14345" width="10.5703125" style="2068" customWidth="1"/>
    <col min="14346" max="14346" width="4.42578125" style="2068" customWidth="1"/>
    <col min="14347" max="14347" width="13.28515625" style="2068" bestFit="1" customWidth="1"/>
    <col min="14348" max="14348" width="1" style="2068" customWidth="1"/>
    <col min="14349" max="14349" width="12.5703125" style="2068" customWidth="1"/>
    <col min="14350" max="14350" width="16.140625" style="2068" customWidth="1"/>
    <col min="14351" max="14351" width="12.42578125" style="2068" customWidth="1"/>
    <col min="14352" max="14352" width="17.28515625" style="2068" customWidth="1"/>
    <col min="14353" max="14355" width="18.42578125" style="2068" customWidth="1"/>
    <col min="14356" max="14586" width="16.7109375" style="2068"/>
    <col min="14587" max="14587" width="6.5703125" style="2068" customWidth="1"/>
    <col min="14588" max="14588" width="41.85546875" style="2068" customWidth="1"/>
    <col min="14589" max="14589" width="9.85546875" style="2068" customWidth="1"/>
    <col min="14590" max="14590" width="1.85546875" style="2068" customWidth="1"/>
    <col min="14591" max="14591" width="11" style="2068" customWidth="1"/>
    <col min="14592" max="14592" width="5.28515625" style="2068" customWidth="1"/>
    <col min="14593" max="14593" width="11.5703125" style="2068" bestFit="1" customWidth="1"/>
    <col min="14594" max="14594" width="1.85546875" style="2068" customWidth="1"/>
    <col min="14595" max="14595" width="12.28515625" style="2068" customWidth="1"/>
    <col min="14596" max="14596" width="2.28515625" style="2068" customWidth="1"/>
    <col min="14597" max="14597" width="13.140625" style="2068" bestFit="1" customWidth="1"/>
    <col min="14598" max="14598" width="1.85546875" style="2068" customWidth="1"/>
    <col min="14599" max="14599" width="12.28515625" style="2068" customWidth="1"/>
    <col min="14600" max="14600" width="1.85546875" style="2068" customWidth="1"/>
    <col min="14601" max="14601" width="10.5703125" style="2068" customWidth="1"/>
    <col min="14602" max="14602" width="4.42578125" style="2068" customWidth="1"/>
    <col min="14603" max="14603" width="13.28515625" style="2068" bestFit="1" customWidth="1"/>
    <col min="14604" max="14604" width="1" style="2068" customWidth="1"/>
    <col min="14605" max="14605" width="12.5703125" style="2068" customWidth="1"/>
    <col min="14606" max="14606" width="16.140625" style="2068" customWidth="1"/>
    <col min="14607" max="14607" width="12.42578125" style="2068" customWidth="1"/>
    <col min="14608" max="14608" width="17.28515625" style="2068" customWidth="1"/>
    <col min="14609" max="14611" width="18.42578125" style="2068" customWidth="1"/>
    <col min="14612" max="14842" width="16.7109375" style="2068"/>
    <col min="14843" max="14843" width="6.5703125" style="2068" customWidth="1"/>
    <col min="14844" max="14844" width="41.85546875" style="2068" customWidth="1"/>
    <col min="14845" max="14845" width="9.85546875" style="2068" customWidth="1"/>
    <col min="14846" max="14846" width="1.85546875" style="2068" customWidth="1"/>
    <col min="14847" max="14847" width="11" style="2068" customWidth="1"/>
    <col min="14848" max="14848" width="5.28515625" style="2068" customWidth="1"/>
    <col min="14849" max="14849" width="11.5703125" style="2068" bestFit="1" customWidth="1"/>
    <col min="14850" max="14850" width="1.85546875" style="2068" customWidth="1"/>
    <col min="14851" max="14851" width="12.28515625" style="2068" customWidth="1"/>
    <col min="14852" max="14852" width="2.28515625" style="2068" customWidth="1"/>
    <col min="14853" max="14853" width="13.140625" style="2068" bestFit="1" customWidth="1"/>
    <col min="14854" max="14854" width="1.85546875" style="2068" customWidth="1"/>
    <col min="14855" max="14855" width="12.28515625" style="2068" customWidth="1"/>
    <col min="14856" max="14856" width="1.85546875" style="2068" customWidth="1"/>
    <col min="14857" max="14857" width="10.5703125" style="2068" customWidth="1"/>
    <col min="14858" max="14858" width="4.42578125" style="2068" customWidth="1"/>
    <col min="14859" max="14859" width="13.28515625" style="2068" bestFit="1" customWidth="1"/>
    <col min="14860" max="14860" width="1" style="2068" customWidth="1"/>
    <col min="14861" max="14861" width="12.5703125" style="2068" customWidth="1"/>
    <col min="14862" max="14862" width="16.140625" style="2068" customWidth="1"/>
    <col min="14863" max="14863" width="12.42578125" style="2068" customWidth="1"/>
    <col min="14864" max="14864" width="17.28515625" style="2068" customWidth="1"/>
    <col min="14865" max="14867" width="18.42578125" style="2068" customWidth="1"/>
    <col min="14868" max="15098" width="16.7109375" style="2068"/>
    <col min="15099" max="15099" width="6.5703125" style="2068" customWidth="1"/>
    <col min="15100" max="15100" width="41.85546875" style="2068" customWidth="1"/>
    <col min="15101" max="15101" width="9.85546875" style="2068" customWidth="1"/>
    <col min="15102" max="15102" width="1.85546875" style="2068" customWidth="1"/>
    <col min="15103" max="15103" width="11" style="2068" customWidth="1"/>
    <col min="15104" max="15104" width="5.28515625" style="2068" customWidth="1"/>
    <col min="15105" max="15105" width="11.5703125" style="2068" bestFit="1" customWidth="1"/>
    <col min="15106" max="15106" width="1.85546875" style="2068" customWidth="1"/>
    <col min="15107" max="15107" width="12.28515625" style="2068" customWidth="1"/>
    <col min="15108" max="15108" width="2.28515625" style="2068" customWidth="1"/>
    <col min="15109" max="15109" width="13.140625" style="2068" bestFit="1" customWidth="1"/>
    <col min="15110" max="15110" width="1.85546875" style="2068" customWidth="1"/>
    <col min="15111" max="15111" width="12.28515625" style="2068" customWidth="1"/>
    <col min="15112" max="15112" width="1.85546875" style="2068" customWidth="1"/>
    <col min="15113" max="15113" width="10.5703125" style="2068" customWidth="1"/>
    <col min="15114" max="15114" width="4.42578125" style="2068" customWidth="1"/>
    <col min="15115" max="15115" width="13.28515625" style="2068" bestFit="1" customWidth="1"/>
    <col min="15116" max="15116" width="1" style="2068" customWidth="1"/>
    <col min="15117" max="15117" width="12.5703125" style="2068" customWidth="1"/>
    <col min="15118" max="15118" width="16.140625" style="2068" customWidth="1"/>
    <col min="15119" max="15119" width="12.42578125" style="2068" customWidth="1"/>
    <col min="15120" max="15120" width="17.28515625" style="2068" customWidth="1"/>
    <col min="15121" max="15123" width="18.42578125" style="2068" customWidth="1"/>
    <col min="15124" max="15354" width="16.7109375" style="2068"/>
    <col min="15355" max="15355" width="6.5703125" style="2068" customWidth="1"/>
    <col min="15356" max="15356" width="41.85546875" style="2068" customWidth="1"/>
    <col min="15357" max="15357" width="9.85546875" style="2068" customWidth="1"/>
    <col min="15358" max="15358" width="1.85546875" style="2068" customWidth="1"/>
    <col min="15359" max="15359" width="11" style="2068" customWidth="1"/>
    <col min="15360" max="15360" width="5.28515625" style="2068" customWidth="1"/>
    <col min="15361" max="15361" width="11.5703125" style="2068" bestFit="1" customWidth="1"/>
    <col min="15362" max="15362" width="1.85546875" style="2068" customWidth="1"/>
    <col min="15363" max="15363" width="12.28515625" style="2068" customWidth="1"/>
    <col min="15364" max="15364" width="2.28515625" style="2068" customWidth="1"/>
    <col min="15365" max="15365" width="13.140625" style="2068" bestFit="1" customWidth="1"/>
    <col min="15366" max="15366" width="1.85546875" style="2068" customWidth="1"/>
    <col min="15367" max="15367" width="12.28515625" style="2068" customWidth="1"/>
    <col min="15368" max="15368" width="1.85546875" style="2068" customWidth="1"/>
    <col min="15369" max="15369" width="10.5703125" style="2068" customWidth="1"/>
    <col min="15370" max="15370" width="4.42578125" style="2068" customWidth="1"/>
    <col min="15371" max="15371" width="13.28515625" style="2068" bestFit="1" customWidth="1"/>
    <col min="15372" max="15372" width="1" style="2068" customWidth="1"/>
    <col min="15373" max="15373" width="12.5703125" style="2068" customWidth="1"/>
    <col min="15374" max="15374" width="16.140625" style="2068" customWidth="1"/>
    <col min="15375" max="15375" width="12.42578125" style="2068" customWidth="1"/>
    <col min="15376" max="15376" width="17.28515625" style="2068" customWidth="1"/>
    <col min="15377" max="15379" width="18.42578125" style="2068" customWidth="1"/>
    <col min="15380" max="15610" width="16.7109375" style="2068"/>
    <col min="15611" max="15611" width="6.5703125" style="2068" customWidth="1"/>
    <col min="15612" max="15612" width="41.85546875" style="2068" customWidth="1"/>
    <col min="15613" max="15613" width="9.85546875" style="2068" customWidth="1"/>
    <col min="15614" max="15614" width="1.85546875" style="2068" customWidth="1"/>
    <col min="15615" max="15615" width="11" style="2068" customWidth="1"/>
    <col min="15616" max="15616" width="5.28515625" style="2068" customWidth="1"/>
    <col min="15617" max="15617" width="11.5703125" style="2068" bestFit="1" customWidth="1"/>
    <col min="15618" max="15618" width="1.85546875" style="2068" customWidth="1"/>
    <col min="15619" max="15619" width="12.28515625" style="2068" customWidth="1"/>
    <col min="15620" max="15620" width="2.28515625" style="2068" customWidth="1"/>
    <col min="15621" max="15621" width="13.140625" style="2068" bestFit="1" customWidth="1"/>
    <col min="15622" max="15622" width="1.85546875" style="2068" customWidth="1"/>
    <col min="15623" max="15623" width="12.28515625" style="2068" customWidth="1"/>
    <col min="15624" max="15624" width="1.85546875" style="2068" customWidth="1"/>
    <col min="15625" max="15625" width="10.5703125" style="2068" customWidth="1"/>
    <col min="15626" max="15626" width="4.42578125" style="2068" customWidth="1"/>
    <col min="15627" max="15627" width="13.28515625" style="2068" bestFit="1" customWidth="1"/>
    <col min="15628" max="15628" width="1" style="2068" customWidth="1"/>
    <col min="15629" max="15629" width="12.5703125" style="2068" customWidth="1"/>
    <col min="15630" max="15630" width="16.140625" style="2068" customWidth="1"/>
    <col min="15631" max="15631" width="12.42578125" style="2068" customWidth="1"/>
    <col min="15632" max="15632" width="17.28515625" style="2068" customWidth="1"/>
    <col min="15633" max="15635" width="18.42578125" style="2068" customWidth="1"/>
    <col min="15636" max="15866" width="16.7109375" style="2068"/>
    <col min="15867" max="15867" width="6.5703125" style="2068" customWidth="1"/>
    <col min="15868" max="15868" width="41.85546875" style="2068" customWidth="1"/>
    <col min="15869" max="15869" width="9.85546875" style="2068" customWidth="1"/>
    <col min="15870" max="15870" width="1.85546875" style="2068" customWidth="1"/>
    <col min="15871" max="15871" width="11" style="2068" customWidth="1"/>
    <col min="15872" max="15872" width="5.28515625" style="2068" customWidth="1"/>
    <col min="15873" max="15873" width="11.5703125" style="2068" bestFit="1" customWidth="1"/>
    <col min="15874" max="15874" width="1.85546875" style="2068" customWidth="1"/>
    <col min="15875" max="15875" width="12.28515625" style="2068" customWidth="1"/>
    <col min="15876" max="15876" width="2.28515625" style="2068" customWidth="1"/>
    <col min="15877" max="15877" width="13.140625" style="2068" bestFit="1" customWidth="1"/>
    <col min="15878" max="15878" width="1.85546875" style="2068" customWidth="1"/>
    <col min="15879" max="15879" width="12.28515625" style="2068" customWidth="1"/>
    <col min="15880" max="15880" width="1.85546875" style="2068" customWidth="1"/>
    <col min="15881" max="15881" width="10.5703125" style="2068" customWidth="1"/>
    <col min="15882" max="15882" width="4.42578125" style="2068" customWidth="1"/>
    <col min="15883" max="15883" width="13.28515625" style="2068" bestFit="1" customWidth="1"/>
    <col min="15884" max="15884" width="1" style="2068" customWidth="1"/>
    <col min="15885" max="15885" width="12.5703125" style="2068" customWidth="1"/>
    <col min="15886" max="15886" width="16.140625" style="2068" customWidth="1"/>
    <col min="15887" max="15887" width="12.42578125" style="2068" customWidth="1"/>
    <col min="15888" max="15888" width="17.28515625" style="2068" customWidth="1"/>
    <col min="15889" max="15891" width="18.42578125" style="2068" customWidth="1"/>
    <col min="15892" max="16122" width="16.7109375" style="2068"/>
    <col min="16123" max="16123" width="6.5703125" style="2068" customWidth="1"/>
    <col min="16124" max="16124" width="41.85546875" style="2068" customWidth="1"/>
    <col min="16125" max="16125" width="9.85546875" style="2068" customWidth="1"/>
    <col min="16126" max="16126" width="1.85546875" style="2068" customWidth="1"/>
    <col min="16127" max="16127" width="11" style="2068" customWidth="1"/>
    <col min="16128" max="16128" width="5.28515625" style="2068" customWidth="1"/>
    <col min="16129" max="16129" width="11.5703125" style="2068" bestFit="1" customWidth="1"/>
    <col min="16130" max="16130" width="1.85546875" style="2068" customWidth="1"/>
    <col min="16131" max="16131" width="12.28515625" style="2068" customWidth="1"/>
    <col min="16132" max="16132" width="2.28515625" style="2068" customWidth="1"/>
    <col min="16133" max="16133" width="13.140625" style="2068" bestFit="1" customWidth="1"/>
    <col min="16134" max="16134" width="1.85546875" style="2068" customWidth="1"/>
    <col min="16135" max="16135" width="12.28515625" style="2068" customWidth="1"/>
    <col min="16136" max="16136" width="1.85546875" style="2068" customWidth="1"/>
    <col min="16137" max="16137" width="10.5703125" style="2068" customWidth="1"/>
    <col min="16138" max="16138" width="4.42578125" style="2068" customWidth="1"/>
    <col min="16139" max="16139" width="13.28515625" style="2068" bestFit="1" customWidth="1"/>
    <col min="16140" max="16140" width="1" style="2068" customWidth="1"/>
    <col min="16141" max="16141" width="12.5703125" style="2068" customWidth="1"/>
    <col min="16142" max="16142" width="16.140625" style="2068" customWidth="1"/>
    <col min="16143" max="16143" width="12.42578125" style="2068" customWidth="1"/>
    <col min="16144" max="16144" width="17.28515625" style="2068" customWidth="1"/>
    <col min="16145" max="16147" width="18.42578125" style="2068" customWidth="1"/>
    <col min="16148" max="16384" width="16.7109375" style="2068"/>
  </cols>
  <sheetData>
    <row r="1" spans="1:20" s="2063" customFormat="1" ht="12.75" hidden="1" customHeight="1" x14ac:dyDescent="0.2">
      <c r="A1" s="2060"/>
      <c r="B1" s="2061"/>
      <c r="C1" s="2061"/>
      <c r="D1" s="2061"/>
      <c r="E1" s="2061"/>
      <c r="F1" s="2060"/>
      <c r="G1" s="2061"/>
      <c r="H1" s="2061"/>
      <c r="I1" s="2060"/>
      <c r="J1" s="2060"/>
      <c r="K1" s="2061"/>
      <c r="L1" s="2061"/>
      <c r="M1" s="2061"/>
      <c r="N1" s="2061"/>
      <c r="O1" s="2061"/>
      <c r="P1" s="2060"/>
      <c r="Q1" s="2061"/>
      <c r="R1" s="2061"/>
      <c r="S1" s="2062"/>
      <c r="T1" s="2061"/>
    </row>
    <row r="2" spans="1:20" ht="12.75" hidden="1" customHeight="1" x14ac:dyDescent="0.2">
      <c r="A2" s="2064"/>
      <c r="B2" s="2065"/>
      <c r="C2" s="2064"/>
      <c r="D2" s="2064"/>
      <c r="E2" s="2064"/>
      <c r="F2" s="2064"/>
      <c r="G2" s="2064"/>
      <c r="H2" s="2064"/>
      <c r="I2" s="2066"/>
      <c r="J2" s="2067"/>
      <c r="M2" s="2069"/>
      <c r="N2" s="2066"/>
      <c r="P2" s="2066"/>
      <c r="Q2" s="2066"/>
      <c r="R2" s="2067"/>
      <c r="S2" s="2066" t="s">
        <v>1159</v>
      </c>
      <c r="T2" s="2061"/>
    </row>
    <row r="3" spans="1:20" ht="12.75" hidden="1" customHeight="1" x14ac:dyDescent="0.2">
      <c r="A3" s="2064"/>
      <c r="B3" s="2070"/>
      <c r="C3" s="2064"/>
      <c r="D3" s="2064"/>
      <c r="E3" s="2064"/>
      <c r="F3" s="2064"/>
      <c r="G3" s="2064"/>
      <c r="H3" s="2064"/>
      <c r="I3" s="2066"/>
      <c r="J3" s="2067"/>
      <c r="M3" s="2069"/>
      <c r="N3" s="2069"/>
      <c r="O3" s="2069"/>
      <c r="P3" s="2066"/>
      <c r="Q3" s="2066"/>
      <c r="R3" s="2067"/>
      <c r="S3" s="2066"/>
      <c r="T3" s="2061"/>
    </row>
    <row r="4" spans="1:20" ht="15" hidden="1" customHeight="1" x14ac:dyDescent="0.2">
      <c r="A4" s="2064"/>
      <c r="B4" s="2070"/>
      <c r="C4" s="2064"/>
      <c r="D4" s="2064"/>
      <c r="E4" s="2064"/>
      <c r="F4" s="2064"/>
      <c r="G4" s="2064"/>
      <c r="H4" s="2064"/>
      <c r="I4" s="2066"/>
      <c r="J4" s="2066"/>
      <c r="K4" s="2066"/>
      <c r="M4" s="2071"/>
      <c r="N4" s="2066"/>
      <c r="O4" s="2066"/>
      <c r="P4" s="2066"/>
      <c r="Q4" s="2066"/>
      <c r="R4" s="2067"/>
      <c r="S4" s="2066"/>
      <c r="T4" s="2061"/>
    </row>
    <row r="5" spans="1:20" ht="15.75" x14ac:dyDescent="0.2">
      <c r="A5" s="2677" t="s">
        <v>2057</v>
      </c>
      <c r="B5" s="2677"/>
      <c r="C5" s="2677"/>
      <c r="D5" s="2677"/>
      <c r="E5" s="2677"/>
      <c r="F5" s="2677"/>
      <c r="G5" s="2677"/>
      <c r="H5" s="2677"/>
      <c r="I5" s="2677"/>
      <c r="J5" s="2677"/>
      <c r="K5" s="2677"/>
      <c r="L5" s="2677"/>
      <c r="M5" s="2677"/>
      <c r="N5" s="2677"/>
      <c r="O5" s="2677"/>
      <c r="P5" s="2677"/>
      <c r="Q5" s="2677"/>
      <c r="R5" s="2677"/>
      <c r="S5" s="2677"/>
      <c r="T5" s="2061"/>
    </row>
    <row r="6" spans="1:20" ht="15.75" x14ac:dyDescent="0.2">
      <c r="A6" s="2677" t="s">
        <v>2055</v>
      </c>
      <c r="B6" s="2677"/>
      <c r="C6" s="2677"/>
      <c r="D6" s="2677"/>
      <c r="E6" s="2677"/>
      <c r="F6" s="2677"/>
      <c r="G6" s="2677"/>
      <c r="H6" s="2677"/>
      <c r="I6" s="2677"/>
      <c r="J6" s="2677"/>
      <c r="K6" s="2677"/>
      <c r="L6" s="2677"/>
      <c r="M6" s="2677"/>
      <c r="N6" s="2677"/>
      <c r="O6" s="2677"/>
      <c r="P6" s="2677"/>
      <c r="Q6" s="2677"/>
      <c r="R6" s="2677"/>
      <c r="S6" s="2677"/>
      <c r="T6" s="2061"/>
    </row>
    <row r="7" spans="1:20" ht="14.25" customHeight="1" x14ac:dyDescent="0.2">
      <c r="A7" s="2677" t="s">
        <v>1208</v>
      </c>
      <c r="B7" s="2677"/>
      <c r="C7" s="2677"/>
      <c r="D7" s="2677"/>
      <c r="E7" s="2677"/>
      <c r="F7" s="2677"/>
      <c r="G7" s="2677"/>
      <c r="H7" s="2677"/>
      <c r="I7" s="2677"/>
      <c r="J7" s="2677"/>
      <c r="K7" s="2677"/>
      <c r="L7" s="2677"/>
      <c r="M7" s="2677"/>
      <c r="N7" s="2677"/>
      <c r="O7" s="2677"/>
      <c r="P7" s="2677"/>
      <c r="Q7" s="2677"/>
      <c r="R7" s="2677"/>
      <c r="S7" s="2677"/>
      <c r="T7" s="2061"/>
    </row>
    <row r="8" spans="1:20" ht="15" customHeight="1" x14ac:dyDescent="0.2">
      <c r="A8" s="2678" t="s">
        <v>2097</v>
      </c>
      <c r="B8" s="2678"/>
      <c r="C8" s="2678"/>
      <c r="D8" s="2678"/>
      <c r="E8" s="2678"/>
      <c r="F8" s="2678"/>
      <c r="G8" s="2678"/>
      <c r="H8" s="2678"/>
      <c r="I8" s="2678"/>
      <c r="J8" s="2678"/>
      <c r="K8" s="2678"/>
      <c r="L8" s="2678"/>
      <c r="M8" s="2678"/>
      <c r="N8" s="2678"/>
      <c r="O8" s="2678"/>
      <c r="P8" s="2678"/>
      <c r="Q8" s="2678"/>
      <c r="R8" s="2678"/>
      <c r="S8" s="2678"/>
      <c r="T8" s="2061"/>
    </row>
    <row r="9" spans="1:20" ht="10.15" customHeight="1" x14ac:dyDescent="0.2">
      <c r="A9" s="2064"/>
      <c r="B9" s="2064"/>
      <c r="C9" s="2064"/>
      <c r="D9" s="2064"/>
      <c r="E9" s="2064"/>
      <c r="F9" s="2064"/>
      <c r="G9" s="2072"/>
      <c r="H9" s="2066"/>
      <c r="I9" s="2072"/>
      <c r="J9" s="2067"/>
      <c r="K9" s="2072"/>
      <c r="L9" s="2066"/>
      <c r="M9" s="2066"/>
      <c r="N9" s="2066"/>
      <c r="O9" s="2066"/>
      <c r="P9" s="2067"/>
      <c r="Q9" s="2066"/>
      <c r="R9" s="2066"/>
      <c r="S9" s="2066"/>
      <c r="T9" s="2061"/>
    </row>
    <row r="10" spans="1:20" ht="15" customHeight="1" x14ac:dyDescent="0.2">
      <c r="A10" s="2073"/>
      <c r="B10" s="2073"/>
      <c r="C10" s="2073"/>
      <c r="D10" s="2073"/>
      <c r="E10" s="2073"/>
      <c r="F10" s="2073"/>
      <c r="G10" s="2074"/>
      <c r="H10" s="2075"/>
      <c r="I10" s="2074"/>
      <c r="J10" s="2076"/>
      <c r="K10" s="2074"/>
      <c r="L10" s="2075"/>
      <c r="M10" s="2075"/>
      <c r="N10" s="2075"/>
      <c r="O10" s="2075"/>
      <c r="P10" s="2076"/>
      <c r="Q10" s="2075"/>
      <c r="R10" s="2075"/>
      <c r="S10" s="2075"/>
      <c r="T10" s="2061"/>
    </row>
    <row r="11" spans="1:20" ht="17.45" customHeight="1" x14ac:dyDescent="0.2">
      <c r="B11" s="2072"/>
      <c r="C11" s="2066"/>
      <c r="D11" s="2066"/>
      <c r="E11" s="2067" t="s">
        <v>2098</v>
      </c>
      <c r="F11" s="2067"/>
      <c r="G11" s="2077" t="s">
        <v>2099</v>
      </c>
      <c r="H11" s="2077"/>
      <c r="I11" s="2077"/>
      <c r="J11" s="2067"/>
      <c r="K11" s="2077" t="s">
        <v>2100</v>
      </c>
      <c r="L11" s="2077"/>
      <c r="M11" s="2077"/>
      <c r="N11" s="2066"/>
      <c r="O11" s="2066"/>
      <c r="P11" s="2067"/>
      <c r="Q11" s="2066"/>
      <c r="R11" s="2066"/>
      <c r="S11" s="2066"/>
      <c r="T11" s="2061"/>
    </row>
    <row r="12" spans="1:20" ht="18.75" customHeight="1" x14ac:dyDescent="0.2">
      <c r="B12" s="2072"/>
      <c r="C12" s="2067" t="s">
        <v>1253</v>
      </c>
      <c r="D12" s="2066"/>
      <c r="E12" s="2067" t="s">
        <v>2101</v>
      </c>
      <c r="F12" s="2067"/>
      <c r="G12" s="2067" t="s">
        <v>2102</v>
      </c>
      <c r="H12" s="2066"/>
      <c r="I12" s="2078" t="s">
        <v>2103</v>
      </c>
      <c r="J12" s="2067"/>
      <c r="K12" s="2067" t="s">
        <v>2102</v>
      </c>
      <c r="L12" s="2066"/>
      <c r="M12" s="2078" t="str">
        <f>+I12</f>
        <v>7/01/19-</v>
      </c>
      <c r="N12" s="2066"/>
      <c r="O12" s="2067" t="s">
        <v>1250</v>
      </c>
      <c r="P12" s="2067"/>
      <c r="Q12" s="2067" t="s">
        <v>2104</v>
      </c>
      <c r="R12" s="2066"/>
      <c r="S12" s="2072" t="s">
        <v>1159</v>
      </c>
      <c r="T12" s="2061"/>
    </row>
    <row r="13" spans="1:20" ht="15.75" customHeight="1" x14ac:dyDescent="0.2">
      <c r="A13" s="2072" t="s">
        <v>2105</v>
      </c>
      <c r="B13" s="2072"/>
      <c r="C13" s="2067" t="s">
        <v>2106</v>
      </c>
      <c r="D13" s="2066"/>
      <c r="E13" s="2067" t="s">
        <v>2106</v>
      </c>
      <c r="F13" s="2067"/>
      <c r="G13" s="2079" t="s">
        <v>2107</v>
      </c>
      <c r="H13" s="2066"/>
      <c r="I13" s="2079" t="s">
        <v>2108</v>
      </c>
      <c r="J13" s="2067"/>
      <c r="K13" s="2080" t="str">
        <f>+G13</f>
        <v>6/30/19</v>
      </c>
      <c r="L13" s="2066"/>
      <c r="M13" s="2080" t="str">
        <f>+I13</f>
        <v>6/30/20</v>
      </c>
      <c r="N13" s="2066"/>
      <c r="O13" s="2067" t="s">
        <v>2109</v>
      </c>
      <c r="P13" s="2067"/>
      <c r="Q13" s="2067" t="s">
        <v>1246</v>
      </c>
      <c r="R13" s="2066"/>
      <c r="S13" s="2067" t="s">
        <v>30</v>
      </c>
      <c r="T13" s="2061"/>
    </row>
    <row r="14" spans="1:20" ht="18" customHeight="1" x14ac:dyDescent="0.2">
      <c r="A14" s="2081" t="s">
        <v>2110</v>
      </c>
      <c r="B14" s="2066"/>
      <c r="C14" s="2082" t="s">
        <v>2111</v>
      </c>
      <c r="D14" s="2066"/>
      <c r="E14" s="2082" t="s">
        <v>2112</v>
      </c>
      <c r="F14" s="2067"/>
      <c r="G14" s="2082" t="s">
        <v>2113</v>
      </c>
      <c r="H14" s="2066"/>
      <c r="I14" s="2082" t="s">
        <v>2114</v>
      </c>
      <c r="J14" s="2067"/>
      <c r="K14" s="2082" t="s">
        <v>2115</v>
      </c>
      <c r="L14" s="2066"/>
      <c r="M14" s="2082" t="s">
        <v>2116</v>
      </c>
      <c r="N14" s="2066"/>
      <c r="O14" s="2082" t="s">
        <v>2117</v>
      </c>
      <c r="P14" s="2067" t="s">
        <v>2118</v>
      </c>
      <c r="Q14" s="2082" t="s">
        <v>2119</v>
      </c>
      <c r="R14" s="2066"/>
      <c r="S14" s="2082" t="s">
        <v>2120</v>
      </c>
      <c r="T14" s="2061"/>
    </row>
    <row r="15" spans="1:20" ht="8.25" customHeight="1" x14ac:dyDescent="0.2">
      <c r="A15" s="2081"/>
      <c r="B15" s="2066"/>
      <c r="C15" s="2082"/>
      <c r="D15" s="2066"/>
      <c r="E15" s="2082"/>
      <c r="F15" s="2067"/>
      <c r="G15" s="2082"/>
      <c r="H15" s="2066"/>
      <c r="I15" s="2082"/>
      <c r="J15" s="2067"/>
      <c r="K15" s="2082"/>
      <c r="L15" s="2066"/>
      <c r="M15" s="2082"/>
      <c r="N15" s="2066"/>
      <c r="O15" s="2082"/>
      <c r="P15" s="2067"/>
      <c r="Q15" s="2082"/>
      <c r="R15" s="2066"/>
      <c r="S15" s="2082"/>
      <c r="T15" s="2061"/>
    </row>
    <row r="16" spans="1:20" ht="15" customHeight="1" x14ac:dyDescent="0.2">
      <c r="A16" s="2083" t="s">
        <v>2121</v>
      </c>
      <c r="B16" s="2066"/>
      <c r="C16" s="2067"/>
      <c r="D16" s="2066"/>
      <c r="E16" s="2067"/>
      <c r="F16" s="2067"/>
      <c r="G16" s="2067"/>
      <c r="H16" s="2066"/>
      <c r="I16" s="2067"/>
      <c r="J16" s="2067"/>
      <c r="K16" s="2067"/>
      <c r="L16" s="2066"/>
      <c r="M16" s="2067"/>
      <c r="N16" s="2066"/>
      <c r="O16" s="2067"/>
      <c r="P16" s="2067"/>
      <c r="Q16" s="2067"/>
      <c r="R16" s="2066"/>
      <c r="S16" s="2067"/>
      <c r="T16" s="2061"/>
    </row>
    <row r="17" spans="1:20" ht="15" customHeight="1" x14ac:dyDescent="0.2">
      <c r="A17" s="2083" t="s">
        <v>2122</v>
      </c>
      <c r="B17" s="2066"/>
      <c r="C17" s="2082"/>
      <c r="D17" s="2066"/>
      <c r="E17" s="2082"/>
      <c r="F17" s="2067"/>
      <c r="G17" s="2082"/>
      <c r="H17" s="2066"/>
      <c r="I17" s="2082"/>
      <c r="J17" s="2067"/>
      <c r="K17" s="2082"/>
      <c r="L17" s="2066"/>
      <c r="M17" s="2082"/>
      <c r="N17" s="2066"/>
      <c r="O17" s="2082"/>
      <c r="P17" s="2067"/>
      <c r="Q17" s="2082"/>
      <c r="R17" s="2066"/>
      <c r="S17" s="2082"/>
      <c r="T17" s="2061"/>
    </row>
    <row r="18" spans="1:20" ht="15" customHeight="1" x14ac:dyDescent="0.2">
      <c r="A18" s="2071" t="s">
        <v>2123</v>
      </c>
      <c r="C18" s="2066"/>
      <c r="D18" s="2066"/>
      <c r="E18" s="2066"/>
      <c r="F18" s="2067"/>
      <c r="G18" s="2066"/>
      <c r="H18" s="2066"/>
      <c r="I18" s="2066" t="s">
        <v>1159</v>
      </c>
      <c r="J18" s="2067"/>
      <c r="K18" s="2066"/>
      <c r="L18" s="2066"/>
      <c r="M18" s="2066"/>
      <c r="N18" s="2066"/>
      <c r="O18" s="2066"/>
      <c r="P18" s="2067"/>
      <c r="Q18" s="2066"/>
      <c r="R18" s="2066"/>
      <c r="S18" s="2066"/>
      <c r="T18" s="2061"/>
    </row>
    <row r="19" spans="1:20" ht="6.75" customHeight="1" x14ac:dyDescent="0.2">
      <c r="B19" s="2066"/>
      <c r="C19" s="2066"/>
      <c r="D19" s="2066"/>
      <c r="E19" s="2066"/>
      <c r="F19" s="2067"/>
      <c r="G19" s="2066"/>
      <c r="H19" s="2066"/>
      <c r="I19" s="2066"/>
      <c r="J19" s="2067"/>
      <c r="K19" s="2066"/>
      <c r="L19" s="2066"/>
      <c r="M19" s="2066"/>
      <c r="N19" s="2066"/>
      <c r="O19" s="2066"/>
      <c r="P19" s="2067"/>
      <c r="Q19" s="2066"/>
      <c r="R19" s="2066"/>
      <c r="S19" s="2066"/>
      <c r="T19" s="2061"/>
    </row>
    <row r="20" spans="1:20" ht="15" customHeight="1" x14ac:dyDescent="0.2">
      <c r="A20" s="2084" t="s">
        <v>2258</v>
      </c>
      <c r="B20" s="2072" t="s">
        <v>2124</v>
      </c>
      <c r="C20" s="2085" t="s">
        <v>2125</v>
      </c>
      <c r="D20" s="2066"/>
      <c r="E20" s="2067" t="s">
        <v>2126</v>
      </c>
      <c r="F20" s="2067"/>
      <c r="G20" s="2086">
        <v>577881</v>
      </c>
      <c r="H20" s="2087"/>
      <c r="I20" s="2086">
        <v>138416</v>
      </c>
      <c r="J20" s="2086">
        <v>0</v>
      </c>
      <c r="K20" s="2086">
        <v>577881</v>
      </c>
      <c r="L20" s="2086"/>
      <c r="M20" s="2086">
        <v>138416</v>
      </c>
      <c r="N20" s="2086"/>
      <c r="O20" s="2086"/>
      <c r="P20" s="2087"/>
      <c r="Q20" s="2088">
        <f>K20+M20+O20</f>
        <v>716297</v>
      </c>
      <c r="R20" s="2086"/>
      <c r="S20" s="2089" t="s">
        <v>2127</v>
      </c>
      <c r="T20" s="2061"/>
    </row>
    <row r="21" spans="1:20" ht="15" customHeight="1" x14ac:dyDescent="0.2">
      <c r="A21" s="2084" t="s">
        <v>2258</v>
      </c>
      <c r="B21" s="2072" t="s">
        <v>2124</v>
      </c>
      <c r="C21" s="2085">
        <v>10.555</v>
      </c>
      <c r="D21" s="2066"/>
      <c r="E21" s="2067" t="s">
        <v>2128</v>
      </c>
      <c r="F21" s="2067"/>
      <c r="G21" s="2086"/>
      <c r="H21" s="2086"/>
      <c r="I21" s="2086">
        <v>422607</v>
      </c>
      <c r="J21" s="2087"/>
      <c r="K21" s="2086"/>
      <c r="L21" s="2086"/>
      <c r="M21" s="2086">
        <v>422607</v>
      </c>
      <c r="N21" s="2086"/>
      <c r="O21" s="2086"/>
      <c r="P21" s="2090" t="s">
        <v>2129</v>
      </c>
      <c r="Q21" s="2088">
        <f>K21+M21+O21</f>
        <v>422607</v>
      </c>
      <c r="R21" s="2086"/>
      <c r="S21" s="2089" t="s">
        <v>2127</v>
      </c>
      <c r="T21" s="2061"/>
    </row>
    <row r="22" spans="1:20" ht="15" customHeight="1" x14ac:dyDescent="0.2">
      <c r="A22" s="2084"/>
      <c r="B22" s="2072"/>
      <c r="C22" s="2085"/>
      <c r="D22" s="2066"/>
      <c r="E22" s="2067"/>
      <c r="F22" s="2067"/>
      <c r="G22" s="2086"/>
      <c r="H22" s="2086"/>
      <c r="I22" s="2086"/>
      <c r="J22" s="2087"/>
      <c r="K22" s="2086"/>
      <c r="L22" s="2086"/>
      <c r="M22" s="2086"/>
      <c r="N22" s="2086"/>
      <c r="O22" s="2086"/>
      <c r="P22" s="2087"/>
      <c r="Q22" s="2088"/>
      <c r="R22" s="2086"/>
      <c r="S22" s="2089"/>
      <c r="T22" s="2061"/>
    </row>
    <row r="23" spans="1:20" ht="15" customHeight="1" x14ac:dyDescent="0.2">
      <c r="A23" s="2084"/>
      <c r="B23" s="2072" t="s">
        <v>2130</v>
      </c>
      <c r="C23" s="2085">
        <v>10.555</v>
      </c>
      <c r="D23" s="2066"/>
      <c r="E23" s="2067" t="s">
        <v>2131</v>
      </c>
      <c r="F23" s="2067"/>
      <c r="G23" s="2086"/>
      <c r="H23" s="2086"/>
      <c r="I23" s="2086"/>
      <c r="J23" s="2087"/>
      <c r="K23" s="2086">
        <v>18735</v>
      </c>
      <c r="L23" s="2086"/>
      <c r="M23" s="2086"/>
      <c r="N23" s="2086"/>
      <c r="O23" s="2086"/>
      <c r="P23" s="2087"/>
      <c r="Q23" s="2088">
        <f>K23+M23+O23</f>
        <v>18735</v>
      </c>
      <c r="R23" s="2086"/>
      <c r="S23" s="2089" t="s">
        <v>2127</v>
      </c>
      <c r="T23" s="2061"/>
    </row>
    <row r="24" spans="1:20" ht="15" customHeight="1" x14ac:dyDescent="0.2">
      <c r="A24" s="2084" t="s">
        <v>2258</v>
      </c>
      <c r="B24" s="2072" t="s">
        <v>2130</v>
      </c>
      <c r="C24" s="2085">
        <v>10.555</v>
      </c>
      <c r="D24" s="2066"/>
      <c r="E24" s="2067" t="s">
        <v>2132</v>
      </c>
      <c r="F24" s="2067"/>
      <c r="G24" s="2086"/>
      <c r="H24" s="2086"/>
      <c r="I24" s="2086"/>
      <c r="J24" s="2087"/>
      <c r="K24" s="2086"/>
      <c r="L24" s="2086"/>
      <c r="M24" s="2086">
        <v>30085</v>
      </c>
      <c r="N24" s="2086"/>
      <c r="O24" s="2086"/>
      <c r="P24" s="2087"/>
      <c r="Q24" s="2088">
        <f>K24+M24+O24</f>
        <v>30085</v>
      </c>
      <c r="R24" s="2086"/>
      <c r="S24" s="2089" t="s">
        <v>2127</v>
      </c>
      <c r="T24" s="2061"/>
    </row>
    <row r="25" spans="1:20" ht="15" customHeight="1" x14ac:dyDescent="0.2">
      <c r="A25" s="2084"/>
      <c r="B25" s="2072"/>
      <c r="C25" s="2085"/>
      <c r="D25" s="2066"/>
      <c r="E25" s="2067"/>
      <c r="F25" s="2067"/>
      <c r="G25" s="2086"/>
      <c r="H25" s="2086"/>
      <c r="I25" s="2086"/>
      <c r="J25" s="2087"/>
      <c r="K25" s="2086"/>
      <c r="L25" s="2086"/>
      <c r="M25" s="2086"/>
      <c r="N25" s="2086"/>
      <c r="O25" s="2086"/>
      <c r="P25" s="2087"/>
      <c r="Q25" s="2088"/>
      <c r="R25" s="2086"/>
      <c r="S25" s="2089"/>
      <c r="T25" s="2061"/>
    </row>
    <row r="26" spans="1:20" ht="15" customHeight="1" x14ac:dyDescent="0.2">
      <c r="A26" s="2084"/>
      <c r="B26" s="2072" t="s">
        <v>2133</v>
      </c>
      <c r="C26" s="2085">
        <v>10.555</v>
      </c>
      <c r="D26" s="2066"/>
      <c r="E26" s="2067" t="s">
        <v>2131</v>
      </c>
      <c r="F26" s="2067"/>
      <c r="G26" s="2086"/>
      <c r="H26" s="2086"/>
      <c r="I26" s="2086"/>
      <c r="J26" s="2087"/>
      <c r="K26" s="2086">
        <v>74230</v>
      </c>
      <c r="L26" s="2086"/>
      <c r="M26" s="2086"/>
      <c r="N26" s="2086"/>
      <c r="O26" s="2086"/>
      <c r="P26" s="2087"/>
      <c r="Q26" s="2088">
        <f>K26+M26+O26</f>
        <v>74230</v>
      </c>
      <c r="R26" s="2086"/>
      <c r="S26" s="2089" t="s">
        <v>2127</v>
      </c>
      <c r="T26" s="2061"/>
    </row>
    <row r="27" spans="1:20" ht="15" customHeight="1" x14ac:dyDescent="0.2">
      <c r="A27" s="2084" t="s">
        <v>2258</v>
      </c>
      <c r="B27" s="2072" t="s">
        <v>2133</v>
      </c>
      <c r="C27" s="2085">
        <v>10.555</v>
      </c>
      <c r="D27" s="2066"/>
      <c r="E27" s="2067" t="s">
        <v>2132</v>
      </c>
      <c r="F27" s="2067"/>
      <c r="G27" s="2086"/>
      <c r="H27" s="2086"/>
      <c r="I27" s="2086"/>
      <c r="J27" s="2087"/>
      <c r="K27" s="2086"/>
      <c r="L27" s="2086"/>
      <c r="M27" s="2086">
        <v>70829</v>
      </c>
      <c r="N27" s="2086"/>
      <c r="O27" s="2086"/>
      <c r="P27" s="2087"/>
      <c r="Q27" s="2088">
        <f>K27+M27+O27</f>
        <v>70829</v>
      </c>
      <c r="R27" s="2086"/>
      <c r="S27" s="2089" t="s">
        <v>2127</v>
      </c>
      <c r="T27" s="2061"/>
    </row>
    <row r="28" spans="1:20" ht="15" customHeight="1" x14ac:dyDescent="0.2">
      <c r="A28" s="2084"/>
      <c r="B28" s="2072"/>
      <c r="C28" s="2085" t="s">
        <v>2134</v>
      </c>
      <c r="D28" s="2066"/>
      <c r="E28" s="2067"/>
      <c r="F28" s="2067"/>
      <c r="G28" s="2091">
        <f>SUM(G20:G27)</f>
        <v>577881</v>
      </c>
      <c r="H28" s="2086"/>
      <c r="I28" s="2091">
        <f>SUM(I20:I27)</f>
        <v>561023</v>
      </c>
      <c r="J28" s="2087"/>
      <c r="K28" s="2091">
        <f>SUM(K20:K27)</f>
        <v>670846</v>
      </c>
      <c r="L28" s="2086"/>
      <c r="M28" s="2091">
        <f>SUM(M20:M27)</f>
        <v>661937</v>
      </c>
      <c r="N28" s="2086"/>
      <c r="O28" s="2091">
        <f>SUM(O20:O27)</f>
        <v>0</v>
      </c>
      <c r="P28" s="2087"/>
      <c r="Q28" s="2092">
        <f>SUM(Q20:Q27)</f>
        <v>1332783</v>
      </c>
      <c r="R28" s="2086"/>
      <c r="S28" s="2089"/>
      <c r="T28" s="2061"/>
    </row>
    <row r="29" spans="1:20" ht="6.75" customHeight="1" x14ac:dyDescent="0.2">
      <c r="A29" s="2084"/>
      <c r="B29" s="2072"/>
      <c r="C29" s="2085"/>
      <c r="D29" s="2066"/>
      <c r="E29" s="2067"/>
      <c r="F29" s="2067"/>
      <c r="G29" s="2086"/>
      <c r="H29" s="2086"/>
      <c r="I29" s="2086"/>
      <c r="J29" s="2087"/>
      <c r="K29" s="2086"/>
      <c r="L29" s="2086"/>
      <c r="M29" s="2086"/>
      <c r="N29" s="2086"/>
      <c r="O29" s="2086"/>
      <c r="P29" s="2087"/>
      <c r="Q29" s="2088"/>
      <c r="R29" s="2086"/>
      <c r="S29" s="2089"/>
      <c r="T29" s="2061"/>
    </row>
    <row r="30" spans="1:20" ht="15" customHeight="1" x14ac:dyDescent="0.2">
      <c r="A30" s="2084" t="s">
        <v>2258</v>
      </c>
      <c r="B30" s="2072" t="s">
        <v>1050</v>
      </c>
      <c r="C30" s="2085">
        <v>10.553000000000001</v>
      </c>
      <c r="D30" s="2066"/>
      <c r="E30" s="2067" t="s">
        <v>2135</v>
      </c>
      <c r="F30" s="2067"/>
      <c r="G30" s="2086">
        <v>193967</v>
      </c>
      <c r="H30" s="2087"/>
      <c r="I30" s="2086">
        <v>45571</v>
      </c>
      <c r="J30" s="2086"/>
      <c r="K30" s="2086">
        <v>193967</v>
      </c>
      <c r="L30" s="2086"/>
      <c r="M30" s="2086">
        <v>45571</v>
      </c>
      <c r="N30" s="2086"/>
      <c r="O30" s="2086" t="s">
        <v>1159</v>
      </c>
      <c r="P30" s="2086"/>
      <c r="Q30" s="2088">
        <f>K30+M30+O30</f>
        <v>239538</v>
      </c>
      <c r="R30" s="2086"/>
      <c r="S30" s="2089" t="s">
        <v>2127</v>
      </c>
      <c r="T30" s="2061"/>
    </row>
    <row r="31" spans="1:20" ht="15" customHeight="1" x14ac:dyDescent="0.2">
      <c r="A31" s="2084" t="s">
        <v>2258</v>
      </c>
      <c r="B31" s="2072" t="s">
        <v>1050</v>
      </c>
      <c r="C31" s="2085">
        <v>10.553000000000001</v>
      </c>
      <c r="D31" s="2066"/>
      <c r="E31" s="2067" t="s">
        <v>2136</v>
      </c>
      <c r="F31" s="2067"/>
      <c r="G31" s="2086"/>
      <c r="H31" s="2086"/>
      <c r="I31" s="2086">
        <v>145263</v>
      </c>
      <c r="J31" s="2087"/>
      <c r="K31" s="2086"/>
      <c r="L31" s="2086"/>
      <c r="M31" s="2086">
        <v>145263</v>
      </c>
      <c r="N31" s="2086"/>
      <c r="O31" s="2086"/>
      <c r="P31" s="2090" t="s">
        <v>2129</v>
      </c>
      <c r="Q31" s="2088">
        <f>K31+M31+O31</f>
        <v>145263</v>
      </c>
      <c r="R31" s="2086"/>
      <c r="S31" s="2089" t="s">
        <v>2127</v>
      </c>
      <c r="T31" s="2061"/>
    </row>
    <row r="32" spans="1:20" ht="15" customHeight="1" x14ac:dyDescent="0.2">
      <c r="A32" s="2084"/>
      <c r="B32" s="2072"/>
      <c r="C32" s="2085" t="s">
        <v>2216</v>
      </c>
      <c r="D32" s="2066"/>
      <c r="E32" s="2067"/>
      <c r="F32" s="2067"/>
      <c r="G32" s="2091">
        <f>SUM(G30:G31)</f>
        <v>193967</v>
      </c>
      <c r="H32" s="2086"/>
      <c r="I32" s="2091">
        <f>SUM(I30:I31)</f>
        <v>190834</v>
      </c>
      <c r="J32" s="2087"/>
      <c r="K32" s="2091">
        <f>SUM(K30:K31)</f>
        <v>193967</v>
      </c>
      <c r="L32" s="2086"/>
      <c r="M32" s="2091">
        <f>SUM(M30:M31)</f>
        <v>190834</v>
      </c>
      <c r="N32" s="2086"/>
      <c r="O32" s="2091">
        <f>SUM(O30:O31)</f>
        <v>0</v>
      </c>
      <c r="P32" s="2087"/>
      <c r="Q32" s="2092">
        <f>SUM(Q30:Q31)</f>
        <v>384801</v>
      </c>
      <c r="R32" s="2086"/>
      <c r="S32" s="2089" t="s">
        <v>1159</v>
      </c>
      <c r="T32" s="2061"/>
    </row>
    <row r="33" spans="1:20" ht="8.25" customHeight="1" x14ac:dyDescent="0.2">
      <c r="A33" s="2084"/>
      <c r="B33" s="2072"/>
      <c r="C33" s="2085"/>
      <c r="D33" s="2066"/>
      <c r="E33" s="2067"/>
      <c r="F33" s="2067"/>
      <c r="G33" s="2086"/>
      <c r="H33" s="2086"/>
      <c r="I33" s="2086"/>
      <c r="J33" s="2086"/>
      <c r="K33" s="2086"/>
      <c r="L33" s="2086"/>
      <c r="M33" s="2086"/>
      <c r="N33" s="2086"/>
      <c r="O33" s="2086"/>
      <c r="P33" s="2086"/>
      <c r="Q33" s="2088"/>
      <c r="R33" s="2086"/>
      <c r="S33" s="2089"/>
      <c r="T33" s="2061"/>
    </row>
    <row r="34" spans="1:20" ht="15" customHeight="1" x14ac:dyDescent="0.2">
      <c r="A34" s="2084" t="s">
        <v>2258</v>
      </c>
      <c r="B34" s="2072" t="s">
        <v>1434</v>
      </c>
      <c r="C34" s="2085">
        <v>10.558999999999999</v>
      </c>
      <c r="D34" s="2066"/>
      <c r="E34" s="2067" t="s">
        <v>2137</v>
      </c>
      <c r="F34" s="2067"/>
      <c r="G34" s="2086">
        <v>1444</v>
      </c>
      <c r="H34" s="2086"/>
      <c r="I34" s="2086">
        <v>47144</v>
      </c>
      <c r="J34" s="2087"/>
      <c r="K34" s="2086">
        <v>37106</v>
      </c>
      <c r="L34" s="2086"/>
      <c r="M34" s="2086">
        <v>11482</v>
      </c>
      <c r="N34" s="2086"/>
      <c r="O34" s="2086"/>
      <c r="P34" s="2087"/>
      <c r="Q34" s="2088">
        <f>K34+M34+O34</f>
        <v>48588</v>
      </c>
      <c r="R34" s="2086"/>
      <c r="S34" s="2089" t="s">
        <v>2127</v>
      </c>
      <c r="T34" s="2061"/>
    </row>
    <row r="35" spans="1:20" ht="14.25" customHeight="1" x14ac:dyDescent="0.2">
      <c r="A35" s="2084" t="s">
        <v>2258</v>
      </c>
      <c r="B35" s="2072" t="s">
        <v>1434</v>
      </c>
      <c r="C35" s="2085">
        <v>10.558999999999999</v>
      </c>
      <c r="D35" s="2066"/>
      <c r="E35" s="2067" t="s">
        <v>2138</v>
      </c>
      <c r="F35" s="2067"/>
      <c r="G35" s="2093"/>
      <c r="H35" s="2094"/>
      <c r="I35" s="2093">
        <v>289884</v>
      </c>
      <c r="J35" s="2087"/>
      <c r="K35" s="2093"/>
      <c r="L35" s="2094"/>
      <c r="M35" s="2093">
        <v>459910</v>
      </c>
      <c r="N35" s="2086"/>
      <c r="O35" s="2093" t="s">
        <v>1159</v>
      </c>
      <c r="P35" s="2090" t="s">
        <v>2129</v>
      </c>
      <c r="Q35" s="2093">
        <f>K35+M35+O35</f>
        <v>459910</v>
      </c>
      <c r="R35" s="2086"/>
      <c r="S35" s="2089" t="s">
        <v>2127</v>
      </c>
      <c r="T35" s="2061"/>
    </row>
    <row r="36" spans="1:20" ht="14.25" customHeight="1" x14ac:dyDescent="0.2">
      <c r="A36" s="2084"/>
      <c r="B36" s="2072"/>
      <c r="C36" s="2085" t="s">
        <v>2257</v>
      </c>
      <c r="D36" s="2066"/>
      <c r="E36" s="2067"/>
      <c r="F36" s="2067"/>
      <c r="G36" s="2091">
        <f>SUM(G34:G35)</f>
        <v>1444</v>
      </c>
      <c r="H36" s="2086"/>
      <c r="I36" s="2091">
        <f>SUM(I34:I35)</f>
        <v>337028</v>
      </c>
      <c r="J36" s="2087"/>
      <c r="K36" s="2091">
        <f>SUM(K34:K35)</f>
        <v>37106</v>
      </c>
      <c r="L36" s="2086"/>
      <c r="M36" s="2091">
        <f>SUM(M34:M35)</f>
        <v>471392</v>
      </c>
      <c r="N36" s="2086"/>
      <c r="O36" s="2091">
        <f>SUM(O34:O35)</f>
        <v>0</v>
      </c>
      <c r="P36" s="2087"/>
      <c r="Q36" s="2092">
        <f>SUM(Q34:Q35)</f>
        <v>508498</v>
      </c>
      <c r="R36" s="2086"/>
      <c r="S36" s="2089"/>
      <c r="T36" s="2061"/>
    </row>
    <row r="37" spans="1:20" ht="15" hidden="1" x14ac:dyDescent="0.2">
      <c r="A37" s="2084"/>
      <c r="B37" s="2072" t="s">
        <v>2139</v>
      </c>
      <c r="C37" s="2085">
        <v>10.579000000000001</v>
      </c>
      <c r="D37" s="2066"/>
      <c r="E37" s="2067" t="s">
        <v>2140</v>
      </c>
      <c r="F37" s="2067"/>
      <c r="G37" s="2095">
        <v>0</v>
      </c>
      <c r="H37" s="2096"/>
      <c r="I37" s="2095">
        <v>0</v>
      </c>
      <c r="J37" s="2096"/>
      <c r="K37" s="2095">
        <v>0</v>
      </c>
      <c r="L37" s="2096"/>
      <c r="M37" s="2095">
        <v>0</v>
      </c>
      <c r="N37" s="2096"/>
      <c r="O37" s="2096" t="s">
        <v>1159</v>
      </c>
      <c r="P37" s="2096"/>
      <c r="Q37" s="2095">
        <f>K37+M37+O37</f>
        <v>0</v>
      </c>
      <c r="R37" s="2086"/>
      <c r="S37" s="2089" t="s">
        <v>2127</v>
      </c>
      <c r="T37" s="2061"/>
    </row>
    <row r="38" spans="1:20" ht="15" hidden="1" x14ac:dyDescent="0.2">
      <c r="A38" s="2084"/>
      <c r="B38" s="2072"/>
      <c r="C38" s="2085"/>
      <c r="D38" s="2066"/>
      <c r="E38" s="2067"/>
      <c r="F38" s="2067"/>
      <c r="G38" s="2086"/>
      <c r="H38" s="2086"/>
      <c r="I38" s="2086"/>
      <c r="J38" s="2097"/>
      <c r="K38" s="2086"/>
      <c r="L38" s="2086"/>
      <c r="M38" s="2086"/>
      <c r="N38" s="2097"/>
      <c r="O38" s="2086"/>
      <c r="P38" s="2086"/>
      <c r="Q38" s="2088"/>
      <c r="R38" s="2086"/>
      <c r="S38" s="2089"/>
      <c r="T38" s="2061"/>
    </row>
    <row r="39" spans="1:20" ht="15" hidden="1" x14ac:dyDescent="0.2">
      <c r="A39" s="2084" t="s">
        <v>2141</v>
      </c>
      <c r="B39" s="2072" t="s">
        <v>2142</v>
      </c>
      <c r="C39" s="2085">
        <v>10.582000000000001</v>
      </c>
      <c r="D39" s="2066"/>
      <c r="E39" s="2067" t="s">
        <v>2143</v>
      </c>
      <c r="F39" s="2067"/>
      <c r="G39" s="2098">
        <v>0</v>
      </c>
      <c r="H39" s="2086"/>
      <c r="I39" s="2098">
        <v>0</v>
      </c>
      <c r="J39" s="2097"/>
      <c r="K39" s="2098">
        <v>0</v>
      </c>
      <c r="L39" s="2097"/>
      <c r="M39" s="2098">
        <v>0</v>
      </c>
      <c r="N39" s="2097"/>
      <c r="O39" s="2098">
        <v>0</v>
      </c>
      <c r="P39" s="2086"/>
      <c r="Q39" s="2099">
        <f>K39+M39+O39</f>
        <v>0</v>
      </c>
      <c r="R39" s="2086"/>
      <c r="S39" s="2089" t="s">
        <v>2127</v>
      </c>
      <c r="T39" s="2061"/>
    </row>
    <row r="40" spans="1:20" ht="15" hidden="1" x14ac:dyDescent="0.2">
      <c r="A40" s="2084" t="s">
        <v>2141</v>
      </c>
      <c r="B40" s="2072" t="s">
        <v>2142</v>
      </c>
      <c r="C40" s="2085">
        <v>10.582000000000001</v>
      </c>
      <c r="D40" s="2066"/>
      <c r="E40" s="2067" t="s">
        <v>2144</v>
      </c>
      <c r="F40" s="2067"/>
      <c r="G40" s="2098">
        <v>0</v>
      </c>
      <c r="H40" s="2086"/>
      <c r="I40" s="2098">
        <v>0</v>
      </c>
      <c r="J40" s="2097"/>
      <c r="K40" s="2098">
        <v>0</v>
      </c>
      <c r="L40" s="2097"/>
      <c r="M40" s="2098">
        <v>0</v>
      </c>
      <c r="N40" s="2097"/>
      <c r="O40" s="2098">
        <v>0</v>
      </c>
      <c r="P40" s="2086">
        <v>-2</v>
      </c>
      <c r="Q40" s="2099">
        <f>K40+M40+O40</f>
        <v>0</v>
      </c>
      <c r="R40" s="2086"/>
      <c r="S40" s="2089" t="s">
        <v>2127</v>
      </c>
      <c r="T40" s="2061"/>
    </row>
    <row r="41" spans="1:20" ht="7.5" customHeight="1" x14ac:dyDescent="0.2">
      <c r="A41" s="2084"/>
      <c r="B41" s="2066"/>
      <c r="C41" s="2066"/>
      <c r="D41" s="2066"/>
      <c r="E41" s="2066"/>
      <c r="F41" s="2067"/>
      <c r="G41" s="2086"/>
      <c r="H41" s="2086"/>
      <c r="I41" s="2086"/>
      <c r="J41" s="2087"/>
      <c r="K41" s="2086"/>
      <c r="L41" s="2086"/>
      <c r="M41" s="2086"/>
      <c r="N41" s="2086"/>
      <c r="O41" s="2086"/>
      <c r="P41" s="2087"/>
      <c r="Q41" s="2086"/>
      <c r="R41" s="2086"/>
      <c r="S41" s="2086"/>
      <c r="T41" s="2061"/>
    </row>
    <row r="42" spans="1:20" ht="15.75" customHeight="1" x14ac:dyDescent="0.2">
      <c r="A42" s="2083" t="s">
        <v>2145</v>
      </c>
      <c r="B42" s="2066"/>
      <c r="C42" s="2066"/>
      <c r="D42" s="2066"/>
      <c r="E42" s="2066"/>
      <c r="F42" s="2067"/>
      <c r="G42" s="2093">
        <f>SUM(G28,G32,G36)</f>
        <v>773292</v>
      </c>
      <c r="H42" s="2096"/>
      <c r="I42" s="2093">
        <f>SUM(I28+I32+I36)</f>
        <v>1088885</v>
      </c>
      <c r="J42" s="2096"/>
      <c r="K42" s="2093">
        <f>SUM(K28+K32+K36)</f>
        <v>901919</v>
      </c>
      <c r="L42" s="2096"/>
      <c r="M42" s="2093">
        <f>SUM(M28+M32+M36)</f>
        <v>1324163</v>
      </c>
      <c r="N42" s="2096"/>
      <c r="O42" s="2095">
        <f>SUM(O30:O41)+O28</f>
        <v>0</v>
      </c>
      <c r="P42" s="2096"/>
      <c r="Q42" s="2093">
        <f>SUM(Q28+Q32+Q36)</f>
        <v>2226082</v>
      </c>
      <c r="R42" s="2086"/>
      <c r="S42" s="2086"/>
      <c r="T42" s="2061"/>
    </row>
    <row r="43" spans="1:20" ht="9" customHeight="1" x14ac:dyDescent="0.2">
      <c r="A43" s="2084"/>
      <c r="B43" s="2066"/>
      <c r="C43" s="2066"/>
      <c r="D43" s="2066"/>
      <c r="E43" s="2066"/>
      <c r="F43" s="2067"/>
      <c r="G43" s="2086"/>
      <c r="H43" s="2086"/>
      <c r="I43" s="2086"/>
      <c r="J43" s="2087"/>
      <c r="K43" s="2086"/>
      <c r="L43" s="2086"/>
      <c r="M43" s="2086"/>
      <c r="N43" s="2086"/>
      <c r="O43" s="2086"/>
      <c r="P43" s="2087"/>
      <c r="Q43" s="2086"/>
      <c r="R43" s="2086"/>
      <c r="S43" s="2086"/>
      <c r="T43" s="2061"/>
    </row>
    <row r="44" spans="1:20" ht="15" customHeight="1" x14ac:dyDescent="0.2">
      <c r="A44" s="2083" t="s">
        <v>2146</v>
      </c>
      <c r="B44" s="2066"/>
      <c r="C44" s="2066"/>
      <c r="D44" s="2066"/>
      <c r="E44" s="2066"/>
      <c r="F44" s="2067"/>
      <c r="G44" s="2086"/>
      <c r="H44" s="2086"/>
      <c r="I44" s="2086" t="s">
        <v>1159</v>
      </c>
      <c r="J44" s="2087"/>
      <c r="K44" s="2086"/>
      <c r="L44" s="2086"/>
      <c r="M44" s="2086"/>
      <c r="N44" s="2086"/>
      <c r="O44" s="2086"/>
      <c r="P44" s="2087"/>
      <c r="Q44" s="2086"/>
      <c r="R44" s="2086"/>
      <c r="S44" s="2086"/>
      <c r="T44" s="2061"/>
    </row>
    <row r="45" spans="1:20" ht="15" customHeight="1" x14ac:dyDescent="0.2">
      <c r="A45" s="2083" t="s">
        <v>2122</v>
      </c>
      <c r="B45" s="2066"/>
      <c r="C45" s="2066"/>
      <c r="D45" s="2066"/>
      <c r="E45" s="2066"/>
      <c r="F45" s="2067"/>
      <c r="G45" s="2086"/>
      <c r="H45" s="2086"/>
      <c r="I45" s="2086" t="s">
        <v>1159</v>
      </c>
      <c r="J45" s="2087"/>
      <c r="K45" s="2086"/>
      <c r="L45" s="2086"/>
      <c r="M45" s="2086"/>
      <c r="N45" s="2086"/>
      <c r="O45" s="2086"/>
      <c r="P45" s="2087"/>
      <c r="Q45" s="2086"/>
      <c r="R45" s="2086"/>
      <c r="S45" s="2086"/>
      <c r="T45" s="2061"/>
    </row>
    <row r="46" spans="1:20" ht="15" customHeight="1" x14ac:dyDescent="0.2">
      <c r="A46" s="2083" t="s">
        <v>2123</v>
      </c>
      <c r="B46" s="2066"/>
      <c r="C46" s="2066"/>
      <c r="D46" s="2066"/>
      <c r="E46" s="2066"/>
      <c r="F46" s="2067"/>
      <c r="G46" s="2086"/>
      <c r="H46" s="2086"/>
      <c r="I46" s="2086" t="s">
        <v>1159</v>
      </c>
      <c r="J46" s="2087"/>
      <c r="K46" s="2086"/>
      <c r="L46" s="2086"/>
      <c r="M46" s="2086"/>
      <c r="N46" s="2086"/>
      <c r="O46" s="2086"/>
      <c r="P46" s="2087"/>
      <c r="Q46" s="2086"/>
      <c r="R46" s="2086"/>
      <c r="S46" s="2086"/>
      <c r="T46" s="2061"/>
    </row>
    <row r="47" spans="1:20" ht="6.75" customHeight="1" x14ac:dyDescent="0.2">
      <c r="A47" s="2084"/>
      <c r="B47" s="2066"/>
      <c r="C47" s="2066"/>
      <c r="D47" s="2066"/>
      <c r="E47" s="2066"/>
      <c r="F47" s="2067"/>
      <c r="G47" s="2086"/>
      <c r="H47" s="2086"/>
      <c r="I47" s="2086"/>
      <c r="J47" s="2087"/>
      <c r="K47" s="2086"/>
      <c r="L47" s="2086"/>
      <c r="M47" s="2086"/>
      <c r="N47" s="2086"/>
      <c r="O47" s="2086" t="s">
        <v>1159</v>
      </c>
      <c r="P47" s="2087"/>
      <c r="Q47" s="2086"/>
      <c r="R47" s="2086"/>
      <c r="S47" s="2086"/>
      <c r="T47" s="2061"/>
    </row>
    <row r="48" spans="1:20" ht="15" customHeight="1" x14ac:dyDescent="0.2">
      <c r="A48" s="2084"/>
      <c r="B48" s="2066" t="s">
        <v>2147</v>
      </c>
      <c r="C48" s="2067" t="s">
        <v>2148</v>
      </c>
      <c r="D48" s="2066"/>
      <c r="E48" s="2067" t="s">
        <v>2149</v>
      </c>
      <c r="F48" s="2067"/>
      <c r="G48" s="2086">
        <v>7146</v>
      </c>
      <c r="H48" s="2087"/>
      <c r="I48" s="2086">
        <v>27048</v>
      </c>
      <c r="J48" s="2086"/>
      <c r="K48" s="2086">
        <v>24146</v>
      </c>
      <c r="L48" s="2086"/>
      <c r="M48" s="2086">
        <v>10048</v>
      </c>
      <c r="N48" s="2086"/>
      <c r="O48" s="2086"/>
      <c r="P48" s="2090"/>
      <c r="Q48" s="2088">
        <f>O48+M48+K48</f>
        <v>34194</v>
      </c>
      <c r="R48" s="2086"/>
      <c r="S48" s="2086">
        <v>34194</v>
      </c>
      <c r="T48" s="2061"/>
    </row>
    <row r="49" spans="1:20" ht="15" customHeight="1" x14ac:dyDescent="0.2">
      <c r="A49" s="2084"/>
      <c r="B49" s="2066" t="s">
        <v>2147</v>
      </c>
      <c r="C49" s="2067" t="s">
        <v>2148</v>
      </c>
      <c r="D49" s="2066"/>
      <c r="E49" s="2067" t="s">
        <v>2150</v>
      </c>
      <c r="F49" s="2067"/>
      <c r="G49" s="2086"/>
      <c r="H49" s="2087"/>
      <c r="I49" s="2086">
        <v>22357</v>
      </c>
      <c r="J49" s="2086"/>
      <c r="K49" s="2086"/>
      <c r="L49" s="2086"/>
      <c r="M49" s="2086">
        <v>35778</v>
      </c>
      <c r="N49" s="2086"/>
      <c r="O49" s="2086"/>
      <c r="P49" s="2090" t="s">
        <v>2129</v>
      </c>
      <c r="Q49" s="2088">
        <f>O49+M49+K49</f>
        <v>35778</v>
      </c>
      <c r="R49" s="2086"/>
      <c r="S49" s="2086">
        <v>35778</v>
      </c>
      <c r="T49" s="2061"/>
    </row>
    <row r="50" spans="1:20" ht="15" customHeight="1" x14ac:dyDescent="0.2">
      <c r="A50" s="2084"/>
      <c r="B50" s="2072"/>
      <c r="C50" s="2085" t="s">
        <v>2217</v>
      </c>
      <c r="D50" s="2066"/>
      <c r="E50" s="2067"/>
      <c r="F50" s="2067"/>
      <c r="G50" s="2091">
        <f>SUM(G48:G49)</f>
        <v>7146</v>
      </c>
      <c r="H50" s="2086"/>
      <c r="I50" s="2091">
        <f>SUM(I48:I49)</f>
        <v>49405</v>
      </c>
      <c r="J50" s="2087"/>
      <c r="K50" s="2091">
        <f>SUM(K48:K49)</f>
        <v>24146</v>
      </c>
      <c r="L50" s="2086"/>
      <c r="M50" s="2091">
        <f>SUM(M48:M49)</f>
        <v>45826</v>
      </c>
      <c r="N50" s="2086"/>
      <c r="O50" s="2091">
        <f>SUM(O48:O49)</f>
        <v>0</v>
      </c>
      <c r="P50" s="2087"/>
      <c r="Q50" s="2092">
        <v>1332783</v>
      </c>
      <c r="R50" s="2086"/>
      <c r="S50" s="2086"/>
      <c r="T50" s="2061"/>
    </row>
    <row r="51" spans="1:20" ht="6.75" customHeight="1" x14ac:dyDescent="0.2">
      <c r="A51" s="2084"/>
      <c r="B51" s="2066"/>
      <c r="C51" s="2066"/>
      <c r="D51" s="2066"/>
      <c r="E51" s="2066"/>
      <c r="F51" s="2067"/>
      <c r="G51" s="2086"/>
      <c r="H51" s="2086"/>
      <c r="I51" s="2086"/>
      <c r="J51" s="2087"/>
      <c r="K51" s="2086"/>
      <c r="L51" s="2086"/>
      <c r="M51" s="2086"/>
      <c r="N51" s="2086"/>
      <c r="O51" s="2086"/>
      <c r="P51" s="2087"/>
      <c r="Q51" s="2086"/>
      <c r="R51" s="2086"/>
      <c r="S51" s="2086"/>
      <c r="T51" s="2061"/>
    </row>
    <row r="52" spans="1:20" ht="15" customHeight="1" x14ac:dyDescent="0.2">
      <c r="A52" s="2084" t="s">
        <v>2258</v>
      </c>
      <c r="B52" s="2072" t="s">
        <v>912</v>
      </c>
      <c r="C52" s="2085" t="s">
        <v>2151</v>
      </c>
      <c r="D52" s="2066"/>
      <c r="E52" s="2078" t="s">
        <v>2152</v>
      </c>
      <c r="F52" s="2067"/>
      <c r="G52" s="2086">
        <v>372653</v>
      </c>
      <c r="H52" s="2087"/>
      <c r="I52" s="2086">
        <v>469215</v>
      </c>
      <c r="J52" s="2086"/>
      <c r="K52" s="2086">
        <v>445795</v>
      </c>
      <c r="L52" s="2086"/>
      <c r="M52" s="2086">
        <v>396073</v>
      </c>
      <c r="N52" s="2087"/>
      <c r="O52" s="2086"/>
      <c r="Q52" s="2088">
        <f>O52+M52+K52</f>
        <v>841868</v>
      </c>
      <c r="R52" s="2086"/>
      <c r="S52" s="2086">
        <v>858617</v>
      </c>
      <c r="T52" s="2061"/>
    </row>
    <row r="53" spans="1:20" ht="15" customHeight="1" x14ac:dyDescent="0.2">
      <c r="A53" s="2084" t="s">
        <v>2258</v>
      </c>
      <c r="B53" s="2072" t="s">
        <v>912</v>
      </c>
      <c r="C53" s="2085" t="s">
        <v>2151</v>
      </c>
      <c r="D53" s="2066"/>
      <c r="E53" s="2078" t="s">
        <v>2153</v>
      </c>
      <c r="G53" s="2086"/>
      <c r="H53" s="2086"/>
      <c r="I53" s="2086">
        <v>476469</v>
      </c>
      <c r="J53" s="2087"/>
      <c r="K53" s="2086"/>
      <c r="L53" s="2086"/>
      <c r="M53" s="2086">
        <v>767612</v>
      </c>
      <c r="N53" s="2086"/>
      <c r="O53" s="2086"/>
      <c r="P53" s="2087"/>
      <c r="Q53" s="2088">
        <f>O53+M53+K53</f>
        <v>767612</v>
      </c>
      <c r="R53" s="2086"/>
      <c r="S53" s="2086">
        <v>895373</v>
      </c>
      <c r="T53" s="2061"/>
    </row>
    <row r="54" spans="1:20" ht="7.15" customHeight="1" x14ac:dyDescent="0.2">
      <c r="A54" s="2084"/>
      <c r="B54" s="2072"/>
      <c r="C54" s="2085"/>
      <c r="D54" s="2066"/>
      <c r="E54" s="2078"/>
      <c r="F54" s="2067"/>
      <c r="G54" s="2086"/>
      <c r="H54" s="2086"/>
      <c r="I54" s="2086"/>
      <c r="J54" s="2087"/>
      <c r="K54" s="2086"/>
      <c r="L54" s="2086"/>
      <c r="M54" s="2086"/>
      <c r="N54" s="2086"/>
      <c r="O54" s="2086"/>
      <c r="P54" s="2087"/>
      <c r="Q54" s="2088"/>
      <c r="R54" s="2086"/>
      <c r="S54" s="2086"/>
      <c r="T54" s="2061"/>
    </row>
    <row r="55" spans="1:20" ht="15" customHeight="1" x14ac:dyDescent="0.2">
      <c r="A55" s="2084" t="s">
        <v>2258</v>
      </c>
      <c r="B55" s="2072" t="s">
        <v>2154</v>
      </c>
      <c r="C55" s="2085">
        <v>84.01</v>
      </c>
      <c r="D55" s="2066"/>
      <c r="E55" s="2078" t="s">
        <v>2155</v>
      </c>
      <c r="G55" s="2086">
        <v>10139</v>
      </c>
      <c r="H55" s="2087"/>
      <c r="I55" s="2086">
        <v>34325</v>
      </c>
      <c r="J55" s="2086"/>
      <c r="K55" s="2086">
        <v>38272</v>
      </c>
      <c r="L55" s="2086"/>
      <c r="M55" s="2086">
        <v>6192</v>
      </c>
      <c r="N55" s="2086"/>
      <c r="O55" s="2086"/>
      <c r="P55" s="2090"/>
      <c r="Q55" s="2088">
        <f>O55+M55+K55</f>
        <v>44464</v>
      </c>
      <c r="R55" s="2086"/>
      <c r="S55" s="2086">
        <v>44464</v>
      </c>
      <c r="T55" s="2061"/>
    </row>
    <row r="56" spans="1:20" ht="15" customHeight="1" x14ac:dyDescent="0.2">
      <c r="A56" s="2084" t="s">
        <v>2258</v>
      </c>
      <c r="B56" s="2072" t="s">
        <v>2154</v>
      </c>
      <c r="C56" s="2085">
        <v>84.01</v>
      </c>
      <c r="D56" s="2066"/>
      <c r="E56" s="2078" t="s">
        <v>2156</v>
      </c>
      <c r="G56" s="2086"/>
      <c r="H56" s="2087"/>
      <c r="I56" s="2086">
        <v>26874</v>
      </c>
      <c r="J56" s="2086"/>
      <c r="K56" s="2086"/>
      <c r="L56" s="2086"/>
      <c r="M56" s="2086">
        <v>43648</v>
      </c>
      <c r="N56" s="2086"/>
      <c r="O56" s="2086"/>
      <c r="P56" s="2090" t="s">
        <v>2129</v>
      </c>
      <c r="Q56" s="2088">
        <f>O56+M56+K56</f>
        <v>43648</v>
      </c>
      <c r="R56" s="2086"/>
      <c r="S56" s="2086">
        <v>60000</v>
      </c>
      <c r="T56" s="2061"/>
    </row>
    <row r="57" spans="1:20" ht="15" customHeight="1" x14ac:dyDescent="0.2">
      <c r="A57" s="2084"/>
      <c r="B57" s="2072"/>
      <c r="C57" s="2085" t="s">
        <v>2157</v>
      </c>
      <c r="D57" s="2066"/>
      <c r="E57" s="2078"/>
      <c r="G57" s="2091">
        <f>SUM(G52:G56)</f>
        <v>382792</v>
      </c>
      <c r="H57" s="2087"/>
      <c r="I57" s="2091">
        <f>SUM(I52:I56)</f>
        <v>1006883</v>
      </c>
      <c r="J57" s="2086"/>
      <c r="K57" s="2091">
        <f>SUM(K52:K56)</f>
        <v>484067</v>
      </c>
      <c r="L57" s="2086"/>
      <c r="M57" s="2091">
        <f>SUM(M52:M56)</f>
        <v>1213525</v>
      </c>
      <c r="N57" s="2086"/>
      <c r="O57" s="2091">
        <f>SUM(O52:O56)</f>
        <v>0</v>
      </c>
      <c r="P57" s="2090"/>
      <c r="Q57" s="2092">
        <f>SUM(Q52:Q56)</f>
        <v>1697592</v>
      </c>
      <c r="R57" s="2086"/>
      <c r="S57" s="2086"/>
      <c r="T57" s="2061"/>
    </row>
    <row r="58" spans="1:20" ht="7.5" customHeight="1" x14ac:dyDescent="0.2">
      <c r="A58" s="2084"/>
      <c r="B58" s="2072"/>
      <c r="C58" s="2085"/>
      <c r="D58" s="2066"/>
      <c r="E58" s="2078"/>
      <c r="F58" s="2067"/>
      <c r="G58" s="2086"/>
      <c r="H58" s="2086"/>
      <c r="I58" s="2086"/>
      <c r="J58" s="2087"/>
      <c r="K58" s="2086"/>
      <c r="L58" s="2086"/>
      <c r="M58" s="2086"/>
      <c r="N58" s="2086"/>
      <c r="O58" s="2086"/>
      <c r="P58" s="2087"/>
      <c r="Q58" s="2088"/>
      <c r="R58" s="2086"/>
      <c r="S58" s="2086"/>
      <c r="T58" s="2061"/>
    </row>
    <row r="59" spans="1:20" ht="15" customHeight="1" x14ac:dyDescent="0.25">
      <c r="A59" s="2084" t="s">
        <v>2258</v>
      </c>
      <c r="B59" s="2072" t="s">
        <v>2158</v>
      </c>
      <c r="C59" s="2085">
        <v>84.173000000000002</v>
      </c>
      <c r="D59" s="2101"/>
      <c r="E59" s="2067" t="s">
        <v>2159</v>
      </c>
      <c r="F59" s="2067"/>
      <c r="G59" s="2086"/>
      <c r="H59" s="2086"/>
      <c r="I59" s="2086">
        <v>23388</v>
      </c>
      <c r="J59" s="2087"/>
      <c r="K59" s="2086"/>
      <c r="L59" s="2086"/>
      <c r="M59" s="2086">
        <v>23388</v>
      </c>
      <c r="N59" s="2086"/>
      <c r="O59" s="2086"/>
      <c r="P59" s="2087"/>
      <c r="Q59" s="2088">
        <f>O59+M59+K59</f>
        <v>23388</v>
      </c>
      <c r="R59" s="2086"/>
      <c r="S59" s="2086">
        <v>23388</v>
      </c>
      <c r="T59" s="2061"/>
    </row>
    <row r="60" spans="1:20" ht="15" hidden="1" customHeight="1" x14ac:dyDescent="0.25">
      <c r="A60" s="2084"/>
      <c r="B60" s="2102" t="s">
        <v>2158</v>
      </c>
      <c r="C60" s="2103">
        <v>84.173000000000002</v>
      </c>
      <c r="D60" s="2101"/>
      <c r="E60" s="2104" t="s">
        <v>2160</v>
      </c>
      <c r="F60" s="2067"/>
      <c r="G60" s="2086"/>
      <c r="H60" s="2086"/>
      <c r="I60" s="2086"/>
      <c r="J60" s="2087"/>
      <c r="K60" s="2086"/>
      <c r="L60" s="2086"/>
      <c r="M60" s="2086"/>
      <c r="N60" s="2086"/>
      <c r="O60" s="2086"/>
      <c r="P60" s="2087"/>
      <c r="Q60" s="2088">
        <f>O60+M60+K60</f>
        <v>0</v>
      </c>
      <c r="R60" s="2086"/>
      <c r="S60" s="2086"/>
      <c r="T60" s="2061"/>
    </row>
    <row r="61" spans="1:20" ht="15" customHeight="1" x14ac:dyDescent="0.2">
      <c r="A61" s="2084"/>
      <c r="B61" s="2072"/>
      <c r="C61" s="2085"/>
      <c r="D61" s="2066"/>
      <c r="E61" s="2078"/>
      <c r="F61" s="2067"/>
      <c r="G61" s="2086"/>
      <c r="H61" s="2086"/>
      <c r="I61" s="2086"/>
      <c r="J61" s="2087"/>
      <c r="K61" s="2086"/>
      <c r="L61" s="2086"/>
      <c r="M61" s="2086"/>
      <c r="N61" s="2086"/>
      <c r="O61" s="2086"/>
      <c r="P61" s="2087"/>
      <c r="Q61" s="2088"/>
      <c r="R61" s="2086"/>
      <c r="S61" s="2086"/>
      <c r="T61" s="2061"/>
    </row>
    <row r="62" spans="1:20" ht="15" customHeight="1" x14ac:dyDescent="0.2">
      <c r="A62" s="2084" t="s">
        <v>2258</v>
      </c>
      <c r="B62" s="2072" t="s">
        <v>2161</v>
      </c>
      <c r="C62" s="2085">
        <v>84.027000000000001</v>
      </c>
      <c r="D62" s="2069"/>
      <c r="E62" s="2067" t="s">
        <v>2162</v>
      </c>
      <c r="F62" s="2067"/>
      <c r="G62" s="2086"/>
      <c r="H62" s="2086"/>
      <c r="I62" s="2086">
        <v>527625</v>
      </c>
      <c r="J62" s="2087"/>
      <c r="K62" s="2086"/>
      <c r="L62" s="2086"/>
      <c r="M62" s="2086">
        <v>527625</v>
      </c>
      <c r="N62" s="2086"/>
      <c r="O62" s="2086"/>
      <c r="P62" s="2087"/>
      <c r="Q62" s="2088">
        <f>O62+M62+K62</f>
        <v>527625</v>
      </c>
      <c r="R62" s="2086"/>
      <c r="S62" s="2086">
        <v>527625</v>
      </c>
      <c r="T62" s="2061"/>
    </row>
    <row r="63" spans="1:20" ht="15" hidden="1" customHeight="1" x14ac:dyDescent="0.25">
      <c r="A63" s="2084"/>
      <c r="B63" s="2105" t="s">
        <v>2161</v>
      </c>
      <c r="C63" s="2103">
        <v>84.027000000000001</v>
      </c>
      <c r="D63" s="2069"/>
      <c r="E63" s="2106" t="s">
        <v>2163</v>
      </c>
      <c r="F63" s="2067"/>
      <c r="G63" s="2086"/>
      <c r="H63" s="2086"/>
      <c r="I63" s="2086"/>
      <c r="J63" s="2087"/>
      <c r="K63" s="2086"/>
      <c r="L63" s="2086"/>
      <c r="M63" s="2086"/>
      <c r="N63" s="2086"/>
      <c r="O63" s="2086"/>
      <c r="P63" s="2087"/>
      <c r="Q63" s="2088">
        <f>O63+M63+K63</f>
        <v>0</v>
      </c>
      <c r="R63" s="2086"/>
      <c r="S63" s="2086"/>
      <c r="T63" s="2061"/>
    </row>
    <row r="64" spans="1:20" ht="6.75" customHeight="1" x14ac:dyDescent="0.2">
      <c r="A64" s="2084"/>
      <c r="B64" s="2072"/>
      <c r="C64" s="2085"/>
      <c r="D64" s="2066"/>
      <c r="E64" s="2078"/>
      <c r="F64" s="2067"/>
      <c r="G64" s="2086"/>
      <c r="H64" s="2086"/>
      <c r="I64" s="2086"/>
      <c r="J64" s="2087"/>
      <c r="K64" s="2086"/>
      <c r="L64" s="2086"/>
      <c r="M64" s="2086"/>
      <c r="N64" s="2086"/>
      <c r="O64" s="2086"/>
      <c r="P64" s="2087"/>
      <c r="Q64" s="2088"/>
      <c r="R64" s="2086"/>
      <c r="S64" s="2086"/>
      <c r="T64" s="2061"/>
    </row>
    <row r="65" spans="1:20" ht="15" customHeight="1" x14ac:dyDescent="0.2">
      <c r="A65" s="2084" t="s">
        <v>2258</v>
      </c>
      <c r="B65" s="2072" t="s">
        <v>2164</v>
      </c>
      <c r="C65" s="2085">
        <v>84.027000000000001</v>
      </c>
      <c r="D65" s="2066"/>
      <c r="E65" s="2067" t="s">
        <v>2165</v>
      </c>
      <c r="F65" s="2067"/>
      <c r="G65" s="2086">
        <v>418108</v>
      </c>
      <c r="H65" s="2087"/>
      <c r="I65" s="2086">
        <v>271128</v>
      </c>
      <c r="J65" s="2086"/>
      <c r="K65" s="2107">
        <v>569509</v>
      </c>
      <c r="L65" s="2086"/>
      <c r="M65" s="2086">
        <v>119727</v>
      </c>
      <c r="N65" s="2086"/>
      <c r="O65" s="2086"/>
      <c r="P65" s="2087"/>
      <c r="Q65" s="2107">
        <f>O65+M65+K65</f>
        <v>689236</v>
      </c>
      <c r="R65" s="2086"/>
      <c r="S65" s="2089" t="s">
        <v>2127</v>
      </c>
      <c r="T65" s="2061"/>
    </row>
    <row r="66" spans="1:20" ht="15" customHeight="1" x14ac:dyDescent="0.2">
      <c r="A66" s="2084" t="s">
        <v>2258</v>
      </c>
      <c r="B66" s="2072" t="s">
        <v>2164</v>
      </c>
      <c r="C66" s="2085">
        <v>84.027000000000001</v>
      </c>
      <c r="D66" s="2066"/>
      <c r="E66" s="2067" t="s">
        <v>2166</v>
      </c>
      <c r="F66" s="2067"/>
      <c r="G66" s="2086"/>
      <c r="H66" s="2086"/>
      <c r="I66" s="2086">
        <v>324496</v>
      </c>
      <c r="J66" s="2087"/>
      <c r="K66" s="2086"/>
      <c r="L66" s="2086"/>
      <c r="M66" s="2143">
        <v>701596</v>
      </c>
      <c r="N66" s="2086"/>
      <c r="O66" s="2086"/>
      <c r="P66" s="2090" t="s">
        <v>2129</v>
      </c>
      <c r="Q66" s="2107">
        <f>O66+M66+K66</f>
        <v>701596</v>
      </c>
      <c r="R66" s="2086"/>
      <c r="S66" s="2089" t="s">
        <v>2127</v>
      </c>
      <c r="T66" s="2061"/>
    </row>
    <row r="67" spans="1:20" x14ac:dyDescent="0.2">
      <c r="A67" s="2084"/>
      <c r="B67" s="2072"/>
      <c r="C67" s="2085" t="s">
        <v>2167</v>
      </c>
      <c r="D67" s="2066"/>
      <c r="E67" s="2067"/>
      <c r="F67" s="2067"/>
      <c r="G67" s="2091">
        <f>SUM(G62:G66)</f>
        <v>418108</v>
      </c>
      <c r="H67" s="2086"/>
      <c r="I67" s="2091">
        <f>SUM(I62:I66)</f>
        <v>1123249</v>
      </c>
      <c r="J67" s="2087"/>
      <c r="K67" s="2091">
        <f>SUM(K62:K66)</f>
        <v>569509</v>
      </c>
      <c r="L67" s="2086"/>
      <c r="M67" s="2108">
        <f>SUM(M62:M66)</f>
        <v>1348948</v>
      </c>
      <c r="N67" s="2086"/>
      <c r="O67" s="2091">
        <f>SUM(O62:O66)</f>
        <v>0</v>
      </c>
      <c r="P67" s="2090"/>
      <c r="Q67" s="2108">
        <f>SUM(Q62:Q66)</f>
        <v>1918457</v>
      </c>
      <c r="R67" s="2086"/>
      <c r="S67" s="2089"/>
      <c r="T67" s="2061"/>
    </row>
    <row r="68" spans="1:20" ht="7.5" customHeight="1" x14ac:dyDescent="0.2">
      <c r="A68" s="2084"/>
      <c r="B68" s="2072"/>
      <c r="C68" s="2085"/>
      <c r="D68" s="2066"/>
      <c r="E68" s="2067"/>
      <c r="F68" s="2067"/>
      <c r="G68" s="2144"/>
      <c r="H68" s="2086"/>
      <c r="I68" s="2144"/>
      <c r="J68" s="2087"/>
      <c r="K68" s="2144"/>
      <c r="L68" s="2086"/>
      <c r="M68" s="2145"/>
      <c r="N68" s="2086"/>
      <c r="O68" s="2144"/>
      <c r="P68" s="2090"/>
      <c r="Q68" s="2145"/>
      <c r="R68" s="2086"/>
      <c r="S68" s="2089"/>
      <c r="T68" s="2061"/>
    </row>
    <row r="69" spans="1:20" ht="15" x14ac:dyDescent="0.2">
      <c r="A69" s="2083"/>
      <c r="B69" s="2066"/>
      <c r="C69" s="2067" t="s">
        <v>2218</v>
      </c>
      <c r="D69" s="2066"/>
      <c r="E69" s="2066"/>
      <c r="F69" s="2067"/>
      <c r="G69" s="2093">
        <f>SUM(G59:G66)</f>
        <v>418108</v>
      </c>
      <c r="H69" s="2096"/>
      <c r="I69" s="2093">
        <f>SUM(I59:I66)</f>
        <v>1146637</v>
      </c>
      <c r="J69" s="2096"/>
      <c r="K69" s="2093">
        <f>SUM(K59:K66)</f>
        <v>569509</v>
      </c>
      <c r="L69" s="2096"/>
      <c r="M69" s="2093">
        <f>SUM(M59:M66)</f>
        <v>1372336</v>
      </c>
      <c r="N69" s="2096"/>
      <c r="O69" s="2095"/>
      <c r="P69" s="2096"/>
      <c r="Q69" s="2093">
        <f>SUM(Q59:Q66)</f>
        <v>1941845</v>
      </c>
      <c r="R69" s="2086"/>
      <c r="S69" s="2089"/>
      <c r="T69" s="2061"/>
    </row>
    <row r="70" spans="1:20" x14ac:dyDescent="0.2">
      <c r="A70" s="2084"/>
      <c r="B70" s="2072"/>
      <c r="C70" s="2085"/>
      <c r="D70" s="2066"/>
      <c r="E70" s="2067"/>
      <c r="F70" s="2067"/>
      <c r="G70" s="2086"/>
      <c r="H70" s="2086"/>
      <c r="I70" s="2086"/>
      <c r="J70" s="2087"/>
      <c r="K70" s="2086"/>
      <c r="L70" s="2086"/>
      <c r="M70" s="2107"/>
      <c r="N70" s="2086"/>
      <c r="O70" s="2086"/>
      <c r="P70" s="2087"/>
      <c r="Q70" s="2107"/>
      <c r="R70" s="2086"/>
      <c r="S70" s="2089"/>
      <c r="T70" s="2061"/>
    </row>
    <row r="71" spans="1:20" hidden="1" x14ac:dyDescent="0.2">
      <c r="A71" s="2084"/>
      <c r="B71" s="2072" t="s">
        <v>2164</v>
      </c>
      <c r="C71" s="2085">
        <v>84.027000000000001</v>
      </c>
      <c r="D71" s="2066"/>
      <c r="E71" s="2067" t="s">
        <v>2168</v>
      </c>
      <c r="F71" s="2067"/>
      <c r="G71" s="2086"/>
      <c r="H71" s="2086"/>
      <c r="I71" s="2086"/>
      <c r="J71" s="2109"/>
      <c r="K71" s="2110"/>
      <c r="L71" s="2086"/>
      <c r="M71" s="2107"/>
      <c r="N71" s="2086"/>
      <c r="O71" s="2086"/>
      <c r="P71" s="2087"/>
      <c r="Q71" s="2107">
        <f>O71+M71+K71</f>
        <v>0</v>
      </c>
      <c r="R71" s="2086"/>
      <c r="S71" s="2089" t="s">
        <v>2127</v>
      </c>
      <c r="T71" s="2061"/>
    </row>
    <row r="72" spans="1:20" hidden="1" x14ac:dyDescent="0.2">
      <c r="A72" s="2084"/>
      <c r="B72" s="2072" t="s">
        <v>2164</v>
      </c>
      <c r="C72" s="2085">
        <v>84.027000000000001</v>
      </c>
      <c r="D72" s="2066"/>
      <c r="E72" s="2067" t="s">
        <v>2169</v>
      </c>
      <c r="F72" s="2067"/>
      <c r="G72" s="2086"/>
      <c r="H72" s="2086"/>
      <c r="I72" s="2086"/>
      <c r="J72" s="2087"/>
      <c r="K72" s="2086"/>
      <c r="L72" s="2086"/>
      <c r="M72" s="2111"/>
      <c r="N72" s="2086"/>
      <c r="O72" s="2086"/>
      <c r="P72" s="2087"/>
      <c r="Q72" s="2107">
        <f>O72+M72+K72</f>
        <v>0</v>
      </c>
      <c r="R72" s="2086"/>
      <c r="S72" s="2089" t="s">
        <v>2127</v>
      </c>
      <c r="T72" s="2061"/>
    </row>
    <row r="73" spans="1:20" ht="15" customHeight="1" x14ac:dyDescent="0.2">
      <c r="A73" s="2084"/>
      <c r="B73" s="2072"/>
      <c r="C73" s="2085"/>
      <c r="D73" s="2066"/>
      <c r="E73" s="2067"/>
      <c r="F73" s="2067"/>
      <c r="G73" s="2086"/>
      <c r="H73" s="2086"/>
      <c r="I73" s="2086"/>
      <c r="J73" s="2087"/>
      <c r="K73" s="2086"/>
      <c r="L73" s="2086"/>
      <c r="M73" s="2086"/>
      <c r="N73" s="2086"/>
      <c r="O73" s="2086"/>
      <c r="P73" s="2087"/>
      <c r="Q73" s="2088"/>
      <c r="R73" s="2086"/>
      <c r="S73" s="2086"/>
      <c r="T73" s="2061"/>
    </row>
    <row r="74" spans="1:20" ht="15" customHeight="1" x14ac:dyDescent="0.2">
      <c r="A74" s="2084"/>
      <c r="B74" s="2072" t="s">
        <v>2170</v>
      </c>
      <c r="C74" s="2085">
        <v>84.367000000000004</v>
      </c>
      <c r="D74" s="2066"/>
      <c r="E74" s="2067" t="s">
        <v>2171</v>
      </c>
      <c r="F74" s="2067"/>
      <c r="G74" s="2086">
        <v>55755</v>
      </c>
      <c r="H74" s="2087"/>
      <c r="I74" s="2086">
        <v>53883</v>
      </c>
      <c r="J74" s="2086"/>
      <c r="K74" s="2086">
        <v>102615</v>
      </c>
      <c r="L74" s="2086"/>
      <c r="M74" s="2086">
        <v>7023</v>
      </c>
      <c r="N74" s="2086"/>
      <c r="O74" s="2086"/>
      <c r="P74" s="2087"/>
      <c r="Q74" s="2088">
        <f>O74+M74+K74</f>
        <v>109638</v>
      </c>
      <c r="R74" s="2086"/>
      <c r="S74" s="2086">
        <v>120217</v>
      </c>
    </row>
    <row r="75" spans="1:20" ht="15" customHeight="1" x14ac:dyDescent="0.2">
      <c r="A75" s="2084"/>
      <c r="B75" s="2072" t="s">
        <v>2170</v>
      </c>
      <c r="C75" s="2085">
        <v>84.367000000000004</v>
      </c>
      <c r="D75" s="2066"/>
      <c r="E75" s="2067" t="s">
        <v>2172</v>
      </c>
      <c r="F75" s="2067"/>
      <c r="G75" s="2086"/>
      <c r="H75" s="2086"/>
      <c r="I75" s="2086">
        <v>86019</v>
      </c>
      <c r="J75" s="2087"/>
      <c r="K75" s="2086"/>
      <c r="L75" s="2086"/>
      <c r="M75" s="2086">
        <v>87479</v>
      </c>
      <c r="N75" s="2086"/>
      <c r="O75" s="2086"/>
      <c r="P75" s="2087"/>
      <c r="Q75" s="2088">
        <f>O75+M75+K75</f>
        <v>87479</v>
      </c>
      <c r="R75" s="2086"/>
      <c r="S75" s="2086">
        <v>116216</v>
      </c>
    </row>
    <row r="76" spans="1:20" ht="15" customHeight="1" x14ac:dyDescent="0.2">
      <c r="A76" s="2084"/>
      <c r="B76" s="2072"/>
      <c r="C76" s="2085" t="s">
        <v>2219</v>
      </c>
      <c r="D76" s="2066"/>
      <c r="E76" s="2078"/>
      <c r="G76" s="2091">
        <f>SUM(G74:G75)</f>
        <v>55755</v>
      </c>
      <c r="H76" s="2087"/>
      <c r="I76" s="2091">
        <f>SUM(I74:I75)</f>
        <v>139902</v>
      </c>
      <c r="J76" s="2086"/>
      <c r="K76" s="2091">
        <f>SUM(K74:K75)</f>
        <v>102615</v>
      </c>
      <c r="L76" s="2086"/>
      <c r="M76" s="2091">
        <f>SUM(M74:M75)</f>
        <v>94502</v>
      </c>
      <c r="N76" s="2086"/>
      <c r="O76" s="2091"/>
      <c r="P76" s="2090"/>
      <c r="Q76" s="2092">
        <f>SUM(Q74:Q75)</f>
        <v>197117</v>
      </c>
      <c r="R76" s="2086"/>
      <c r="S76" s="2086"/>
      <c r="T76" s="2061"/>
    </row>
    <row r="77" spans="1:20" ht="7.5" customHeight="1" x14ac:dyDescent="0.2">
      <c r="A77" s="2084"/>
      <c r="B77" s="2072"/>
      <c r="C77" s="2085"/>
      <c r="D77" s="2066"/>
      <c r="E77" s="2078"/>
      <c r="F77" s="2067"/>
      <c r="G77" s="2086"/>
      <c r="H77" s="2086"/>
      <c r="I77" s="2086"/>
      <c r="J77" s="2087"/>
      <c r="K77" s="2086"/>
      <c r="L77" s="2086"/>
      <c r="M77" s="2086"/>
      <c r="N77" s="2086"/>
      <c r="O77" s="2086"/>
      <c r="P77" s="2087"/>
      <c r="Q77" s="2088"/>
      <c r="R77" s="2086"/>
      <c r="S77" s="2086"/>
      <c r="T77" s="2061"/>
    </row>
    <row r="78" spans="1:20" ht="15" customHeight="1" x14ac:dyDescent="0.2">
      <c r="A78" s="2084"/>
      <c r="B78" s="2072" t="s">
        <v>2082</v>
      </c>
      <c r="C78" s="2085" t="s">
        <v>2173</v>
      </c>
      <c r="D78" s="2066"/>
      <c r="E78" s="2067" t="s">
        <v>2081</v>
      </c>
      <c r="F78" s="2067"/>
      <c r="G78" s="2086"/>
      <c r="H78" s="2086"/>
      <c r="I78" s="2086">
        <v>680768</v>
      </c>
      <c r="J78" s="2087"/>
      <c r="K78" s="2086"/>
      <c r="L78" s="2086"/>
      <c r="M78" s="2086">
        <v>680768</v>
      </c>
      <c r="N78" s="2086"/>
      <c r="O78" s="2086"/>
      <c r="P78" s="2087"/>
      <c r="Q78" s="2088">
        <f>O78+M78+K78</f>
        <v>680768</v>
      </c>
      <c r="R78" s="2086"/>
      <c r="S78" s="2086">
        <v>680768</v>
      </c>
      <c r="T78" s="2061"/>
    </row>
    <row r="79" spans="1:20" ht="7.5" customHeight="1" x14ac:dyDescent="0.2">
      <c r="A79" s="2084"/>
      <c r="B79" s="2072"/>
      <c r="C79" s="2085"/>
      <c r="D79" s="2066"/>
      <c r="E79" s="2067"/>
      <c r="F79" s="2067"/>
      <c r="G79" s="2086"/>
      <c r="H79" s="2086"/>
      <c r="I79" s="2086"/>
      <c r="J79" s="2087"/>
      <c r="K79" s="2086"/>
      <c r="L79" s="2086"/>
      <c r="M79" s="2086"/>
      <c r="N79" s="2086"/>
      <c r="O79" s="2086"/>
      <c r="P79" s="2087"/>
      <c r="Q79" s="2088"/>
      <c r="R79" s="2086"/>
      <c r="S79" s="2086"/>
      <c r="T79" s="2061"/>
    </row>
    <row r="80" spans="1:20" ht="15" customHeight="1" x14ac:dyDescent="0.2">
      <c r="A80" s="2084"/>
      <c r="B80" s="2072" t="s">
        <v>2174</v>
      </c>
      <c r="C80" s="2085">
        <v>84.364999999999995</v>
      </c>
      <c r="D80" s="2066"/>
      <c r="E80" s="2067" t="s">
        <v>2175</v>
      </c>
      <c r="F80" s="2067"/>
      <c r="G80" s="2086">
        <v>13800</v>
      </c>
      <c r="H80" s="2094"/>
      <c r="I80" s="2086">
        <v>0</v>
      </c>
      <c r="J80" s="2087"/>
      <c r="K80" s="2086">
        <v>13800</v>
      </c>
      <c r="L80" s="2086"/>
      <c r="M80" s="2086">
        <v>0</v>
      </c>
      <c r="N80" s="2086"/>
      <c r="O80" s="2086"/>
      <c r="Q80" s="2088">
        <f>O80+M80+K80</f>
        <v>13800</v>
      </c>
      <c r="R80" s="2086"/>
      <c r="S80" s="2086">
        <v>13800</v>
      </c>
      <c r="T80" s="2061"/>
    </row>
    <row r="81" spans="1:20" ht="15" customHeight="1" x14ac:dyDescent="0.2">
      <c r="A81" s="2084"/>
      <c r="B81" s="2072" t="s">
        <v>2174</v>
      </c>
      <c r="C81" s="2085">
        <v>84.364999999999995</v>
      </c>
      <c r="D81" s="2066"/>
      <c r="E81" s="2067" t="s">
        <v>2176</v>
      </c>
      <c r="F81" s="2067"/>
      <c r="G81" s="2095">
        <v>0</v>
      </c>
      <c r="H81" s="2094"/>
      <c r="I81" s="2096">
        <v>10811</v>
      </c>
      <c r="J81" s="2087"/>
      <c r="K81" s="2095"/>
      <c r="L81" s="2086"/>
      <c r="M81" s="2096">
        <v>12000</v>
      </c>
      <c r="N81" s="2086"/>
      <c r="O81" s="2095">
        <v>0</v>
      </c>
      <c r="P81" s="2090" t="s">
        <v>2129</v>
      </c>
      <c r="Q81" s="2096">
        <f>O81+M81+K81</f>
        <v>12000</v>
      </c>
      <c r="R81" s="2086"/>
      <c r="S81" s="2086">
        <v>12000</v>
      </c>
      <c r="T81" s="2061"/>
    </row>
    <row r="82" spans="1:20" ht="9" customHeight="1" x14ac:dyDescent="0.2">
      <c r="B82" s="2066"/>
      <c r="C82" s="2066"/>
      <c r="D82" s="2066"/>
      <c r="E82" s="2066"/>
      <c r="F82" s="2067"/>
      <c r="G82" s="2086"/>
      <c r="H82" s="2086"/>
      <c r="I82" s="2086"/>
      <c r="J82" s="2087"/>
      <c r="K82" s="2086"/>
      <c r="L82" s="2086"/>
      <c r="M82" s="2086"/>
      <c r="N82" s="2086"/>
      <c r="O82" s="2086"/>
      <c r="P82" s="2087"/>
      <c r="Q82" s="2112" t="s">
        <v>1159</v>
      </c>
      <c r="R82" s="2086"/>
      <c r="S82" s="2086"/>
      <c r="T82" s="2061"/>
    </row>
    <row r="83" spans="1:20" ht="18" customHeight="1" x14ac:dyDescent="0.2">
      <c r="A83" s="2071" t="s">
        <v>2177</v>
      </c>
      <c r="C83" s="2113"/>
      <c r="D83" s="2066"/>
      <c r="E83" s="2066"/>
      <c r="F83" s="2067"/>
      <c r="G83" s="2096">
        <f>G76+G80+G67+G57+G48</f>
        <v>877601</v>
      </c>
      <c r="H83" s="2096"/>
      <c r="I83" s="2096">
        <f>I76+I78+I81+I67+I57+I48+I49+I59</f>
        <v>3034406</v>
      </c>
      <c r="J83" s="2096"/>
      <c r="K83" s="2096">
        <f>K76+K80+K67+K57+K48</f>
        <v>1194137</v>
      </c>
      <c r="L83" s="2096"/>
      <c r="M83" s="2096">
        <f>M76+M78+M81+M67+M57+M49+M48+M59</f>
        <v>3418957</v>
      </c>
      <c r="N83" s="2096"/>
      <c r="O83" s="2114"/>
      <c r="P83" s="2096"/>
      <c r="Q83" s="2096">
        <f>SUM(Q67+Q57+Q59+Q48+Q49+Q76+Q78+Q80+Q81)</f>
        <v>4613094</v>
      </c>
      <c r="R83" s="2112"/>
      <c r="S83" s="2112" t="s">
        <v>1159</v>
      </c>
      <c r="T83" s="2061"/>
    </row>
    <row r="84" spans="1:20" ht="15" customHeight="1" x14ac:dyDescent="0.2">
      <c r="A84" s="2071"/>
      <c r="C84" s="2113"/>
      <c r="D84" s="2066"/>
      <c r="E84" s="2066"/>
      <c r="F84" s="2067"/>
      <c r="G84" s="2096"/>
      <c r="H84" s="2096"/>
      <c r="I84" s="2096"/>
      <c r="J84" s="2096"/>
      <c r="K84" s="2096"/>
      <c r="L84" s="2096"/>
      <c r="M84" s="2096"/>
      <c r="N84" s="2096"/>
      <c r="O84" s="2096"/>
      <c r="P84" s="2096"/>
      <c r="Q84" s="2096"/>
      <c r="R84" s="2112"/>
      <c r="S84" s="2112"/>
      <c r="T84" s="2061"/>
    </row>
    <row r="85" spans="1:20" ht="15" hidden="1" customHeight="1" x14ac:dyDescent="0.2">
      <c r="A85" s="2083" t="s">
        <v>2146</v>
      </c>
      <c r="B85" s="2066"/>
      <c r="C85" s="2066"/>
      <c r="D85" s="2066"/>
      <c r="E85" s="2066"/>
      <c r="F85" s="2067"/>
      <c r="G85" s="2086"/>
      <c r="H85" s="2086"/>
      <c r="I85" s="2086"/>
      <c r="J85" s="2087"/>
      <c r="K85" s="2086"/>
      <c r="L85" s="2086"/>
      <c r="M85" s="2086"/>
      <c r="N85" s="2086"/>
      <c r="O85" s="2086"/>
      <c r="P85" s="2087"/>
      <c r="Q85" s="2086"/>
      <c r="R85" s="2086"/>
      <c r="S85" s="2086"/>
      <c r="T85" s="2061"/>
    </row>
    <row r="86" spans="1:20" ht="17.25" hidden="1" customHeight="1" x14ac:dyDescent="0.2">
      <c r="A86" s="2083" t="s">
        <v>2178</v>
      </c>
      <c r="B86" s="2066"/>
      <c r="C86" s="2066"/>
      <c r="D86" s="2066"/>
      <c r="E86" s="2066"/>
      <c r="F86" s="2067"/>
      <c r="G86" s="2086"/>
      <c r="H86" s="2086"/>
      <c r="I86" s="2086"/>
      <c r="J86" s="2087"/>
      <c r="K86" s="2086"/>
      <c r="L86" s="2086"/>
      <c r="M86" s="2086"/>
      <c r="N86" s="2086"/>
      <c r="O86" s="2086"/>
      <c r="P86" s="2087"/>
      <c r="Q86" s="2086"/>
      <c r="R86" s="2086"/>
      <c r="S86" s="2086"/>
      <c r="T86" s="2061"/>
    </row>
    <row r="87" spans="1:20" ht="17.25" hidden="1" customHeight="1" x14ac:dyDescent="0.2">
      <c r="A87" s="2083" t="s">
        <v>2179</v>
      </c>
      <c r="B87" s="2066"/>
      <c r="C87" s="2066"/>
      <c r="D87" s="2066"/>
      <c r="E87" s="2066"/>
      <c r="F87" s="2067"/>
      <c r="G87" s="2086"/>
      <c r="H87" s="2086"/>
      <c r="I87" s="2086"/>
      <c r="J87" s="2087"/>
      <c r="K87" s="2086"/>
      <c r="L87" s="2086"/>
      <c r="M87" s="2086"/>
      <c r="N87" s="2086"/>
      <c r="O87" s="2086"/>
      <c r="P87" s="2087"/>
      <c r="Q87" s="2086"/>
      <c r="R87" s="2086"/>
      <c r="S87" s="2086"/>
      <c r="T87" s="2061"/>
    </row>
    <row r="88" spans="1:20" ht="6.6" hidden="1" customHeight="1" x14ac:dyDescent="0.2">
      <c r="A88" s="2083"/>
      <c r="B88" s="2066"/>
      <c r="C88" s="2066"/>
      <c r="D88" s="2066"/>
      <c r="E88" s="2066"/>
      <c r="F88" s="2067"/>
      <c r="G88" s="2086"/>
      <c r="H88" s="2086"/>
      <c r="I88" s="2086"/>
      <c r="J88" s="2087"/>
      <c r="K88" s="2086"/>
      <c r="L88" s="2086"/>
      <c r="M88" s="2097"/>
      <c r="N88" s="2086"/>
      <c r="O88" s="2086"/>
      <c r="P88" s="2087"/>
      <c r="Q88" s="2088"/>
      <c r="R88" s="2086"/>
      <c r="S88" s="2086"/>
      <c r="T88" s="2061"/>
    </row>
    <row r="89" spans="1:20" ht="18.600000000000001" hidden="1" customHeight="1" x14ac:dyDescent="0.2">
      <c r="A89" s="2084"/>
      <c r="B89" s="2066" t="s">
        <v>2180</v>
      </c>
      <c r="C89" s="2085">
        <v>84.027000000000001</v>
      </c>
      <c r="D89" s="2066"/>
      <c r="E89" s="2066" t="s">
        <v>2181</v>
      </c>
      <c r="F89" s="2067"/>
      <c r="G89" s="2086"/>
      <c r="H89" s="2086"/>
      <c r="I89" s="2086"/>
      <c r="J89" s="2087"/>
      <c r="K89" s="2086"/>
      <c r="L89" s="2086"/>
      <c r="M89" s="2086"/>
      <c r="N89" s="2086"/>
      <c r="O89" s="2086" t="s">
        <v>1159</v>
      </c>
      <c r="P89" s="2087"/>
      <c r="Q89" s="2088">
        <f>O89+M89+K89</f>
        <v>0</v>
      </c>
      <c r="R89" s="2086"/>
      <c r="S89" s="2110">
        <v>1498</v>
      </c>
      <c r="T89" s="2061"/>
    </row>
    <row r="90" spans="1:20" ht="18" hidden="1" customHeight="1" x14ac:dyDescent="0.2">
      <c r="A90" s="2084"/>
      <c r="B90" s="2066" t="s">
        <v>2180</v>
      </c>
      <c r="C90" s="2085">
        <v>84.027000000000001</v>
      </c>
      <c r="D90" s="2066"/>
      <c r="E90" s="2066" t="s">
        <v>2182</v>
      </c>
      <c r="F90" s="2067"/>
      <c r="G90" s="2097">
        <v>0</v>
      </c>
      <c r="H90" s="2086"/>
      <c r="I90" s="2097">
        <v>0</v>
      </c>
      <c r="J90" s="2087"/>
      <c r="K90" s="2097">
        <v>0</v>
      </c>
      <c r="L90" s="2086"/>
      <c r="M90" s="2115"/>
      <c r="N90" s="2086"/>
      <c r="O90" s="2097">
        <v>0</v>
      </c>
      <c r="P90" s="2087"/>
      <c r="Q90" s="2096">
        <f>O90+M90+K90</f>
        <v>0</v>
      </c>
      <c r="R90" s="2086"/>
      <c r="S90" s="2086">
        <v>11314</v>
      </c>
      <c r="T90" s="2061"/>
    </row>
    <row r="91" spans="1:20" ht="18.75" hidden="1" customHeight="1" x14ac:dyDescent="0.2">
      <c r="A91" s="2071" t="s">
        <v>2183</v>
      </c>
      <c r="B91" s="2072"/>
      <c r="C91" s="2085"/>
      <c r="D91" s="2066"/>
      <c r="E91" s="2067"/>
      <c r="F91" s="2067"/>
      <c r="G91" s="2097">
        <f>SUM(G88:G90)</f>
        <v>0</v>
      </c>
      <c r="H91" s="2086"/>
      <c r="I91" s="2097">
        <f>SUM(I88:I90)</f>
        <v>0</v>
      </c>
      <c r="J91" s="2087"/>
      <c r="K91" s="2097">
        <f>SUM(K88:K90)</f>
        <v>0</v>
      </c>
      <c r="L91" s="2086"/>
      <c r="M91" s="2097">
        <f>SUM(M88:M90)</f>
        <v>0</v>
      </c>
      <c r="N91" s="2086"/>
      <c r="O91" s="2097">
        <f>SUM(O88:O90)</f>
        <v>0</v>
      </c>
      <c r="P91" s="2087"/>
      <c r="Q91" s="2097">
        <f>SUM(Q88:Q90)</f>
        <v>0</v>
      </c>
      <c r="R91" s="2086"/>
      <c r="S91" s="2089"/>
      <c r="T91" s="2061"/>
    </row>
    <row r="92" spans="1:20" ht="15" customHeight="1" x14ac:dyDescent="0.2">
      <c r="A92" s="2071"/>
      <c r="B92" s="2072"/>
      <c r="C92" s="2085"/>
      <c r="D92" s="2066"/>
      <c r="E92" s="2067"/>
      <c r="F92" s="2067"/>
      <c r="G92" s="2097"/>
      <c r="H92" s="2086"/>
      <c r="I92" s="2097"/>
      <c r="J92" s="2087"/>
      <c r="K92" s="2097"/>
      <c r="L92" s="2086"/>
      <c r="M92" s="2097"/>
      <c r="N92" s="2086"/>
      <c r="O92" s="2097"/>
      <c r="P92" s="2087"/>
      <c r="Q92" s="2097"/>
      <c r="R92" s="2086"/>
      <c r="S92" s="2089"/>
      <c r="T92" s="2061"/>
    </row>
    <row r="93" spans="1:20" ht="16.5" hidden="1" customHeight="1" x14ac:dyDescent="0.2">
      <c r="A93" s="2083" t="s">
        <v>2146</v>
      </c>
      <c r="C93" s="2113"/>
      <c r="D93" s="2066"/>
      <c r="E93" s="2066"/>
      <c r="F93" s="2067"/>
      <c r="G93" s="2096"/>
      <c r="H93" s="2096"/>
      <c r="I93" s="2096"/>
      <c r="J93" s="2096"/>
      <c r="K93" s="2096"/>
      <c r="L93" s="2096"/>
      <c r="M93" s="2096"/>
      <c r="N93" s="2096"/>
      <c r="O93" s="2096"/>
      <c r="P93" s="2096"/>
      <c r="Q93" s="2096"/>
      <c r="R93" s="2112"/>
      <c r="S93" s="2112"/>
      <c r="T93" s="2061"/>
    </row>
    <row r="94" spans="1:20" ht="15.75" hidden="1" customHeight="1" x14ac:dyDescent="0.2">
      <c r="A94" s="2083" t="s">
        <v>2184</v>
      </c>
      <c r="C94" s="2113"/>
      <c r="D94" s="2066"/>
      <c r="E94" s="2066"/>
      <c r="F94" s="2067"/>
      <c r="G94" s="2096"/>
      <c r="H94" s="2096"/>
      <c r="I94" s="2096"/>
      <c r="J94" s="2096"/>
      <c r="K94" s="2096"/>
      <c r="L94" s="2096"/>
      <c r="M94" s="2096"/>
      <c r="N94" s="2096"/>
      <c r="O94" s="2096"/>
      <c r="P94" s="2096"/>
      <c r="Q94" s="2096"/>
      <c r="R94" s="2112"/>
      <c r="S94" s="2112"/>
      <c r="T94" s="2061"/>
    </row>
    <row r="95" spans="1:20" ht="18" hidden="1" customHeight="1" x14ac:dyDescent="0.2">
      <c r="A95" s="2071"/>
      <c r="B95" s="2072" t="s">
        <v>2185</v>
      </c>
      <c r="C95" s="2085">
        <v>84.358000000000004</v>
      </c>
      <c r="D95" s="2066"/>
      <c r="E95" s="2067" t="s">
        <v>2186</v>
      </c>
      <c r="F95" s="2067"/>
      <c r="G95" s="2096"/>
      <c r="H95" s="2096"/>
      <c r="I95" s="2096">
        <v>0</v>
      </c>
      <c r="J95" s="2096"/>
      <c r="K95" s="2096"/>
      <c r="L95" s="2096"/>
      <c r="M95" s="2096">
        <v>0</v>
      </c>
      <c r="N95" s="2096"/>
      <c r="O95" s="2096">
        <v>0</v>
      </c>
      <c r="P95" s="2096"/>
      <c r="Q95" s="2096">
        <f>O95+M95+K95</f>
        <v>0</v>
      </c>
      <c r="R95" s="2112"/>
      <c r="S95" s="2089"/>
      <c r="T95" s="2061"/>
    </row>
    <row r="96" spans="1:20" ht="18" hidden="1" customHeight="1" x14ac:dyDescent="0.2">
      <c r="A96" s="2071" t="s">
        <v>2187</v>
      </c>
      <c r="B96" s="2072"/>
      <c r="C96" s="2085"/>
      <c r="D96" s="2066"/>
      <c r="E96" s="2067"/>
      <c r="F96" s="2067"/>
      <c r="G96" s="2097">
        <f>SUM(G93:G95)</f>
        <v>0</v>
      </c>
      <c r="H96" s="2086"/>
      <c r="I96" s="2097">
        <f>SUM(I93:I95)</f>
        <v>0</v>
      </c>
      <c r="J96" s="2087"/>
      <c r="K96" s="2097">
        <f>SUM(K93:K95)</f>
        <v>0</v>
      </c>
      <c r="L96" s="2086"/>
      <c r="M96" s="2097">
        <f>SUM(M93:M95)</f>
        <v>0</v>
      </c>
      <c r="N96" s="2086"/>
      <c r="O96" s="2097">
        <f>SUM(O93:O95)</f>
        <v>0</v>
      </c>
      <c r="P96" s="2087"/>
      <c r="Q96" s="2097">
        <f>SUM(Q93:Q95)</f>
        <v>0</v>
      </c>
      <c r="R96" s="2086"/>
      <c r="S96" s="2089"/>
      <c r="T96" s="2061"/>
    </row>
    <row r="97" spans="1:20" ht="15" hidden="1" customHeight="1" x14ac:dyDescent="0.2">
      <c r="A97" s="2071"/>
      <c r="C97" s="2113"/>
      <c r="D97" s="2066"/>
      <c r="E97" s="2066"/>
      <c r="F97" s="2067"/>
      <c r="G97" s="2096"/>
      <c r="H97" s="2096"/>
      <c r="I97" s="2096"/>
      <c r="J97" s="2096"/>
      <c r="K97" s="2096"/>
      <c r="L97" s="2096"/>
      <c r="M97" s="2096"/>
      <c r="N97" s="2096"/>
      <c r="O97" s="2096"/>
      <c r="P97" s="2096"/>
      <c r="Q97" s="2096"/>
      <c r="R97" s="2112"/>
      <c r="S97" s="2112"/>
      <c r="T97" s="2061"/>
    </row>
    <row r="98" spans="1:20" ht="18" hidden="1" customHeight="1" x14ac:dyDescent="0.2">
      <c r="A98" s="2083" t="s">
        <v>2146</v>
      </c>
      <c r="B98" s="2066"/>
      <c r="C98" s="2066"/>
      <c r="D98" s="2066"/>
      <c r="E98" s="2066"/>
      <c r="F98" s="2067"/>
      <c r="G98" s="2086"/>
      <c r="H98" s="2086"/>
      <c r="I98" s="2086" t="s">
        <v>1159</v>
      </c>
      <c r="J98" s="2087"/>
      <c r="K98" s="2086"/>
      <c r="L98" s="2086"/>
      <c r="M98" s="2086"/>
      <c r="N98" s="2086"/>
      <c r="O98" s="2086"/>
      <c r="P98" s="2087"/>
      <c r="Q98" s="2086"/>
      <c r="R98" s="2086"/>
      <c r="S98" s="2086"/>
      <c r="T98" s="2061"/>
    </row>
    <row r="99" spans="1:20" ht="17.25" hidden="1" customHeight="1" x14ac:dyDescent="0.2">
      <c r="A99" s="2083" t="s">
        <v>2178</v>
      </c>
      <c r="B99" s="2066"/>
      <c r="C99" s="2066"/>
      <c r="D99" s="2066"/>
      <c r="E99" s="2066"/>
      <c r="F99" s="2067"/>
      <c r="G99" s="2086"/>
      <c r="H99" s="2086"/>
      <c r="I99" s="2086"/>
      <c r="J99" s="2087"/>
      <c r="K99" s="2086"/>
      <c r="L99" s="2086"/>
      <c r="M99" s="2086"/>
      <c r="N99" s="2086"/>
      <c r="O99" s="2086"/>
      <c r="P99" s="2087"/>
      <c r="Q99" s="2086"/>
      <c r="R99" s="2086"/>
      <c r="S99" s="2086"/>
      <c r="T99" s="2061"/>
    </row>
    <row r="100" spans="1:20" ht="17.25" hidden="1" customHeight="1" x14ac:dyDescent="0.2">
      <c r="A100" s="2083" t="s">
        <v>2188</v>
      </c>
      <c r="B100" s="2066"/>
      <c r="C100" s="2066"/>
      <c r="D100" s="2066"/>
      <c r="E100" s="2066"/>
      <c r="F100" s="2067"/>
      <c r="G100" s="2086"/>
      <c r="H100" s="2086"/>
      <c r="I100" s="2086"/>
      <c r="J100" s="2087"/>
      <c r="K100" s="2086"/>
      <c r="L100" s="2086"/>
      <c r="M100" s="2086"/>
      <c r="N100" s="2086"/>
      <c r="O100" s="2086"/>
      <c r="P100" s="2087"/>
      <c r="Q100" s="2086"/>
      <c r="R100" s="2086"/>
      <c r="S100" s="2086"/>
      <c r="T100" s="2061"/>
    </row>
    <row r="101" spans="1:20" ht="15" hidden="1" customHeight="1" x14ac:dyDescent="0.2">
      <c r="A101" s="2083"/>
      <c r="B101" s="2066"/>
      <c r="C101" s="2066"/>
      <c r="D101" s="2066"/>
      <c r="E101" s="2066"/>
      <c r="F101" s="2067"/>
      <c r="G101" s="2086"/>
      <c r="H101" s="2086"/>
      <c r="I101" s="2086"/>
      <c r="J101" s="2087"/>
      <c r="K101" s="2086"/>
      <c r="L101" s="2086"/>
      <c r="M101" s="2097"/>
      <c r="N101" s="2086"/>
      <c r="O101" s="2086"/>
      <c r="P101" s="2087"/>
      <c r="Q101" s="2088"/>
      <c r="R101" s="2086"/>
      <c r="S101" s="2086"/>
      <c r="T101" s="2061"/>
    </row>
    <row r="102" spans="1:20" ht="15" hidden="1" customHeight="1" x14ac:dyDescent="0.2">
      <c r="A102" s="2083"/>
      <c r="B102" s="2066" t="s">
        <v>2189</v>
      </c>
      <c r="C102" s="2066" t="s">
        <v>2190</v>
      </c>
      <c r="D102" s="2066"/>
      <c r="E102" s="2066" t="s">
        <v>2191</v>
      </c>
      <c r="F102" s="2067"/>
      <c r="G102" s="2086"/>
      <c r="H102" s="2086"/>
      <c r="I102" s="2086"/>
      <c r="J102" s="2087"/>
      <c r="K102" s="2086"/>
      <c r="L102" s="2086"/>
      <c r="M102" s="2097"/>
      <c r="N102" s="2086"/>
      <c r="O102" s="2086"/>
      <c r="P102" s="2087"/>
      <c r="Q102" s="2088">
        <f>O102+M102+K102</f>
        <v>0</v>
      </c>
      <c r="R102" s="2086"/>
      <c r="S102" s="2086"/>
      <c r="T102" s="2061"/>
    </row>
    <row r="103" spans="1:20" ht="15" hidden="1" customHeight="1" x14ac:dyDescent="0.2">
      <c r="A103" s="2083"/>
      <c r="B103" s="2066" t="s">
        <v>2189</v>
      </c>
      <c r="C103" s="2066" t="s">
        <v>2190</v>
      </c>
      <c r="D103" s="2066"/>
      <c r="E103" s="2066" t="s">
        <v>2192</v>
      </c>
      <c r="F103" s="2067"/>
      <c r="G103" s="2086"/>
      <c r="H103" s="2086"/>
      <c r="I103" s="2086"/>
      <c r="J103" s="2087"/>
      <c r="K103" s="2086"/>
      <c r="L103" s="2086"/>
      <c r="M103" s="2116"/>
      <c r="N103" s="2086"/>
      <c r="O103" s="2086"/>
      <c r="P103" s="2087"/>
      <c r="Q103" s="2088">
        <f>O103+M103+K103</f>
        <v>0</v>
      </c>
      <c r="R103" s="2086"/>
      <c r="S103" s="2086"/>
      <c r="T103" s="2061"/>
    </row>
    <row r="104" spans="1:20" ht="15" hidden="1" customHeight="1" x14ac:dyDescent="0.2">
      <c r="A104" s="2083"/>
      <c r="B104" s="2066"/>
      <c r="C104" s="2066"/>
      <c r="D104" s="2066"/>
      <c r="E104" s="2066"/>
      <c r="F104" s="2067"/>
      <c r="G104" s="2086"/>
      <c r="H104" s="2086"/>
      <c r="I104" s="2086"/>
      <c r="J104" s="2087"/>
      <c r="K104" s="2097"/>
      <c r="L104" s="2086"/>
      <c r="M104" s="2097"/>
      <c r="N104" s="2086"/>
      <c r="O104" s="2086"/>
      <c r="P104" s="2087"/>
      <c r="Q104" s="2088"/>
      <c r="R104" s="2086"/>
      <c r="S104" s="2086"/>
      <c r="T104" s="2061"/>
    </row>
    <row r="105" spans="1:20" ht="17.25" hidden="1" customHeight="1" x14ac:dyDescent="0.2">
      <c r="A105" s="2083"/>
      <c r="B105" s="2072" t="s">
        <v>2193</v>
      </c>
      <c r="C105" s="2085">
        <v>84.242999999999995</v>
      </c>
      <c r="D105" s="2066"/>
      <c r="E105" s="2067" t="s">
        <v>2194</v>
      </c>
      <c r="F105" s="2067"/>
      <c r="G105" s="2095"/>
      <c r="H105" s="2086"/>
      <c r="I105" s="2095"/>
      <c r="J105" s="2087"/>
      <c r="K105" s="2095"/>
      <c r="L105" s="2086"/>
      <c r="M105" s="2117"/>
      <c r="N105" s="2086"/>
      <c r="O105" s="2095"/>
      <c r="P105" s="2087"/>
      <c r="Q105" s="2093">
        <f>O105+M105+K105</f>
        <v>0</v>
      </c>
      <c r="R105" s="2086"/>
      <c r="S105" s="2089"/>
      <c r="T105" s="2061"/>
    </row>
    <row r="106" spans="1:20" ht="18" hidden="1" customHeight="1" x14ac:dyDescent="0.2">
      <c r="A106" s="2071" t="s">
        <v>2195</v>
      </c>
      <c r="B106" s="2072"/>
      <c r="C106" s="2085"/>
      <c r="D106" s="2066"/>
      <c r="E106" s="2067"/>
      <c r="F106" s="2067"/>
      <c r="G106" s="2097">
        <f>SUM(G101:G105)</f>
        <v>0</v>
      </c>
      <c r="H106" s="2086"/>
      <c r="I106" s="2097">
        <f>SUM(I101:I105)</f>
        <v>0</v>
      </c>
      <c r="J106" s="2087"/>
      <c r="K106" s="2097">
        <f>SUM(K101:K105)</f>
        <v>0</v>
      </c>
      <c r="L106" s="2086"/>
      <c r="M106" s="2097">
        <f>SUM(M101:M105)</f>
        <v>0</v>
      </c>
      <c r="N106" s="2086"/>
      <c r="O106" s="2097">
        <f>SUM(O101:O105)</f>
        <v>0</v>
      </c>
      <c r="P106" s="2087"/>
      <c r="Q106" s="2097">
        <f>SUM(Q101:Q105)</f>
        <v>0</v>
      </c>
      <c r="R106" s="2086"/>
      <c r="S106" s="2089"/>
      <c r="T106" s="2061"/>
    </row>
    <row r="107" spans="1:20" ht="15" hidden="1" customHeight="1" x14ac:dyDescent="0.2">
      <c r="A107" s="2071"/>
      <c r="B107" s="2072"/>
      <c r="C107" s="2085"/>
      <c r="D107" s="2066"/>
      <c r="E107" s="2067"/>
      <c r="F107" s="2067"/>
      <c r="G107" s="2097"/>
      <c r="H107" s="2086"/>
      <c r="I107" s="2097"/>
      <c r="J107" s="2087"/>
      <c r="K107" s="2097"/>
      <c r="L107" s="2086"/>
      <c r="M107" s="2097"/>
      <c r="N107" s="2086"/>
      <c r="O107" s="2097"/>
      <c r="P107" s="2087"/>
      <c r="Q107" s="2096"/>
      <c r="R107" s="2086"/>
      <c r="S107" s="2089"/>
      <c r="T107" s="2061"/>
    </row>
    <row r="108" spans="1:20" ht="18" customHeight="1" x14ac:dyDescent="0.2">
      <c r="A108" s="2071" t="s">
        <v>2196</v>
      </c>
      <c r="B108" s="2072"/>
      <c r="C108" s="2085"/>
      <c r="D108" s="2066"/>
      <c r="E108" s="2067"/>
      <c r="F108" s="2067"/>
      <c r="G108" s="2097">
        <f>SUM(G83,G91,G96,G106)</f>
        <v>877601</v>
      </c>
      <c r="H108" s="2086"/>
      <c r="I108" s="2097">
        <f>SUM(I83,I91,I96,I106)</f>
        <v>3034406</v>
      </c>
      <c r="J108" s="2087"/>
      <c r="K108" s="2097">
        <f>SUM(K83,K91,K96,K106)</f>
        <v>1194137</v>
      </c>
      <c r="L108" s="2086"/>
      <c r="M108" s="2097">
        <f>SUM(M83,M91,M96,M106)</f>
        <v>3418957</v>
      </c>
      <c r="N108" s="2086"/>
      <c r="O108" s="2097">
        <f>SUM(O83,O91,O96,O106)</f>
        <v>0</v>
      </c>
      <c r="P108" s="2087"/>
      <c r="Q108" s="2097">
        <f>SUM(Q83,Q91,Q96,Q106)</f>
        <v>4613094</v>
      </c>
      <c r="R108" s="2086"/>
      <c r="S108" s="2089"/>
      <c r="T108" s="2061"/>
    </row>
    <row r="109" spans="1:20" ht="9.75" customHeight="1" x14ac:dyDescent="0.2">
      <c r="A109" s="2083"/>
      <c r="B109" s="2066"/>
      <c r="C109" s="2066"/>
      <c r="D109" s="2066"/>
      <c r="E109" s="2066"/>
      <c r="F109" s="2067"/>
      <c r="G109" s="2097"/>
      <c r="H109" s="2086"/>
      <c r="I109" s="2097"/>
      <c r="J109" s="2097"/>
      <c r="K109" s="2097"/>
      <c r="L109" s="2097"/>
      <c r="M109" s="2097"/>
      <c r="N109" s="2097"/>
      <c r="O109" s="2097"/>
      <c r="P109" s="2097"/>
      <c r="Q109" s="2097"/>
      <c r="R109" s="2086"/>
      <c r="S109" s="2086"/>
      <c r="T109" s="2061"/>
    </row>
    <row r="110" spans="1:20" ht="15" customHeight="1" x14ac:dyDescent="0.2">
      <c r="A110" s="2083" t="s">
        <v>2197</v>
      </c>
      <c r="B110" s="2066"/>
      <c r="C110" s="2066"/>
      <c r="D110" s="2066"/>
      <c r="E110" s="2066"/>
      <c r="F110" s="2067"/>
      <c r="G110" s="2086"/>
      <c r="H110" s="2086"/>
      <c r="I110" s="2086"/>
      <c r="J110" s="2087"/>
      <c r="K110" s="2086"/>
      <c r="L110" s="2086"/>
      <c r="M110" s="2086"/>
      <c r="N110" s="2086"/>
      <c r="O110" s="2086"/>
      <c r="P110" s="2087"/>
      <c r="Q110" s="2086"/>
      <c r="R110" s="2086"/>
      <c r="S110" s="2086"/>
      <c r="T110" s="2061"/>
    </row>
    <row r="111" spans="1:20" ht="15" customHeight="1" x14ac:dyDescent="0.2">
      <c r="A111" s="2083" t="s">
        <v>2178</v>
      </c>
      <c r="B111" s="2066"/>
      <c r="C111" s="2066"/>
      <c r="D111" s="2066"/>
      <c r="E111" s="2066"/>
      <c r="F111" s="2067"/>
      <c r="G111" s="2086"/>
      <c r="H111" s="2086"/>
      <c r="I111" s="2086"/>
      <c r="J111" s="2087"/>
      <c r="K111" s="2086"/>
      <c r="L111" s="2086"/>
      <c r="M111" s="2086"/>
      <c r="N111" s="2086"/>
      <c r="O111" s="2086"/>
      <c r="P111" s="2087"/>
      <c r="Q111" s="2086"/>
      <c r="R111" s="2086"/>
      <c r="S111" s="2086"/>
      <c r="T111" s="2061"/>
    </row>
    <row r="112" spans="1:20" ht="15" customHeight="1" x14ac:dyDescent="0.2">
      <c r="A112" s="2083" t="s">
        <v>2198</v>
      </c>
      <c r="B112" s="2066"/>
      <c r="C112" s="2066"/>
      <c r="D112" s="2066"/>
      <c r="E112" s="2066"/>
      <c r="F112" s="2067"/>
      <c r="G112" s="2086"/>
      <c r="H112" s="2086"/>
      <c r="I112" s="2086"/>
      <c r="J112" s="2087"/>
      <c r="K112" s="2086"/>
      <c r="L112" s="2086"/>
      <c r="M112" s="2086"/>
      <c r="N112" s="2086"/>
      <c r="O112" s="2086"/>
      <c r="P112" s="2087"/>
      <c r="Q112" s="2086"/>
      <c r="R112" s="2086"/>
      <c r="S112" s="2086"/>
      <c r="T112" s="2061"/>
    </row>
    <row r="113" spans="1:20" ht="15" customHeight="1" x14ac:dyDescent="0.2">
      <c r="A113" s="2083"/>
      <c r="B113" s="2072" t="s">
        <v>2199</v>
      </c>
      <c r="C113" s="2085">
        <v>93.778000000000006</v>
      </c>
      <c r="D113" s="2066"/>
      <c r="E113" s="2067" t="s">
        <v>2200</v>
      </c>
      <c r="F113" s="2067"/>
      <c r="G113" s="2086">
        <v>18273</v>
      </c>
      <c r="H113" s="2086"/>
      <c r="I113" s="2086">
        <v>4705</v>
      </c>
      <c r="J113" s="2087"/>
      <c r="K113" s="2086">
        <v>23936</v>
      </c>
      <c r="L113" s="2086"/>
      <c r="M113" s="2086"/>
      <c r="N113" s="2086"/>
      <c r="O113" s="2086"/>
      <c r="P113" s="2087"/>
      <c r="Q113" s="2088">
        <f>O113+M113+K113</f>
        <v>23936</v>
      </c>
      <c r="R113" s="2086"/>
      <c r="S113" s="2089" t="s">
        <v>2127</v>
      </c>
      <c r="T113" s="2061"/>
    </row>
    <row r="114" spans="1:20" ht="15" customHeight="1" x14ac:dyDescent="0.2">
      <c r="A114" s="2083"/>
      <c r="B114" s="2072" t="s">
        <v>2199</v>
      </c>
      <c r="C114" s="2085">
        <v>93.778000000000006</v>
      </c>
      <c r="D114" s="2066"/>
      <c r="E114" s="2067" t="s">
        <v>2201</v>
      </c>
      <c r="F114" s="2067"/>
      <c r="G114" s="2095"/>
      <c r="H114" s="2086"/>
      <c r="I114" s="2095">
        <v>16171</v>
      </c>
      <c r="J114" s="2087"/>
      <c r="K114" s="2095"/>
      <c r="L114" s="2086"/>
      <c r="M114" s="2118">
        <v>24262</v>
      </c>
      <c r="N114" s="2086"/>
      <c r="O114" s="2095"/>
      <c r="P114" s="2087"/>
      <c r="Q114" s="2093">
        <f>O114+M114+K114</f>
        <v>24262</v>
      </c>
      <c r="R114" s="2086"/>
      <c r="S114" s="2089" t="s">
        <v>2127</v>
      </c>
      <c r="T114" s="2061"/>
    </row>
    <row r="115" spans="1:20" ht="7.15" customHeight="1" x14ac:dyDescent="0.2">
      <c r="A115" s="2083"/>
      <c r="B115" s="2066"/>
      <c r="C115" s="2066"/>
      <c r="D115" s="2066"/>
      <c r="E115" s="2066"/>
      <c r="F115" s="2067"/>
      <c r="G115" s="2086"/>
      <c r="H115" s="2086"/>
      <c r="I115" s="2086"/>
      <c r="J115" s="2087"/>
      <c r="K115" s="2086"/>
      <c r="L115" s="2086"/>
      <c r="M115" s="2086"/>
      <c r="N115" s="2086"/>
      <c r="O115" s="2086"/>
      <c r="P115" s="2087"/>
      <c r="Q115" s="2086"/>
      <c r="R115" s="2086"/>
      <c r="S115" s="2086"/>
      <c r="T115" s="2061"/>
    </row>
    <row r="116" spans="1:20" ht="6.6" customHeight="1" x14ac:dyDescent="0.2">
      <c r="A116" s="2084"/>
      <c r="B116" s="2072"/>
      <c r="C116" s="2085"/>
      <c r="D116" s="2066"/>
      <c r="E116" s="2067"/>
      <c r="F116" s="2067"/>
      <c r="G116" s="2097"/>
      <c r="H116" s="2086"/>
      <c r="I116" s="2097"/>
      <c r="J116" s="2087"/>
      <c r="K116" s="2097"/>
      <c r="L116" s="2086"/>
      <c r="M116" s="2097"/>
      <c r="N116" s="2086"/>
      <c r="O116" s="2097"/>
      <c r="P116" s="2087"/>
      <c r="Q116" s="2097"/>
      <c r="R116" s="2086"/>
      <c r="S116" s="2089"/>
      <c r="T116" s="2061"/>
    </row>
    <row r="117" spans="1:20" ht="18" customHeight="1" x14ac:dyDescent="0.2">
      <c r="A117" s="2071" t="s">
        <v>2202</v>
      </c>
      <c r="B117" s="2072"/>
      <c r="C117" s="2085"/>
      <c r="D117" s="2066"/>
      <c r="E117" s="2067"/>
      <c r="F117" s="2067"/>
      <c r="G117" s="2096">
        <f>SUM(G112:G116)</f>
        <v>18273</v>
      </c>
      <c r="H117" s="2096"/>
      <c r="I117" s="2096">
        <f>SUM(I112:I116)</f>
        <v>20876</v>
      </c>
      <c r="J117" s="2096"/>
      <c r="K117" s="2096">
        <f>SUM(K112:K116)</f>
        <v>23936</v>
      </c>
      <c r="L117" s="2096"/>
      <c r="M117" s="2096">
        <f>SUM(M112:M116)</f>
        <v>24262</v>
      </c>
      <c r="N117" s="2096"/>
      <c r="O117" s="2096">
        <f>SUM(O112:O116)</f>
        <v>0</v>
      </c>
      <c r="P117" s="2096"/>
      <c r="Q117" s="2096">
        <f>SUM(Q112:Q116)</f>
        <v>48198</v>
      </c>
      <c r="R117" s="2086"/>
      <c r="S117" s="2089"/>
      <c r="T117" s="2061"/>
    </row>
    <row r="118" spans="1:20" ht="7.5" customHeight="1" x14ac:dyDescent="0.2">
      <c r="A118" s="2071"/>
      <c r="B118" s="2072"/>
      <c r="C118" s="2085"/>
      <c r="D118" s="2066"/>
      <c r="E118" s="2067"/>
      <c r="F118" s="2067"/>
      <c r="G118" s="2096"/>
      <c r="H118" s="2096"/>
      <c r="I118" s="2096"/>
      <c r="J118" s="2096"/>
      <c r="K118" s="2096"/>
      <c r="L118" s="2096"/>
      <c r="M118" s="2096"/>
      <c r="N118" s="2096"/>
      <c r="O118" s="2096"/>
      <c r="P118" s="2096"/>
      <c r="Q118" s="2096"/>
      <c r="R118" s="2086"/>
      <c r="S118" s="2089"/>
      <c r="T118" s="2061"/>
    </row>
    <row r="119" spans="1:20" ht="21" customHeight="1" x14ac:dyDescent="0.2">
      <c r="A119" s="2071" t="s">
        <v>2203</v>
      </c>
      <c r="C119" s="2119"/>
      <c r="D119" s="2066"/>
      <c r="E119" s="2066"/>
      <c r="F119" s="2067"/>
      <c r="G119" s="2120">
        <f>G42+G108+G117</f>
        <v>1669166</v>
      </c>
      <c r="H119" s="2120"/>
      <c r="I119" s="2120">
        <f>I42+I108+I117</f>
        <v>4144167</v>
      </c>
      <c r="J119" s="2120"/>
      <c r="K119" s="2120">
        <f>K42+K108+K117</f>
        <v>2119992</v>
      </c>
      <c r="L119" s="2120"/>
      <c r="M119" s="2120">
        <f>M42+M108+M117</f>
        <v>4767382</v>
      </c>
      <c r="N119" s="2120"/>
      <c r="O119" s="2120">
        <f>O42+O108+O117</f>
        <v>0</v>
      </c>
      <c r="P119" s="2120"/>
      <c r="Q119" s="2120">
        <f>Q42+Q108+Q117</f>
        <v>6887374</v>
      </c>
      <c r="R119" s="2121"/>
      <c r="S119" s="2086"/>
      <c r="T119" s="2061"/>
    </row>
    <row r="120" spans="1:20" ht="15" customHeight="1" x14ac:dyDescent="0.2">
      <c r="B120" s="2066"/>
      <c r="C120" s="2119"/>
      <c r="D120" s="2066"/>
      <c r="E120" s="2066"/>
      <c r="F120" s="2067"/>
      <c r="G120" s="2122"/>
      <c r="H120" s="2086"/>
      <c r="I120" s="2122"/>
      <c r="J120" s="2087"/>
      <c r="K120" s="2122"/>
      <c r="L120" s="2112"/>
      <c r="M120" s="2122"/>
      <c r="N120" s="2112"/>
      <c r="O120" s="2122"/>
      <c r="P120" s="2087"/>
      <c r="Q120" s="2122"/>
      <c r="R120" s="2112"/>
      <c r="S120" s="2086"/>
      <c r="T120" s="2061"/>
    </row>
    <row r="121" spans="1:20" x14ac:dyDescent="0.2">
      <c r="B121" s="2066"/>
      <c r="C121" s="2119"/>
      <c r="D121" s="2066"/>
      <c r="E121" s="2066"/>
      <c r="F121" s="2067"/>
      <c r="G121" s="2122"/>
      <c r="H121" s="2086"/>
      <c r="I121" s="2122"/>
      <c r="J121" s="2087"/>
      <c r="K121" s="2122"/>
      <c r="L121" s="2112"/>
      <c r="M121" s="2122"/>
      <c r="N121" s="2112"/>
      <c r="O121" s="2122"/>
      <c r="P121" s="2087"/>
      <c r="Q121" s="2122"/>
      <c r="R121" s="2112"/>
      <c r="S121" s="2086"/>
      <c r="T121" s="2061"/>
    </row>
    <row r="122" spans="1:20" ht="18" customHeight="1" x14ac:dyDescent="0.2">
      <c r="A122" s="2071" t="s">
        <v>2204</v>
      </c>
      <c r="B122" s="2066"/>
      <c r="C122" s="2119"/>
      <c r="D122" s="2066"/>
      <c r="E122" s="2066"/>
      <c r="F122" s="2067"/>
      <c r="G122" s="2088">
        <f>SUM(G74:G75)+SUM(G78:G81)+SUM(G59:G66)+SUM(G48:G49)+SUM(G52:G55)+SUM(G30:G31)+SUM(G34:G35)+SUM(G20:G27)</f>
        <v>1650893</v>
      </c>
      <c r="H122" s="2088"/>
      <c r="I122" s="2088">
        <f>SUM(I74:I75)+SUM(I78:I81)+SUM(I59:I66)+SUM(I48:I49)+SUM(I52:I56)+SUM(I30:I31)+SUM(I34:I35)+SUM(I20:I27)</f>
        <v>4123291</v>
      </c>
      <c r="J122" s="2088"/>
      <c r="K122" s="2088">
        <f>SUM(K74:K75)+SUM(K78:K81)+SUM(K59:K66)+SUM(K48:K49)+SUM(K52:K56)+SUM(K30:K31)+SUM(K34:K35)+SUM(K20:K27)</f>
        <v>2096056</v>
      </c>
      <c r="L122" s="2088"/>
      <c r="M122" s="2088">
        <f>SUM(M74:M75)+SUM(M78:M81)+SUM(M59:M66)+SUM(M48:M49)+SUM(M52:M56)+SUM(M30:M31)+SUM(M34:M35)+SUM(M20:M27)</f>
        <v>4743120</v>
      </c>
      <c r="N122" s="2088"/>
      <c r="O122" s="2088"/>
      <c r="P122" s="2088"/>
      <c r="Q122" s="2088">
        <f>SUM(Q74:Q75)+SUM(Q78:Q81)+SUM(Q59:Q66)+SUM(Q48:Q49)+SUM(Q52:Q56)+SUM(Q30:Q31)+SUM(Q34:Q35)+SUM(Q20:Q27)</f>
        <v>6839176</v>
      </c>
      <c r="R122" s="2112"/>
      <c r="S122" s="2086"/>
      <c r="T122" s="2061"/>
    </row>
    <row r="123" spans="1:20" ht="6" customHeight="1" x14ac:dyDescent="0.2">
      <c r="A123" s="2071"/>
      <c r="B123" s="2066"/>
      <c r="C123" s="2119"/>
      <c r="D123" s="2066"/>
      <c r="E123" s="2066"/>
      <c r="F123" s="2067"/>
      <c r="G123" s="2122"/>
      <c r="H123" s="2086"/>
      <c r="I123" s="2122"/>
      <c r="J123" s="2087"/>
      <c r="K123" s="2122"/>
      <c r="L123" s="2112"/>
      <c r="M123" s="2122"/>
      <c r="N123" s="2112"/>
      <c r="O123" s="2122"/>
      <c r="P123" s="2087"/>
      <c r="Q123" s="2122"/>
      <c r="R123" s="2112"/>
      <c r="S123" s="2086"/>
      <c r="T123" s="2061"/>
    </row>
    <row r="124" spans="1:20" ht="20.25" customHeight="1" x14ac:dyDescent="0.2">
      <c r="A124" s="2071" t="s">
        <v>2205</v>
      </c>
      <c r="B124" s="2066"/>
      <c r="C124" s="2119"/>
      <c r="D124" s="2066"/>
      <c r="E124" s="2066"/>
      <c r="F124" s="2067"/>
      <c r="G124" s="2096">
        <f>SUM(G91,G96,G106,G117)</f>
        <v>18273</v>
      </c>
      <c r="H124" s="2096"/>
      <c r="I124" s="2096">
        <f>SUM(I91,I96,I106,I117)</f>
        <v>20876</v>
      </c>
      <c r="J124" s="2096"/>
      <c r="K124" s="2096">
        <f>SUM(K91,K96,K106,K117)</f>
        <v>23936</v>
      </c>
      <c r="L124" s="2096"/>
      <c r="M124" s="2096">
        <f>SUM(M91,M96,M106,M117)</f>
        <v>24262</v>
      </c>
      <c r="N124" s="2096"/>
      <c r="O124" s="2096">
        <v>0</v>
      </c>
      <c r="P124" s="2096"/>
      <c r="Q124" s="2096">
        <f>SUM(Q91,Q96,Q106,Q117)</f>
        <v>48198</v>
      </c>
      <c r="R124" s="2112"/>
      <c r="S124" s="2086"/>
      <c r="T124" s="2061"/>
    </row>
    <row r="125" spans="1:20" ht="0.75" customHeight="1" x14ac:dyDescent="0.2">
      <c r="A125" s="2071"/>
      <c r="B125" s="2066"/>
      <c r="C125" s="2119"/>
      <c r="D125" s="2066"/>
      <c r="E125" s="2066"/>
      <c r="F125" s="2067"/>
      <c r="G125" s="2122"/>
      <c r="H125" s="2086"/>
      <c r="I125" s="2122"/>
      <c r="J125" s="2087"/>
      <c r="K125" s="2122"/>
      <c r="L125" s="2112"/>
      <c r="M125" s="2122"/>
      <c r="N125" s="2112"/>
      <c r="O125" s="2122"/>
      <c r="P125" s="2087"/>
      <c r="Q125" s="2122"/>
      <c r="R125" s="2112"/>
      <c r="S125" s="2086"/>
      <c r="T125" s="2061"/>
    </row>
    <row r="126" spans="1:20" s="2123" customFormat="1" ht="21" customHeight="1" x14ac:dyDescent="0.2">
      <c r="A126" s="2071" t="s">
        <v>2203</v>
      </c>
      <c r="B126" s="2066"/>
      <c r="C126" s="2119"/>
      <c r="D126" s="2066"/>
      <c r="E126" s="2066"/>
      <c r="F126" s="2067"/>
      <c r="G126" s="2120">
        <f>G122+G124</f>
        <v>1669166</v>
      </c>
      <c r="H126" s="2120"/>
      <c r="I126" s="2120">
        <f>I122+I124</f>
        <v>4144167</v>
      </c>
      <c r="J126" s="2120"/>
      <c r="K126" s="2120">
        <f t="shared" ref="K126:Q126" si="0">K122+K124</f>
        <v>2119992</v>
      </c>
      <c r="L126" s="2120"/>
      <c r="M126" s="2120">
        <f t="shared" si="0"/>
        <v>4767382</v>
      </c>
      <c r="N126" s="2120"/>
      <c r="O126" s="2120">
        <f t="shared" si="0"/>
        <v>0</v>
      </c>
      <c r="P126" s="2120"/>
      <c r="Q126" s="2120">
        <f t="shared" si="0"/>
        <v>6887374</v>
      </c>
      <c r="R126" s="2112"/>
      <c r="S126" s="2086"/>
      <c r="T126" s="2061"/>
    </row>
    <row r="127" spans="1:20" s="2124" customFormat="1" ht="15" customHeight="1" x14ac:dyDescent="0.2">
      <c r="A127" s="2067"/>
      <c r="B127" s="2066"/>
      <c r="C127" s="2119"/>
      <c r="D127" s="2066"/>
      <c r="E127" s="2066"/>
      <c r="F127" s="2067"/>
      <c r="G127" s="2122"/>
      <c r="H127" s="2122"/>
      <c r="I127" s="2122"/>
      <c r="J127" s="2122"/>
      <c r="K127" s="2122"/>
      <c r="L127" s="2122"/>
      <c r="M127" s="2122"/>
      <c r="N127" s="2122"/>
      <c r="O127" s="2122"/>
      <c r="P127" s="2122"/>
      <c r="Q127" s="2122">
        <f>Q126-Q119</f>
        <v>0</v>
      </c>
      <c r="R127" s="2112"/>
      <c r="S127" s="2086"/>
      <c r="T127" s="2061"/>
    </row>
    <row r="128" spans="1:20" s="2124" customFormat="1" ht="15" customHeight="1" x14ac:dyDescent="0.2">
      <c r="A128" s="2066" t="s">
        <v>2206</v>
      </c>
      <c r="B128" s="2068"/>
      <c r="C128" s="2066"/>
      <c r="D128" s="2066"/>
      <c r="E128" s="2066"/>
      <c r="F128" s="2067"/>
      <c r="G128" s="2086"/>
      <c r="H128" s="2086"/>
      <c r="I128" s="2086"/>
      <c r="J128" s="2087"/>
      <c r="K128" s="2086"/>
      <c r="L128" s="2086"/>
      <c r="M128" s="2086"/>
      <c r="N128" s="2086"/>
      <c r="O128" s="2086"/>
      <c r="P128" s="2087"/>
      <c r="Q128" s="2086"/>
      <c r="R128" s="2086"/>
      <c r="S128" s="2086"/>
      <c r="T128" s="2061"/>
    </row>
    <row r="129" spans="1:21" s="2124" customFormat="1" ht="15" customHeight="1" x14ac:dyDescent="0.2">
      <c r="A129" s="2066" t="s">
        <v>2207</v>
      </c>
      <c r="B129" s="2068"/>
      <c r="C129" s="2066"/>
      <c r="D129" s="2066"/>
      <c r="E129" s="2066"/>
      <c r="F129" s="2067"/>
      <c r="G129" s="2086"/>
      <c r="H129" s="2086"/>
      <c r="I129" s="2086"/>
      <c r="J129" s="2087"/>
      <c r="K129" s="2086"/>
      <c r="L129" s="2086"/>
      <c r="M129" s="2086"/>
      <c r="N129" s="2086"/>
      <c r="O129" s="2086"/>
      <c r="P129" s="2087"/>
      <c r="Q129" s="2086"/>
      <c r="R129" s="2086"/>
      <c r="S129" s="2086"/>
      <c r="T129" s="2061"/>
    </row>
    <row r="130" spans="1:21" s="2124" customFormat="1" ht="15" customHeight="1" x14ac:dyDescent="0.2">
      <c r="A130" s="2125" t="s">
        <v>2208</v>
      </c>
      <c r="B130" s="2068"/>
      <c r="C130" s="2066"/>
      <c r="D130" s="2066"/>
      <c r="E130" s="2066"/>
      <c r="F130" s="2067"/>
      <c r="G130" s="2086"/>
      <c r="H130" s="2086"/>
      <c r="I130" s="2086"/>
      <c r="J130" s="2087"/>
      <c r="K130" s="2086"/>
      <c r="L130" s="2086"/>
      <c r="M130" s="2086"/>
      <c r="N130" s="2086"/>
      <c r="O130" s="2086"/>
      <c r="P130" s="2087"/>
      <c r="Q130" s="2086"/>
      <c r="R130" s="2086"/>
      <c r="S130" s="2086"/>
      <c r="T130" s="2061"/>
    </row>
    <row r="131" spans="1:21" s="2124" customFormat="1" ht="15" customHeight="1" x14ac:dyDescent="0.2">
      <c r="A131" s="2072" t="s">
        <v>2209</v>
      </c>
      <c r="B131" s="2072"/>
      <c r="C131" s="2066"/>
      <c r="D131" s="2066"/>
      <c r="E131" s="2066"/>
      <c r="F131" s="2067"/>
      <c r="G131" s="2086"/>
      <c r="H131" s="2086"/>
      <c r="I131" s="2086"/>
      <c r="J131" s="2087"/>
      <c r="K131" s="2086"/>
      <c r="L131" s="2086"/>
      <c r="M131" s="2086"/>
      <c r="N131" s="2086"/>
      <c r="O131" s="2086"/>
      <c r="P131" s="2087"/>
      <c r="Q131" s="2086"/>
      <c r="R131" s="2086"/>
      <c r="S131" s="2086"/>
      <c r="T131" s="2061"/>
    </row>
    <row r="132" spans="1:21" s="2124" customFormat="1" ht="13.5" customHeight="1" x14ac:dyDescent="0.2">
      <c r="A132" s="2126" t="s">
        <v>2210</v>
      </c>
      <c r="B132" s="2126"/>
      <c r="C132" s="2061"/>
      <c r="D132" s="2061"/>
      <c r="E132" s="2061"/>
      <c r="F132" s="2060"/>
      <c r="G132" s="2127"/>
      <c r="H132" s="2127"/>
      <c r="I132" s="2127"/>
      <c r="J132" s="2128"/>
      <c r="K132" s="2127"/>
      <c r="L132" s="2127"/>
      <c r="M132" s="2127"/>
      <c r="N132" s="2127"/>
      <c r="O132" s="2127"/>
      <c r="P132" s="2128"/>
      <c r="Q132" s="2127"/>
      <c r="R132" s="2127"/>
      <c r="S132" s="2127"/>
      <c r="T132" s="2061"/>
    </row>
    <row r="133" spans="1:21" s="2124" customFormat="1" ht="15" customHeight="1" x14ac:dyDescent="0.2">
      <c r="A133" s="2129" t="s">
        <v>2211</v>
      </c>
      <c r="B133" s="2130"/>
      <c r="C133" s="2131"/>
      <c r="D133" s="2132"/>
      <c r="E133" s="2132"/>
      <c r="F133" s="2132"/>
      <c r="G133" s="2132"/>
      <c r="H133" s="2132"/>
      <c r="I133" s="2132"/>
      <c r="J133" s="2132"/>
      <c r="T133" s="2061"/>
    </row>
    <row r="134" spans="1:21" s="2124" customFormat="1" ht="15" customHeight="1" x14ac:dyDescent="0.2">
      <c r="A134" s="2132" t="s">
        <v>2212</v>
      </c>
      <c r="B134" s="2133"/>
      <c r="C134" s="2134"/>
      <c r="T134" s="2061"/>
    </row>
    <row r="135" spans="1:21" s="2124" customFormat="1" ht="15" customHeight="1" x14ac:dyDescent="0.2">
      <c r="A135" s="2132" t="s">
        <v>2213</v>
      </c>
      <c r="B135" s="2133"/>
      <c r="C135" s="2134"/>
      <c r="T135" s="2061"/>
    </row>
    <row r="136" spans="1:21" s="2124" customFormat="1" ht="15" customHeight="1" x14ac:dyDescent="0.2">
      <c r="A136" s="2132" t="s">
        <v>2214</v>
      </c>
      <c r="B136" s="2133"/>
      <c r="C136" s="2134"/>
      <c r="T136" s="2061"/>
    </row>
    <row r="137" spans="1:21" s="2135" customFormat="1" ht="15" customHeight="1" x14ac:dyDescent="0.15">
      <c r="B137" s="2136"/>
      <c r="C137" s="2137"/>
      <c r="F137" s="2138"/>
      <c r="G137" s="2138"/>
      <c r="H137" s="2138"/>
      <c r="I137" s="2138"/>
      <c r="J137" s="2139"/>
    </row>
    <row r="138" spans="1:21" ht="15" customHeight="1" x14ac:dyDescent="0.2"/>
    <row r="139" spans="1:21" ht="15" customHeight="1" x14ac:dyDescent="0.2"/>
    <row r="140" spans="1:21" ht="15" customHeight="1" x14ac:dyDescent="0.2"/>
    <row r="141" spans="1:21" ht="15" customHeight="1" x14ac:dyDescent="0.2"/>
    <row r="142" spans="1:21" ht="15" customHeight="1" x14ac:dyDescent="0.2">
      <c r="T142" s="2061">
        <v>622361</v>
      </c>
      <c r="U142" s="2068" t="s">
        <v>2215</v>
      </c>
    </row>
    <row r="143" spans="1:21" ht="15" customHeight="1" x14ac:dyDescent="0.2">
      <c r="T143" s="2061">
        <v>842924</v>
      </c>
      <c r="U143" s="2068" t="s">
        <v>2215</v>
      </c>
    </row>
    <row r="144" spans="1:21" ht="15" customHeight="1" x14ac:dyDescent="0.2">
      <c r="B144" s="2126"/>
      <c r="C144" s="2140"/>
      <c r="D144" s="2061"/>
      <c r="E144" s="2141"/>
      <c r="F144" s="2060"/>
      <c r="G144" s="2127"/>
      <c r="H144" s="2127"/>
      <c r="I144" s="2127"/>
      <c r="J144" s="2128"/>
      <c r="K144" s="2127"/>
      <c r="L144" s="2127"/>
      <c r="M144" s="2127"/>
      <c r="N144" s="2127"/>
      <c r="O144" s="2127"/>
      <c r="P144" s="2128"/>
      <c r="Q144" s="2142"/>
      <c r="R144" s="2127"/>
      <c r="S144" s="2127"/>
      <c r="T144" s="2061"/>
    </row>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sheetData>
  <mergeCells count="4">
    <mergeCell ref="A5:S5"/>
    <mergeCell ref="A6:S6"/>
    <mergeCell ref="A7:S7"/>
    <mergeCell ref="A8:S8"/>
  </mergeCells>
  <printOptions horizontalCentered="1" gridLinesSet="0"/>
  <pageMargins left="0.5" right="0.4" top="0.75" bottom="0" header="0.5" footer="0"/>
  <pageSetup scale="69" fitToWidth="0" fitToHeight="0" orientation="landscape" horizontalDpi="1200" verticalDpi="1200" r:id="rId1"/>
  <headerFooter alignWithMargins="0">
    <oddFooter>&amp;L&amp;"Times New Roman,Regular"See the accompanying notes to the Schedule of Expenditures of Federal Awards.</oddFooter>
  </headerFooter>
  <rowBreaks count="1" manualBreakCount="1">
    <brk id="73" max="1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32" t="str">
        <f>'Single Audit Cover'!A7</f>
        <v xml:space="preserve">   Kewanee CUSD 229</v>
      </c>
      <c r="C1" s="2679"/>
      <c r="D1" s="2679"/>
      <c r="E1" s="2679"/>
      <c r="F1" s="2679"/>
      <c r="G1" s="2679"/>
      <c r="H1" s="2679"/>
      <c r="I1" s="2679"/>
      <c r="J1" s="2679"/>
      <c r="K1" s="2679"/>
      <c r="L1" s="2679"/>
      <c r="M1" s="2679"/>
    </row>
    <row r="2" spans="2:14" ht="15" x14ac:dyDescent="0.2">
      <c r="B2" s="2680">
        <f>'Single Audit Cover'!E7</f>
        <v>28037229026</v>
      </c>
      <c r="C2" s="2680"/>
      <c r="D2" s="2680"/>
      <c r="E2" s="2680"/>
      <c r="F2" s="2680"/>
      <c r="G2" s="2680"/>
      <c r="H2" s="2680"/>
      <c r="I2" s="2680"/>
      <c r="J2" s="2680"/>
      <c r="K2" s="2680"/>
      <c r="L2" s="2680"/>
      <c r="M2" s="2680"/>
      <c r="N2" s="1078"/>
    </row>
    <row r="3" spans="2:14" ht="15" x14ac:dyDescent="0.2">
      <c r="B3" s="2681" t="s">
        <v>1208</v>
      </c>
      <c r="C3" s="2681"/>
      <c r="D3" s="2681"/>
      <c r="E3" s="2681"/>
      <c r="F3" s="2681"/>
      <c r="G3" s="2681"/>
      <c r="H3" s="2681"/>
      <c r="I3" s="2681"/>
      <c r="J3" s="2681"/>
      <c r="K3" s="2681"/>
      <c r="L3" s="2681"/>
      <c r="M3" s="2681"/>
      <c r="N3" s="1078"/>
    </row>
    <row r="4" spans="2:14" ht="15" x14ac:dyDescent="0.2">
      <c r="B4" s="2682" t="str">
        <f>'Single Audit Cover'!A4</f>
        <v>Year Ending June 30, 2020</v>
      </c>
      <c r="C4" s="2682"/>
      <c r="D4" s="2682"/>
      <c r="E4" s="2682"/>
      <c r="F4" s="2682"/>
      <c r="G4" s="2682"/>
      <c r="H4" s="2682"/>
      <c r="I4" s="2682"/>
      <c r="J4" s="2682"/>
      <c r="K4" s="2682"/>
      <c r="L4" s="2682"/>
      <c r="M4" s="2682"/>
      <c r="N4" s="1078"/>
    </row>
    <row r="5" spans="2:14" x14ac:dyDescent="0.2">
      <c r="H5" s="1915"/>
      <c r="J5" s="1915"/>
    </row>
    <row r="6" spans="2:14" x14ac:dyDescent="0.2">
      <c r="B6" s="1079"/>
      <c r="C6" s="1080"/>
      <c r="D6" s="1081" t="s">
        <v>1254</v>
      </c>
      <c r="E6" s="1082" t="s">
        <v>524</v>
      </c>
      <c r="F6" s="1083"/>
      <c r="G6" s="1084" t="s">
        <v>1707</v>
      </c>
      <c r="H6" s="1082"/>
      <c r="I6" s="1082"/>
      <c r="J6" s="1916"/>
      <c r="K6" s="1085"/>
      <c r="L6" s="1086"/>
      <c r="M6" s="1087"/>
    </row>
    <row r="7" spans="2:14" x14ac:dyDescent="0.2">
      <c r="B7" s="1088" t="s">
        <v>1563</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1708</v>
      </c>
      <c r="D9" s="1090" t="s">
        <v>1709</v>
      </c>
      <c r="E9" s="1914" t="str">
        <f>"7/1/"&amp;MID('AFR20'!$E$2,3,2)-2&amp;"-6/30/"&amp;MID('AFR20'!$E$2,3,2)-1</f>
        <v>7/1/18-6/30/19</v>
      </c>
      <c r="F9" s="1914" t="str">
        <f>"7/1/"&amp;MID('AFR20'!$E$2,3,2)-1&amp;"-6/30/"&amp;MID('AFR20'!$E$2,3,2)</f>
        <v>7/1/19-6/30/20</v>
      </c>
      <c r="G9" s="1914" t="str">
        <f>"7/1/"&amp;MID('AFR20'!$E$2,3,2)-2&amp;"-6/30/"&amp;MID('AFR20'!$E$2,3,2)-1</f>
        <v>7/1/18-6/30/19</v>
      </c>
      <c r="H9" s="1093" t="s">
        <v>1564</v>
      </c>
      <c r="I9" s="1914" t="str">
        <f>"7/1/"&amp;MID('AFR20'!$E$2,3,2)-1&amp;"-6/30/"&amp;MID('AFR20'!$E$2,3,2)</f>
        <v>7/1/19-6/30/20</v>
      </c>
      <c r="J9" s="1094" t="s">
        <v>1564</v>
      </c>
      <c r="K9" s="1095" t="s">
        <v>1247</v>
      </c>
      <c r="L9" s="1102" t="s">
        <v>1565</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t="s">
        <v>2054</v>
      </c>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1807</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65" t="s">
        <v>1158</v>
      </c>
      <c r="B2" s="2265"/>
      <c r="C2" s="2265"/>
      <c r="D2" s="2265"/>
      <c r="E2" s="2265"/>
      <c r="F2" s="2265"/>
      <c r="G2" s="2265"/>
      <c r="H2" s="2265"/>
      <c r="I2" s="2265"/>
      <c r="J2" s="2265"/>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t="s">
        <v>2046</v>
      </c>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1614</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1765</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79" t="s">
        <v>1615</v>
      </c>
      <c r="B35" s="2280"/>
      <c r="C35" s="2280"/>
      <c r="D35" s="2280"/>
      <c r="E35" s="2281"/>
      <c r="F35" s="2281"/>
      <c r="G35" s="2281"/>
      <c r="H35" s="2281"/>
      <c r="I35" s="228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79" t="s">
        <v>310</v>
      </c>
      <c r="B47" s="2282"/>
      <c r="C47" s="2282"/>
      <c r="D47" s="2282"/>
      <c r="E47" s="2283"/>
      <c r="F47" s="2283"/>
      <c r="G47" s="2283"/>
      <c r="H47" s="2283"/>
      <c r="I47" s="228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2046</v>
      </c>
      <c r="C50" s="222">
        <v>20</v>
      </c>
      <c r="D50" s="238" t="s">
        <v>1621</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1764</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86"/>
      <c r="C57" s="2287"/>
      <c r="D57" s="2287"/>
      <c r="E57" s="2287"/>
      <c r="F57" s="2287"/>
      <c r="G57" s="2287"/>
      <c r="H57" s="2287"/>
      <c r="I57" s="2287"/>
      <c r="J57" s="2288"/>
    </row>
    <row r="58" spans="1:10" s="176" customFormat="1" x14ac:dyDescent="0.2">
      <c r="A58" s="248"/>
      <c r="B58" s="2289"/>
      <c r="C58" s="2290"/>
      <c r="D58" s="2290"/>
      <c r="E58" s="2290"/>
      <c r="F58" s="2290"/>
      <c r="G58" s="2290"/>
      <c r="H58" s="2290"/>
      <c r="I58" s="2290"/>
      <c r="J58" s="2291"/>
    </row>
    <row r="59" spans="1:10" s="176" customFormat="1" x14ac:dyDescent="0.2">
      <c r="A59" s="248"/>
      <c r="B59" s="2289"/>
      <c r="C59" s="2290"/>
      <c r="D59" s="2290"/>
      <c r="E59" s="2290"/>
      <c r="F59" s="2290"/>
      <c r="G59" s="2290"/>
      <c r="H59" s="2290"/>
      <c r="I59" s="2290"/>
      <c r="J59" s="2291"/>
    </row>
    <row r="60" spans="1:10" s="176" customFormat="1" x14ac:dyDescent="0.2">
      <c r="A60" s="248"/>
      <c r="B60" s="2289"/>
      <c r="C60" s="2290"/>
      <c r="D60" s="2290"/>
      <c r="E60" s="2290"/>
      <c r="F60" s="2290"/>
      <c r="G60" s="2290"/>
      <c r="H60" s="2290"/>
      <c r="I60" s="2290"/>
      <c r="J60" s="2291"/>
    </row>
    <row r="61" spans="1:10" s="176" customFormat="1" x14ac:dyDescent="0.2">
      <c r="A61" s="248"/>
      <c r="B61" s="2289"/>
      <c r="C61" s="2290"/>
      <c r="D61" s="2290"/>
      <c r="E61" s="2290"/>
      <c r="F61" s="2290"/>
      <c r="G61" s="2290"/>
      <c r="H61" s="2290"/>
      <c r="I61" s="2290"/>
      <c r="J61" s="2291"/>
    </row>
    <row r="62" spans="1:10" s="176" customFormat="1" x14ac:dyDescent="0.2">
      <c r="A62" s="248"/>
      <c r="B62" s="2289"/>
      <c r="C62" s="2290"/>
      <c r="D62" s="2290"/>
      <c r="E62" s="2290"/>
      <c r="F62" s="2290"/>
      <c r="G62" s="2290"/>
      <c r="H62" s="2290"/>
      <c r="I62" s="2290"/>
      <c r="J62" s="2291"/>
    </row>
    <row r="63" spans="1:10" s="176" customFormat="1" x14ac:dyDescent="0.2">
      <c r="A63" s="248"/>
      <c r="B63" s="2289"/>
      <c r="C63" s="2290"/>
      <c r="D63" s="2290"/>
      <c r="E63" s="2290"/>
      <c r="F63" s="2290"/>
      <c r="G63" s="2290"/>
      <c r="H63" s="2290"/>
      <c r="I63" s="2290"/>
      <c r="J63" s="2291"/>
    </row>
    <row r="64" spans="1:10" s="176" customFormat="1" x14ac:dyDescent="0.2">
      <c r="A64" s="248"/>
      <c r="B64" s="2289"/>
      <c r="C64" s="2290"/>
      <c r="D64" s="2290"/>
      <c r="E64" s="2290"/>
      <c r="F64" s="2290"/>
      <c r="G64" s="2290"/>
      <c r="H64" s="2290"/>
      <c r="I64" s="2290"/>
      <c r="J64" s="2291"/>
    </row>
    <row r="65" spans="1:11" s="176" customFormat="1" x14ac:dyDescent="0.2">
      <c r="A65" s="248"/>
      <c r="B65" s="2289"/>
      <c r="C65" s="2290"/>
      <c r="D65" s="2290"/>
      <c r="E65" s="2290"/>
      <c r="F65" s="2290"/>
      <c r="G65" s="2290"/>
      <c r="H65" s="2290"/>
      <c r="I65" s="2290"/>
      <c r="J65" s="2291"/>
    </row>
    <row r="66" spans="1:11" s="176" customFormat="1" x14ac:dyDescent="0.2">
      <c r="A66" s="248"/>
      <c r="B66" s="2289"/>
      <c r="C66" s="2290"/>
      <c r="D66" s="2290"/>
      <c r="E66" s="2290"/>
      <c r="F66" s="2290"/>
      <c r="G66" s="2290"/>
      <c r="H66" s="2290"/>
      <c r="I66" s="2290"/>
      <c r="J66" s="2291"/>
    </row>
    <row r="67" spans="1:11" s="176" customFormat="1" ht="9" customHeight="1" x14ac:dyDescent="0.2">
      <c r="A67" s="249"/>
      <c r="B67" s="2292"/>
      <c r="C67" s="2293"/>
      <c r="D67" s="2293"/>
      <c r="E67" s="2293"/>
      <c r="F67" s="2293"/>
      <c r="G67" s="2293"/>
      <c r="H67" s="2293"/>
      <c r="I67" s="2293"/>
      <c r="J67" s="229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79" t="s">
        <v>1312</v>
      </c>
      <c r="B70" s="2282"/>
      <c r="C70" s="2282"/>
      <c r="D70" s="2282"/>
      <c r="E70" s="2283"/>
      <c r="F70" s="2283"/>
      <c r="G70" s="2283"/>
      <c r="H70" s="2283"/>
      <c r="I70" s="228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1986</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1627</v>
      </c>
      <c r="G77" s="275" t="s">
        <v>1867</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1985</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84" t="s">
        <v>1309</v>
      </c>
      <c r="B83" s="2284"/>
      <c r="C83" s="2284"/>
      <c r="D83" s="228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95" t="s">
        <v>1984</v>
      </c>
      <c r="B85" s="2295"/>
      <c r="C85" s="2295"/>
      <c r="D85" s="229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97" t="s">
        <v>1984</v>
      </c>
      <c r="B88" s="2298"/>
      <c r="C88" s="2298"/>
      <c r="D88" s="229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1988</v>
      </c>
      <c r="C92" s="174"/>
      <c r="E92" s="255"/>
      <c r="F92" s="274"/>
      <c r="H92" s="275"/>
    </row>
    <row r="93" spans="1:10" s="176" customFormat="1" ht="16.5" customHeight="1" x14ac:dyDescent="0.2">
      <c r="A93" s="214"/>
      <c r="B93" s="276"/>
      <c r="C93" s="242" t="s">
        <v>1987</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1159</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66" t="s">
        <v>2281</v>
      </c>
      <c r="C102" s="2267"/>
      <c r="D102" s="2267"/>
      <c r="E102" s="2267"/>
      <c r="F102" s="2267"/>
      <c r="G102" s="2267"/>
      <c r="H102" s="2267"/>
      <c r="I102" s="2268"/>
    </row>
    <row r="103" spans="1:9" s="176" customFormat="1" ht="11.25" customHeight="1" x14ac:dyDescent="0.2">
      <c r="A103" s="294"/>
      <c r="B103" s="2269"/>
      <c r="C103" s="2270"/>
      <c r="D103" s="2270"/>
      <c r="E103" s="2270"/>
      <c r="F103" s="2270"/>
      <c r="G103" s="2270"/>
      <c r="H103" s="2270"/>
      <c r="I103" s="2271"/>
    </row>
    <row r="104" spans="1:9" s="176" customFormat="1" ht="11.25" customHeight="1" x14ac:dyDescent="0.2">
      <c r="A104" s="294"/>
      <c r="B104" s="2269"/>
      <c r="C104" s="2270"/>
      <c r="D104" s="2270"/>
      <c r="E104" s="2270"/>
      <c r="F104" s="2270"/>
      <c r="G104" s="2270"/>
      <c r="H104" s="2270"/>
      <c r="I104" s="2271"/>
    </row>
    <row r="105" spans="1:9" s="176" customFormat="1" x14ac:dyDescent="0.2">
      <c r="A105" s="294"/>
      <c r="B105" s="2269"/>
      <c r="C105" s="2270"/>
      <c r="D105" s="2270"/>
      <c r="E105" s="2270"/>
      <c r="F105" s="2270"/>
      <c r="G105" s="2270"/>
      <c r="H105" s="2270"/>
      <c r="I105" s="2271"/>
    </row>
    <row r="106" spans="1:9" s="176" customFormat="1" ht="11.25" customHeight="1" x14ac:dyDescent="0.2">
      <c r="A106" s="294"/>
      <c r="B106" s="2269"/>
      <c r="C106" s="2270"/>
      <c r="D106" s="2270"/>
      <c r="E106" s="2270"/>
      <c r="F106" s="2270"/>
      <c r="G106" s="2270"/>
      <c r="H106" s="2270"/>
      <c r="I106" s="2271"/>
    </row>
    <row r="107" spans="1:9" s="176" customFormat="1" ht="11.25" customHeight="1" x14ac:dyDescent="0.2">
      <c r="A107" s="294"/>
      <c r="B107" s="2269"/>
      <c r="C107" s="2270"/>
      <c r="D107" s="2270"/>
      <c r="E107" s="2270"/>
      <c r="F107" s="2270"/>
      <c r="G107" s="2270"/>
      <c r="H107" s="2270"/>
      <c r="I107" s="2271"/>
    </row>
    <row r="108" spans="1:9" s="176" customFormat="1" ht="11.25" customHeight="1" x14ac:dyDescent="0.2">
      <c r="A108" s="294"/>
      <c r="B108" s="2269"/>
      <c r="C108" s="2270"/>
      <c r="D108" s="2270"/>
      <c r="E108" s="2270"/>
      <c r="F108" s="2270"/>
      <c r="G108" s="2270"/>
      <c r="H108" s="2270"/>
      <c r="I108" s="2271"/>
    </row>
    <row r="109" spans="1:9" s="176" customFormat="1" ht="11.25" customHeight="1" x14ac:dyDescent="0.2">
      <c r="A109" s="294"/>
      <c r="B109" s="2269"/>
      <c r="C109" s="2270"/>
      <c r="D109" s="2270"/>
      <c r="E109" s="2270"/>
      <c r="F109" s="2270"/>
      <c r="G109" s="2270"/>
      <c r="H109" s="2270"/>
      <c r="I109" s="2271"/>
    </row>
    <row r="110" spans="1:9" s="176" customFormat="1" ht="11.25" customHeight="1" x14ac:dyDescent="0.2">
      <c r="A110" s="294"/>
      <c r="B110" s="2269"/>
      <c r="C110" s="2270"/>
      <c r="D110" s="2270"/>
      <c r="E110" s="2270"/>
      <c r="F110" s="2270"/>
      <c r="G110" s="2270"/>
      <c r="H110" s="2270"/>
      <c r="I110" s="2271"/>
    </row>
    <row r="111" spans="1:9" s="176" customFormat="1" ht="11.25" customHeight="1" x14ac:dyDescent="0.2">
      <c r="A111" s="294"/>
      <c r="B111" s="2269"/>
      <c r="C111" s="2270"/>
      <c r="D111" s="2270"/>
      <c r="E111" s="2270"/>
      <c r="F111" s="2270"/>
      <c r="G111" s="2270"/>
      <c r="H111" s="2270"/>
      <c r="I111" s="2271"/>
    </row>
    <row r="112" spans="1:9" s="176" customFormat="1" ht="11.25" customHeight="1" x14ac:dyDescent="0.2">
      <c r="A112" s="294"/>
      <c r="B112" s="2272"/>
      <c r="C112" s="2273"/>
      <c r="D112" s="2273"/>
      <c r="E112" s="2273"/>
      <c r="F112" s="2273"/>
      <c r="G112" s="2273"/>
      <c r="H112" s="2273"/>
      <c r="I112" s="227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75" t="s">
        <v>2047</v>
      </c>
      <c r="D114" s="227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76" t="s">
        <v>1319</v>
      </c>
      <c r="D117" s="2277"/>
      <c r="E117" s="2278"/>
      <c r="F117" s="2278"/>
      <c r="G117" s="2278"/>
      <c r="H117" s="2278"/>
      <c r="I117" s="282"/>
    </row>
    <row r="118" spans="1:9" s="176" customFormat="1" ht="24" customHeight="1" x14ac:dyDescent="0.2">
      <c r="A118" s="294"/>
      <c r="B118" s="294"/>
      <c r="C118" s="294"/>
      <c r="D118" s="301" t="s">
        <v>2286</v>
      </c>
      <c r="E118" s="300"/>
      <c r="F118" s="302"/>
      <c r="G118" s="1473"/>
      <c r="H118" s="300"/>
      <c r="I118" s="282"/>
    </row>
    <row r="119" spans="1:9" s="176" customFormat="1" ht="11.25" customHeight="1" x14ac:dyDescent="0.2">
      <c r="A119" s="303"/>
      <c r="B119" s="303"/>
      <c r="C119" s="304"/>
      <c r="D119" s="305" t="s">
        <v>358</v>
      </c>
      <c r="E119" s="288"/>
      <c r="F119" s="1472" t="s">
        <v>1868</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8"/>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84" t="str">
        <f>'Single Audit Cover'!A7</f>
        <v xml:space="preserve">   Kewanee CUSD 229</v>
      </c>
      <c r="B1" s="2684"/>
      <c r="C1" s="2684"/>
      <c r="D1" s="2684"/>
      <c r="E1" s="2684"/>
      <c r="F1" s="2684"/>
    </row>
    <row r="2" spans="1:7" ht="13.5" customHeight="1" x14ac:dyDescent="0.2">
      <c r="A2" s="2680">
        <f>'Single Audit Cover'!E7</f>
        <v>28037229026</v>
      </c>
      <c r="B2" s="2680"/>
      <c r="C2" s="2680"/>
      <c r="D2" s="2680"/>
      <c r="E2" s="2680"/>
      <c r="F2" s="2680"/>
      <c r="G2" s="1051"/>
    </row>
    <row r="3" spans="1:7" ht="15.75" customHeight="1" x14ac:dyDescent="0.2">
      <c r="A3" s="2685" t="s">
        <v>1260</v>
      </c>
      <c r="B3" s="2685"/>
      <c r="C3" s="2685"/>
      <c r="D3" s="2685"/>
      <c r="E3" s="2685"/>
      <c r="F3" s="2685"/>
    </row>
    <row r="4" spans="1:7" ht="13.5" customHeight="1" x14ac:dyDescent="0.2">
      <c r="A4" s="2686" t="str">
        <f>'Single Audit Cover'!A4</f>
        <v>Year Ending June 30, 2020</v>
      </c>
      <c r="B4" s="2686"/>
      <c r="C4" s="2686"/>
      <c r="D4" s="2686"/>
      <c r="E4" s="2686"/>
      <c r="F4" s="2686"/>
    </row>
    <row r="5" spans="1:7" ht="8.25" customHeight="1" x14ac:dyDescent="0.2">
      <c r="C5" s="295"/>
      <c r="D5" s="295"/>
    </row>
    <row r="6" spans="1:7" ht="13.5" customHeight="1" x14ac:dyDescent="0.2">
      <c r="A6" s="1052" t="s">
        <v>1704</v>
      </c>
      <c r="C6" s="295"/>
      <c r="D6" s="295"/>
    </row>
    <row r="7" spans="1:7" ht="60.95" customHeight="1" x14ac:dyDescent="0.2">
      <c r="A7" s="2683" t="s">
        <v>2067</v>
      </c>
      <c r="B7" s="2683"/>
      <c r="C7" s="2683"/>
      <c r="D7" s="2683"/>
      <c r="E7" s="2683"/>
      <c r="F7" s="2683"/>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1530</v>
      </c>
      <c r="B10" s="1056"/>
      <c r="C10" s="1057"/>
      <c r="D10" s="1056" t="s">
        <v>1531</v>
      </c>
      <c r="E10" s="1057" t="s">
        <v>2066</v>
      </c>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5" customHeight="1" x14ac:dyDescent="0.2">
      <c r="A13" s="2683" t="s">
        <v>2068</v>
      </c>
      <c r="B13" s="2683"/>
      <c r="C13" s="2683"/>
      <c r="D13" s="2683"/>
      <c r="E13" s="2683"/>
      <c r="F13" s="2683"/>
    </row>
    <row r="14" spans="1:7" ht="9.75" customHeight="1" x14ac:dyDescent="0.2">
      <c r="C14" s="1036"/>
      <c r="D14" s="1036"/>
    </row>
    <row r="15" spans="1:7" ht="13.5" customHeight="1" x14ac:dyDescent="0.2">
      <c r="C15" s="1476" t="s">
        <v>1259</v>
      </c>
      <c r="D15" s="2688" t="s">
        <v>1258</v>
      </c>
      <c r="E15" s="2688"/>
      <c r="F15" s="2688"/>
    </row>
    <row r="16" spans="1:7" ht="13.5" customHeight="1" x14ac:dyDescent="0.2">
      <c r="A16" s="1058"/>
      <c r="B16" s="1052" t="s">
        <v>1257</v>
      </c>
      <c r="C16" s="1476" t="s">
        <v>1256</v>
      </c>
      <c r="D16" s="2689" t="s">
        <v>1570</v>
      </c>
      <c r="E16" s="2689"/>
      <c r="F16" s="2689"/>
    </row>
    <row r="17" spans="1:6" ht="20.45" customHeight="1" x14ac:dyDescent="0.2">
      <c r="A17" s="1059"/>
      <c r="B17" s="1060" t="s">
        <v>2069</v>
      </c>
      <c r="C17" s="1061"/>
      <c r="D17" s="2687"/>
      <c r="E17" s="2687"/>
      <c r="F17" s="2687"/>
    </row>
    <row r="18" spans="1:6" ht="20.65" hidden="1" customHeight="1" x14ac:dyDescent="0.2">
      <c r="A18" s="1059"/>
      <c r="B18" s="1060"/>
      <c r="C18" s="1061"/>
      <c r="D18" s="2687"/>
      <c r="E18" s="2687"/>
      <c r="F18" s="2687"/>
    </row>
    <row r="19" spans="1:6" ht="20.65" hidden="1" customHeight="1" x14ac:dyDescent="0.2">
      <c r="A19" s="1059"/>
      <c r="B19" s="1060"/>
      <c r="C19" s="1061"/>
      <c r="D19" s="2687"/>
      <c r="E19" s="2687"/>
      <c r="F19" s="2687"/>
    </row>
    <row r="20" spans="1:6" ht="20.65" hidden="1" customHeight="1" x14ac:dyDescent="0.2">
      <c r="A20" s="1059"/>
      <c r="B20" s="1060"/>
      <c r="C20" s="1061"/>
      <c r="D20" s="2687"/>
      <c r="E20" s="2687"/>
      <c r="F20" s="2687"/>
    </row>
    <row r="21" spans="1:6" ht="20.65" hidden="1" customHeight="1" x14ac:dyDescent="0.2">
      <c r="A21" s="1059"/>
      <c r="B21" s="1060"/>
      <c r="C21" s="1061"/>
      <c r="D21" s="2687"/>
      <c r="E21" s="2687"/>
      <c r="F21" s="2687"/>
    </row>
    <row r="22" spans="1:6" ht="20.65" hidden="1" customHeight="1" x14ac:dyDescent="0.2">
      <c r="A22" s="1059"/>
      <c r="B22" s="1060"/>
      <c r="C22" s="1061"/>
      <c r="D22" s="2687"/>
      <c r="E22" s="2687"/>
      <c r="F22" s="2687"/>
    </row>
    <row r="23" spans="1:6" ht="20.65" hidden="1" customHeight="1" x14ac:dyDescent="0.2">
      <c r="A23" s="1059"/>
      <c r="B23" s="1060"/>
      <c r="C23" s="1061"/>
      <c r="D23" s="2687"/>
      <c r="E23" s="2687"/>
      <c r="F23" s="2687"/>
    </row>
    <row r="24" spans="1:6" ht="20.65" hidden="1" customHeight="1" x14ac:dyDescent="0.2">
      <c r="A24" s="1059"/>
      <c r="B24" s="1060"/>
      <c r="C24" s="1061"/>
      <c r="D24" s="2687"/>
      <c r="E24" s="2687"/>
      <c r="F24" s="2687"/>
    </row>
    <row r="25" spans="1:6" ht="20.65" hidden="1" customHeight="1" x14ac:dyDescent="0.2">
      <c r="A25" s="1059"/>
      <c r="B25" s="1060"/>
      <c r="C25" s="1061"/>
      <c r="D25" s="2687"/>
      <c r="E25" s="2687"/>
      <c r="F25" s="2687"/>
    </row>
    <row r="26" spans="1:6" ht="20.65" hidden="1" customHeight="1" x14ac:dyDescent="0.2">
      <c r="A26" s="1059"/>
      <c r="B26" s="1060"/>
      <c r="C26" s="1061"/>
      <c r="D26" s="2687"/>
      <c r="E26" s="2687"/>
      <c r="F26" s="2687"/>
    </row>
    <row r="27" spans="1:6" ht="20.65" hidden="1" customHeight="1" x14ac:dyDescent="0.2">
      <c r="A27" s="1059"/>
      <c r="B27" s="1060"/>
      <c r="C27" s="1061"/>
      <c r="D27" s="2687"/>
      <c r="E27" s="2687"/>
      <c r="F27" s="2687"/>
    </row>
    <row r="28" spans="1:6" ht="20.65" hidden="1" customHeight="1" x14ac:dyDescent="0.2">
      <c r="A28" s="1059"/>
      <c r="B28" s="1060"/>
      <c r="C28" s="1061"/>
      <c r="D28" s="2687"/>
      <c r="E28" s="2687"/>
      <c r="F28" s="2687"/>
    </row>
    <row r="29" spans="1:6" ht="20.65" hidden="1" customHeight="1" x14ac:dyDescent="0.2">
      <c r="A29" s="1059"/>
      <c r="B29" s="1060"/>
      <c r="C29" s="1061"/>
      <c r="D29" s="2687"/>
      <c r="E29" s="2687"/>
      <c r="F29" s="2687"/>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91" t="s">
        <v>2285</v>
      </c>
      <c r="B32" s="2691"/>
      <c r="C32" s="2691"/>
      <c r="D32" s="2691"/>
      <c r="E32" s="2691"/>
      <c r="F32" s="2691"/>
    </row>
    <row r="33" spans="1:6" ht="13.5" customHeight="1" x14ac:dyDescent="0.2">
      <c r="A33" s="306" t="s">
        <v>1417</v>
      </c>
      <c r="B33" s="306"/>
      <c r="C33" s="1064">
        <v>30085</v>
      </c>
      <c r="D33" s="1526"/>
      <c r="E33" s="1062"/>
    </row>
    <row r="34" spans="1:6" ht="13.5" customHeight="1" x14ac:dyDescent="0.2">
      <c r="A34" s="306" t="s">
        <v>1806</v>
      </c>
      <c r="B34" s="306"/>
      <c r="C34" s="1065">
        <v>70829</v>
      </c>
      <c r="D34" s="1526" t="s">
        <v>1571</v>
      </c>
      <c r="E34" s="2692">
        <f>+C33+C34</f>
        <v>100914</v>
      </c>
      <c r="F34" s="2693"/>
    </row>
    <row r="35" spans="1:6" ht="13.5" customHeight="1" x14ac:dyDescent="0.2">
      <c r="A35" s="306"/>
      <c r="B35" s="306"/>
      <c r="C35" s="2035"/>
      <c r="D35" s="1526"/>
      <c r="E35" s="2036"/>
      <c r="F35" s="2037"/>
    </row>
    <row r="36" spans="1:6" ht="13.5" customHeight="1" x14ac:dyDescent="0.2">
      <c r="A36" s="1063" t="s">
        <v>2071</v>
      </c>
      <c r="B36" s="306"/>
      <c r="C36" s="2035"/>
      <c r="D36" s="1526"/>
      <c r="E36" s="2036"/>
      <c r="F36" s="2037"/>
    </row>
    <row r="37" spans="1:6" ht="13.5" customHeight="1" x14ac:dyDescent="0.2">
      <c r="A37" s="2695" t="s">
        <v>2220</v>
      </c>
      <c r="B37" s="2695"/>
      <c r="C37" s="2695"/>
      <c r="D37" s="2695"/>
      <c r="E37" s="2695"/>
      <c r="F37" s="2695"/>
    </row>
    <row r="38" spans="1:6" ht="13.5" customHeight="1" x14ac:dyDescent="0.2">
      <c r="A38" s="2695"/>
      <c r="B38" s="2695"/>
      <c r="C38" s="2695"/>
      <c r="D38" s="2695"/>
      <c r="E38" s="2695"/>
      <c r="F38" s="2695"/>
    </row>
    <row r="39" spans="1:6" ht="13.5" customHeight="1" x14ac:dyDescent="0.2">
      <c r="A39" s="2695"/>
      <c r="B39" s="2695"/>
      <c r="C39" s="2695"/>
      <c r="D39" s="2695"/>
      <c r="E39" s="2695"/>
      <c r="F39" s="2695"/>
    </row>
    <row r="40" spans="1:6" ht="13.5" hidden="1" customHeight="1" x14ac:dyDescent="0.2">
      <c r="A40" s="2695"/>
      <c r="B40" s="2695"/>
      <c r="C40" s="2695"/>
      <c r="D40" s="2695"/>
      <c r="E40" s="2695"/>
      <c r="F40" s="2695"/>
    </row>
    <row r="41" spans="1:6" ht="12" customHeight="1" x14ac:dyDescent="0.2">
      <c r="A41" s="306"/>
      <c r="B41" s="306"/>
      <c r="C41" s="1527"/>
      <c r="D41" s="1526"/>
      <c r="E41" s="1066"/>
      <c r="F41" s="1067"/>
    </row>
    <row r="42" spans="1:6" ht="13.5" customHeight="1" x14ac:dyDescent="0.2">
      <c r="A42" s="1063" t="s">
        <v>2070</v>
      </c>
      <c r="B42" s="306"/>
      <c r="C42" s="1233"/>
      <c r="D42" s="1526"/>
      <c r="E42" s="1062"/>
    </row>
    <row r="43" spans="1:6" ht="14.25" customHeight="1" x14ac:dyDescent="0.2">
      <c r="A43" s="306" t="s">
        <v>1467</v>
      </c>
      <c r="B43" s="306"/>
      <c r="C43" s="1528"/>
      <c r="D43" s="1526"/>
      <c r="E43" s="1062"/>
    </row>
    <row r="44" spans="1:6" ht="14.25" customHeight="1" x14ac:dyDescent="0.2">
      <c r="A44" s="306"/>
      <c r="B44" s="306" t="s">
        <v>1418</v>
      </c>
      <c r="C44" s="1068" t="s">
        <v>380</v>
      </c>
      <c r="D44" s="1526"/>
      <c r="E44" s="1062"/>
    </row>
    <row r="45" spans="1:6" ht="14.25" customHeight="1" x14ac:dyDescent="0.2">
      <c r="A45" s="306"/>
      <c r="B45" s="306" t="s">
        <v>1419</v>
      </c>
      <c r="C45" s="1068" t="s">
        <v>380</v>
      </c>
      <c r="D45" s="1526"/>
      <c r="E45" s="1062"/>
    </row>
    <row r="46" spans="1:6" ht="14.25" customHeight="1" x14ac:dyDescent="0.2">
      <c r="A46" s="306"/>
      <c r="B46" s="306" t="s">
        <v>1420</v>
      </c>
      <c r="C46" s="1068" t="s">
        <v>380</v>
      </c>
      <c r="D46" s="1526"/>
      <c r="E46" s="1062"/>
    </row>
    <row r="47" spans="1:6" ht="14.25" customHeight="1" x14ac:dyDescent="0.2">
      <c r="A47" s="306"/>
      <c r="B47" s="306" t="s">
        <v>1421</v>
      </c>
      <c r="C47" s="1068" t="s">
        <v>380</v>
      </c>
      <c r="D47" s="1526"/>
      <c r="E47" s="1062"/>
    </row>
    <row r="48" spans="1:6" ht="14.25" customHeight="1" x14ac:dyDescent="0.2">
      <c r="A48" s="306" t="s">
        <v>1422</v>
      </c>
      <c r="B48" s="306"/>
      <c r="C48" s="1524" t="s">
        <v>380</v>
      </c>
      <c r="D48" s="1526"/>
      <c r="E48" s="1062"/>
    </row>
    <row r="49" spans="1:6" ht="14.25" customHeight="1" x14ac:dyDescent="0.2">
      <c r="A49" s="306" t="s">
        <v>1423</v>
      </c>
      <c r="B49" s="306"/>
      <c r="C49" s="1069" t="s">
        <v>380</v>
      </c>
      <c r="D49" s="1526"/>
      <c r="E49" s="1062"/>
    </row>
    <row r="50" spans="1:6" ht="14.25" customHeight="1" x14ac:dyDescent="0.2">
      <c r="A50" s="306"/>
      <c r="B50" s="306"/>
      <c r="C50" s="1528" t="s">
        <v>1424</v>
      </c>
      <c r="D50" s="1526"/>
      <c r="E50" s="1062"/>
    </row>
    <row r="51" spans="1:6" ht="13.5" customHeight="1" x14ac:dyDescent="0.2">
      <c r="B51" s="300"/>
      <c r="C51" s="1070"/>
      <c r="D51" s="1070"/>
    </row>
    <row r="52" spans="1:6" x14ac:dyDescent="0.2">
      <c r="A52" s="1071" t="s">
        <v>1706</v>
      </c>
      <c r="C52" s="295"/>
      <c r="D52" s="295"/>
    </row>
    <row r="53" spans="1:6" s="300" customFormat="1" ht="11.25" customHeight="1" x14ac:dyDescent="0.2">
      <c r="A53" s="1072"/>
      <c r="B53" s="1073"/>
      <c r="C53" s="1073"/>
      <c r="D53" s="1073"/>
      <c r="E53" s="1073"/>
      <c r="F53" s="1073"/>
    </row>
    <row r="54" spans="1:6" s="300" customFormat="1" ht="6" customHeight="1" x14ac:dyDescent="0.2">
      <c r="A54" s="1074"/>
    </row>
    <row r="55" spans="1:6" s="1076" customFormat="1" ht="23.25" customHeight="1" x14ac:dyDescent="0.2">
      <c r="A55" s="1075">
        <v>5</v>
      </c>
      <c r="B55" s="2694" t="s">
        <v>1572</v>
      </c>
      <c r="C55" s="2694"/>
      <c r="D55" s="2694"/>
      <c r="E55" s="1168"/>
    </row>
    <row r="56" spans="1:6" s="1076" customFormat="1" ht="3.75" customHeight="1" x14ac:dyDescent="0.2">
      <c r="A56" s="1075"/>
      <c r="B56" s="1475"/>
      <c r="C56" s="1475"/>
      <c r="D56" s="1475"/>
      <c r="E56" s="1168"/>
    </row>
    <row r="57" spans="1:6" s="1076" customFormat="1" ht="20.25" customHeight="1" x14ac:dyDescent="0.2">
      <c r="A57" s="1077">
        <v>6</v>
      </c>
      <c r="B57" s="2690" t="s">
        <v>1533</v>
      </c>
      <c r="C57" s="2690"/>
      <c r="D57" s="2690"/>
    </row>
    <row r="58" spans="1:6" ht="14.25" customHeight="1" x14ac:dyDescent="0.2">
      <c r="A58" s="1077"/>
      <c r="B58" s="2690"/>
      <c r="C58" s="2690"/>
      <c r="D58" s="2690"/>
    </row>
  </sheetData>
  <mergeCells count="27">
    <mergeCell ref="B57:D57"/>
    <mergeCell ref="B58:D58"/>
    <mergeCell ref="D27:F27"/>
    <mergeCell ref="D28:F28"/>
    <mergeCell ref="D29:F29"/>
    <mergeCell ref="A32:F32"/>
    <mergeCell ref="E34:F34"/>
    <mergeCell ref="B55:D55"/>
    <mergeCell ref="A37:F40"/>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7"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00" t="str">
        <f>'Single Audit Cover'!A7</f>
        <v xml:space="preserve">   Kewanee CUSD 229</v>
      </c>
      <c r="C1" s="2701"/>
      <c r="D1" s="2701"/>
      <c r="E1" s="2701"/>
      <c r="F1" s="2701"/>
      <c r="G1" s="2701"/>
      <c r="H1" s="2701"/>
      <c r="I1" s="2701"/>
      <c r="J1" s="1178"/>
    </row>
    <row r="2" spans="2:10" s="295" customFormat="1" ht="12.75" customHeight="1" x14ac:dyDescent="0.2">
      <c r="B2" s="2702">
        <f>'Single Audit Cover'!E7</f>
        <v>28037229026</v>
      </c>
      <c r="C2" s="2703"/>
      <c r="D2" s="2703"/>
      <c r="E2" s="2703"/>
      <c r="F2" s="2703"/>
      <c r="G2" s="2703"/>
      <c r="H2" s="2703"/>
      <c r="I2" s="2703"/>
      <c r="J2" s="1178"/>
    </row>
    <row r="3" spans="2:10" s="295" customFormat="1" ht="12.75" customHeight="1" x14ac:dyDescent="0.2">
      <c r="B3" s="2704" t="s">
        <v>1274</v>
      </c>
      <c r="C3" s="2705"/>
      <c r="D3" s="2705"/>
      <c r="E3" s="2705"/>
      <c r="F3" s="2705"/>
      <c r="G3" s="2705"/>
      <c r="H3" s="2705"/>
      <c r="I3" s="2705"/>
      <c r="J3" s="1179"/>
    </row>
    <row r="4" spans="2:10" s="295" customFormat="1" ht="12.75" customHeight="1" x14ac:dyDescent="0.2">
      <c r="B4" s="2704" t="str">
        <f>'Single Audit Cover'!A4</f>
        <v>Year Ending June 30, 2020</v>
      </c>
      <c r="C4" s="2705"/>
      <c r="D4" s="2705"/>
      <c r="E4" s="2705"/>
      <c r="F4" s="2705"/>
      <c r="G4" s="2705"/>
      <c r="H4" s="2705"/>
      <c r="I4" s="2705"/>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704" t="s">
        <v>1273</v>
      </c>
      <c r="C7" s="2705"/>
      <c r="D7" s="2705"/>
      <c r="E7" s="2705"/>
      <c r="F7" s="2705"/>
      <c r="G7" s="2705"/>
      <c r="H7" s="2705"/>
      <c r="I7" s="2705"/>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706" t="s">
        <v>2072</v>
      </c>
      <c r="D11" s="2706"/>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2066</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2066</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879</v>
      </c>
      <c r="G20" s="1194" t="s">
        <v>2066</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2066</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t="s">
        <v>2066</v>
      </c>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707" t="s">
        <v>2073</v>
      </c>
      <c r="E29" s="2707"/>
      <c r="F29" s="2707"/>
      <c r="G29" s="2707"/>
      <c r="H29" s="2707"/>
      <c r="I29" s="2707"/>
    </row>
    <row r="30" spans="2:9" s="295" customFormat="1" x14ac:dyDescent="0.2">
      <c r="B30" s="1138"/>
      <c r="C30" s="300"/>
      <c r="D30" s="1189" t="s">
        <v>1721</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1534</v>
      </c>
      <c r="C33" s="1058"/>
      <c r="E33" s="1194" t="s">
        <v>2066</v>
      </c>
      <c r="F33" s="1076" t="s">
        <v>879</v>
      </c>
      <c r="G33" s="1194"/>
      <c r="H33" s="1076" t="s">
        <v>99</v>
      </c>
    </row>
    <row r="35" spans="2:9" x14ac:dyDescent="0.2">
      <c r="B35" s="1197" t="s">
        <v>1722</v>
      </c>
      <c r="C35" s="1198"/>
      <c r="D35" s="1043"/>
    </row>
    <row r="36" spans="2:9" ht="6" customHeight="1" x14ac:dyDescent="0.2">
      <c r="B36" s="1197"/>
      <c r="C36" s="1198"/>
      <c r="D36" s="1043"/>
    </row>
    <row r="37" spans="2:9" ht="17.25" customHeight="1" x14ac:dyDescent="0.2">
      <c r="B37" s="1199" t="s">
        <v>1723</v>
      </c>
      <c r="C37" s="2708" t="s">
        <v>1724</v>
      </c>
      <c r="D37" s="2709"/>
      <c r="E37" s="2709"/>
      <c r="F37" s="2710"/>
      <c r="G37" s="2708" t="s">
        <v>1574</v>
      </c>
      <c r="H37" s="2709"/>
      <c r="I37" s="2710"/>
    </row>
    <row r="38" spans="2:9" ht="16.5" customHeight="1" x14ac:dyDescent="0.2">
      <c r="B38" s="1200" t="s">
        <v>2074</v>
      </c>
      <c r="C38" s="2711" t="s">
        <v>2075</v>
      </c>
      <c r="D38" s="2712"/>
      <c r="E38" s="2712"/>
      <c r="F38" s="2713"/>
      <c r="G38" s="2714">
        <v>1324163</v>
      </c>
      <c r="H38" s="2715"/>
      <c r="I38" s="2716"/>
    </row>
    <row r="39" spans="2:9" ht="16.5" customHeight="1" x14ac:dyDescent="0.2">
      <c r="B39" s="2038">
        <v>84.01</v>
      </c>
      <c r="C39" s="2696" t="s">
        <v>2259</v>
      </c>
      <c r="D39" s="2697"/>
      <c r="E39" s="2697"/>
      <c r="F39" s="2698"/>
      <c r="G39" s="2699">
        <f>'SEFA 20'!M57</f>
        <v>1213525</v>
      </c>
      <c r="H39" s="2699"/>
      <c r="I39" s="2699"/>
    </row>
    <row r="40" spans="2:9" ht="16.5" customHeight="1" x14ac:dyDescent="0.2">
      <c r="B40" s="1200" t="s">
        <v>2260</v>
      </c>
      <c r="C40" s="2711" t="s">
        <v>2261</v>
      </c>
      <c r="D40" s="2712"/>
      <c r="E40" s="2712"/>
      <c r="F40" s="2713"/>
      <c r="G40" s="2724">
        <f>'SEFA 20'!M69</f>
        <v>1372336</v>
      </c>
      <c r="H40" s="2724"/>
      <c r="I40" s="2724"/>
    </row>
    <row r="41" spans="2:9" ht="16.5" hidden="1" customHeight="1" x14ac:dyDescent="0.2">
      <c r="B41" s="1200"/>
      <c r="C41" s="2711"/>
      <c r="D41" s="2712"/>
      <c r="E41" s="2712"/>
      <c r="F41" s="2713"/>
      <c r="G41" s="2724"/>
      <c r="H41" s="2724"/>
      <c r="I41" s="2724"/>
    </row>
    <row r="42" spans="2:9" ht="16.5" hidden="1" customHeight="1" x14ac:dyDescent="0.2">
      <c r="B42" s="1200"/>
      <c r="C42" s="2711"/>
      <c r="D42" s="2712"/>
      <c r="E42" s="2712"/>
      <c r="F42" s="2713"/>
      <c r="G42" s="2724"/>
      <c r="H42" s="2724"/>
      <c r="I42" s="2724"/>
    </row>
    <row r="43" spans="2:9" ht="16.5" customHeight="1" x14ac:dyDescent="0.2">
      <c r="B43" s="1200"/>
      <c r="C43" s="2717" t="s">
        <v>1575</v>
      </c>
      <c r="D43" s="2718"/>
      <c r="E43" s="2718"/>
      <c r="F43" s="2719"/>
      <c r="G43" s="2720">
        <f>SUM(G38:I42)</f>
        <v>3910024</v>
      </c>
      <c r="H43" s="2720"/>
      <c r="I43" s="2720"/>
    </row>
    <row r="44" spans="2:9" ht="12.75" customHeight="1" x14ac:dyDescent="0.2"/>
    <row r="45" spans="2:9" ht="12.75" customHeight="1" x14ac:dyDescent="0.2">
      <c r="B45" s="1917" t="str">
        <f>"Total Federal Expenditures for 7/1/"&amp;MID('AFR20'!E2,3,2)-1&amp;"-6/30/"&amp;MID('AFR20'!E2,3,2)</f>
        <v>Total Federal Expenditures for 7/1/19-6/30/20</v>
      </c>
      <c r="C45" s="1918"/>
      <c r="D45" s="2721">
        <f>'SEFA 20'!M126</f>
        <v>4767382</v>
      </c>
      <c r="E45" s="2722"/>
    </row>
    <row r="46" spans="2:9" ht="5.25" customHeight="1" x14ac:dyDescent="0.2">
      <c r="B46" s="1201"/>
      <c r="D46" s="1202"/>
      <c r="E46" s="1203"/>
    </row>
    <row r="47" spans="2:9" ht="12.75" customHeight="1" x14ac:dyDescent="0.2">
      <c r="B47" s="1076" t="s">
        <v>1576</v>
      </c>
      <c r="C47" s="1076"/>
      <c r="D47" s="1204">
        <f>+G43/D45</f>
        <v>0.82016167363974612</v>
      </c>
      <c r="E47" s="1205"/>
      <c r="F47" s="1206"/>
      <c r="I47" s="1207"/>
    </row>
    <row r="48" spans="2:9" ht="9.9499999999999993" customHeight="1" x14ac:dyDescent="0.2"/>
    <row r="49" spans="1:9" x14ac:dyDescent="0.2">
      <c r="B49" s="1138" t="s">
        <v>1262</v>
      </c>
      <c r="C49" s="1058"/>
      <c r="D49" s="1058"/>
      <c r="E49" s="2723">
        <v>750000</v>
      </c>
      <c r="F49" s="2723"/>
      <c r="G49" s="2723"/>
      <c r="H49" s="300"/>
    </row>
    <row r="51" spans="1:9" ht="13.5" customHeight="1" x14ac:dyDescent="0.2">
      <c r="B51" s="1138" t="s">
        <v>1261</v>
      </c>
      <c r="C51" s="1058"/>
      <c r="E51" s="1194"/>
      <c r="F51" s="1076" t="s">
        <v>879</v>
      </c>
      <c r="G51" s="1194" t="s">
        <v>2066</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1725</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1726</v>
      </c>
      <c r="C58" s="1220"/>
      <c r="D58" s="1220"/>
    </row>
    <row r="59" spans="1:9" s="1217" customFormat="1" ht="3.95" customHeight="1" x14ac:dyDescent="0.2">
      <c r="A59" s="1214"/>
      <c r="B59" s="1219"/>
      <c r="C59" s="1220"/>
      <c r="D59" s="1220"/>
    </row>
    <row r="60" spans="1:9" s="1217" customFormat="1" ht="13.5" customHeight="1" x14ac:dyDescent="0.2">
      <c r="A60" s="1214"/>
      <c r="B60" s="1219" t="s">
        <v>1727</v>
      </c>
      <c r="C60" s="1220"/>
      <c r="D60" s="1220"/>
    </row>
    <row r="61" spans="1:9" s="1217" customFormat="1" ht="3.95" customHeight="1" x14ac:dyDescent="0.2">
      <c r="A61" s="1214"/>
      <c r="B61" s="1219"/>
      <c r="C61" s="1220"/>
      <c r="D61" s="1220"/>
    </row>
    <row r="62" spans="1:9" s="1217" customFormat="1" ht="12.75" customHeight="1" x14ac:dyDescent="0.2">
      <c r="A62" s="1214"/>
      <c r="B62" s="1219" t="s">
        <v>1728</v>
      </c>
      <c r="C62" s="1220"/>
      <c r="D62" s="1220"/>
    </row>
    <row r="63" spans="1:9" s="1217" customFormat="1" ht="13.5" customHeight="1" x14ac:dyDescent="0.2">
      <c r="A63" s="1214"/>
      <c r="B63" s="1218" t="s">
        <v>1579</v>
      </c>
      <c r="C63" s="1214"/>
      <c r="D63" s="121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00" t="str">
        <f>'Single Audit Cover'!A7</f>
        <v xml:space="preserve">   Kewanee CUSD 229</v>
      </c>
      <c r="C1" s="2700"/>
      <c r="D1" s="2700"/>
      <c r="E1" s="2700"/>
      <c r="F1" s="2700"/>
      <c r="G1" s="2700"/>
      <c r="H1" s="2700"/>
      <c r="I1" s="2700"/>
      <c r="J1" s="2700"/>
      <c r="K1" s="2700"/>
      <c r="L1" s="1144"/>
      <c r="M1" s="1144"/>
    </row>
    <row r="2" spans="1:13" ht="12" customHeight="1" x14ac:dyDescent="0.2">
      <c r="B2" s="2702">
        <f>'Single Audit Cover'!E7</f>
        <v>28037229026</v>
      </c>
      <c r="C2" s="2702"/>
      <c r="D2" s="2702"/>
      <c r="E2" s="2702"/>
      <c r="F2" s="2702"/>
      <c r="G2" s="2702"/>
      <c r="H2" s="2702"/>
      <c r="I2" s="2702"/>
      <c r="J2" s="2702"/>
      <c r="K2" s="2702"/>
      <c r="L2" s="1145"/>
      <c r="M2" s="1146"/>
    </row>
    <row r="3" spans="1:13" ht="10.35" customHeight="1" x14ac:dyDescent="0.2">
      <c r="B3" s="2727" t="s">
        <v>1274</v>
      </c>
      <c r="C3" s="2727"/>
      <c r="D3" s="2727"/>
      <c r="E3" s="2727"/>
      <c r="F3" s="2727"/>
      <c r="G3" s="2727"/>
      <c r="H3" s="2727"/>
      <c r="I3" s="2727"/>
      <c r="J3" s="2727"/>
      <c r="K3" s="2727"/>
      <c r="L3" s="1147"/>
      <c r="M3" s="1147"/>
    </row>
    <row r="4" spans="1:13" ht="14.25" customHeight="1" x14ac:dyDescent="0.2">
      <c r="B4" s="2728" t="str">
        <f>'Single Audit Cover'!A4</f>
        <v>Year Ending June 30, 2020</v>
      </c>
      <c r="C4" s="2728"/>
      <c r="D4" s="2728"/>
      <c r="E4" s="2728"/>
      <c r="F4" s="2728"/>
      <c r="G4" s="2728"/>
      <c r="H4" s="2728"/>
      <c r="I4" s="2728"/>
      <c r="J4" s="2728"/>
      <c r="K4" s="2728"/>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728" t="s">
        <v>1285</v>
      </c>
      <c r="C7" s="2728"/>
      <c r="D7" s="2729"/>
      <c r="E7" s="2729"/>
      <c r="F7" s="2729"/>
      <c r="G7" s="2729"/>
      <c r="H7" s="2729"/>
      <c r="I7" s="2729"/>
      <c r="J7" s="2729"/>
      <c r="K7" s="272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1715</v>
      </c>
      <c r="C10" s="1919" t="str">
        <f>'AFR20'!$E$2&amp;"-"</f>
        <v>2020-</v>
      </c>
      <c r="D10" s="1155">
        <v>1</v>
      </c>
      <c r="E10" s="300"/>
      <c r="F10" s="1156" t="s">
        <v>1284</v>
      </c>
      <c r="G10" s="1157" t="s">
        <v>2066</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726" t="s">
        <v>2273</v>
      </c>
      <c r="C14" s="2726"/>
      <c r="D14" s="2726"/>
      <c r="E14" s="2726"/>
      <c r="F14" s="2726"/>
      <c r="G14" s="2726"/>
      <c r="H14" s="2726"/>
      <c r="I14" s="2726"/>
      <c r="J14" s="2726"/>
      <c r="K14" s="272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726" t="s">
        <v>2275</v>
      </c>
      <c r="C17" s="2726"/>
      <c r="D17" s="2726"/>
      <c r="E17" s="2726"/>
      <c r="F17" s="2726"/>
      <c r="G17" s="2726"/>
      <c r="H17" s="2726"/>
      <c r="I17" s="2726"/>
      <c r="J17" s="2726"/>
      <c r="K17" s="2726"/>
      <c r="L17" s="1151"/>
    </row>
    <row r="18" spans="2:12" ht="4.5" customHeight="1" x14ac:dyDescent="0.2">
      <c r="B18" s="1167"/>
      <c r="C18" s="1167"/>
      <c r="L18" s="1151"/>
    </row>
    <row r="19" spans="2:12" s="1058" customFormat="1" ht="13.5" customHeight="1" x14ac:dyDescent="0.2">
      <c r="B19" s="1162" t="s">
        <v>1716</v>
      </c>
      <c r="C19" s="1162"/>
      <c r="D19" s="1163"/>
      <c r="E19" s="1163"/>
      <c r="F19" s="1163"/>
      <c r="G19" s="1164"/>
      <c r="H19" s="1163"/>
      <c r="I19" s="1164"/>
      <c r="J19" s="1163"/>
      <c r="K19" s="1163"/>
      <c r="L19" s="1165"/>
    </row>
    <row r="20" spans="2:12" ht="45.75" customHeight="1" x14ac:dyDescent="0.2">
      <c r="B20" s="2730" t="s">
        <v>2270</v>
      </c>
      <c r="C20" s="2730"/>
      <c r="D20" s="2726"/>
      <c r="E20" s="2726"/>
      <c r="F20" s="2726"/>
      <c r="G20" s="2726"/>
      <c r="H20" s="2726"/>
      <c r="I20" s="2726"/>
      <c r="J20" s="2726"/>
      <c r="K20" s="2726"/>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726" t="s">
        <v>2271</v>
      </c>
      <c r="C23" s="2726"/>
      <c r="D23" s="2726"/>
      <c r="E23" s="2726"/>
      <c r="F23" s="2726"/>
      <c r="G23" s="2726"/>
      <c r="H23" s="2726"/>
      <c r="I23" s="2726"/>
      <c r="J23" s="2726"/>
      <c r="K23" s="2726"/>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726" t="s">
        <v>2274</v>
      </c>
      <c r="C26" s="2726"/>
      <c r="D26" s="2726"/>
      <c r="E26" s="2726"/>
      <c r="F26" s="2726"/>
      <c r="G26" s="2726"/>
      <c r="H26" s="2726"/>
      <c r="I26" s="2726"/>
      <c r="J26" s="2726"/>
      <c r="K26" s="2726"/>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725" t="s">
        <v>2276</v>
      </c>
      <c r="C29" s="2725"/>
      <c r="D29" s="2726"/>
      <c r="E29" s="2726"/>
      <c r="F29" s="2726"/>
      <c r="G29" s="2726"/>
      <c r="H29" s="2726"/>
      <c r="I29" s="2726"/>
      <c r="J29" s="2726"/>
      <c r="K29" s="272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1717</v>
      </c>
      <c r="C31" s="1172"/>
      <c r="D31" s="1148"/>
      <c r="E31" s="1149"/>
      <c r="F31" s="1149"/>
      <c r="G31" s="1150"/>
      <c r="H31" s="1149"/>
      <c r="I31" s="1150"/>
      <c r="J31" s="1149"/>
      <c r="K31" s="1149"/>
      <c r="L31" s="1151"/>
    </row>
    <row r="32" spans="2:12" s="300" customFormat="1" ht="44.25" customHeight="1" x14ac:dyDescent="0.2">
      <c r="B32" s="2725" t="s">
        <v>2272</v>
      </c>
      <c r="C32" s="2725"/>
      <c r="D32" s="2726"/>
      <c r="E32" s="2726"/>
      <c r="F32" s="2726"/>
      <c r="G32" s="2726"/>
      <c r="H32" s="2726"/>
      <c r="I32" s="2726"/>
      <c r="J32" s="2726"/>
      <c r="K32" s="2726"/>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1718</v>
      </c>
      <c r="C35" s="1175"/>
      <c r="D35" s="300"/>
      <c r="E35" s="300"/>
      <c r="F35" s="300"/>
      <c r="L35" s="1151"/>
    </row>
    <row r="36" spans="1:13" ht="9.6" customHeight="1" x14ac:dyDescent="0.2">
      <c r="B36" s="1076" t="s">
        <v>1808</v>
      </c>
      <c r="C36" s="1076"/>
      <c r="L36" s="1151"/>
    </row>
    <row r="37" spans="1:13" ht="9.6" customHeight="1" x14ac:dyDescent="0.2">
      <c r="B37" s="1076" t="s">
        <v>1809</v>
      </c>
      <c r="C37" s="1076"/>
    </row>
    <row r="38" spans="1:13" ht="11.85" customHeight="1" x14ac:dyDescent="0.2">
      <c r="B38" s="1176" t="s">
        <v>1719</v>
      </c>
      <c r="C38" s="1176"/>
    </row>
    <row r="39" spans="1:13" ht="9.6" customHeight="1" x14ac:dyDescent="0.2">
      <c r="B39" s="1076" t="s">
        <v>1275</v>
      </c>
      <c r="C39" s="1076"/>
      <c r="M39" s="1177"/>
    </row>
    <row r="40" spans="1:13" ht="12.6" customHeight="1" x14ac:dyDescent="0.2">
      <c r="B40" s="1176" t="s">
        <v>1720</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32" t="str">
        <f>'Single Audit Cover'!A7</f>
        <v xml:space="preserve">   Kewanee CUSD 229</v>
      </c>
      <c r="C1" s="2732"/>
      <c r="D1" s="2732"/>
      <c r="E1" s="2732"/>
      <c r="F1" s="2732"/>
      <c r="G1" s="2732"/>
      <c r="H1" s="2732"/>
      <c r="I1" s="2732"/>
      <c r="J1" s="2732"/>
      <c r="K1" s="2732"/>
      <c r="L1" s="1221"/>
    </row>
    <row r="2" spans="1:12" ht="12.75" customHeight="1" x14ac:dyDescent="0.2">
      <c r="B2" s="2733">
        <f>'Single Audit Cover'!E7</f>
        <v>28037229026</v>
      </c>
      <c r="C2" s="2733"/>
      <c r="D2" s="2733"/>
      <c r="E2" s="2733"/>
      <c r="F2" s="2733"/>
      <c r="G2" s="2733"/>
      <c r="H2" s="2733"/>
      <c r="I2" s="2733"/>
      <c r="J2" s="2733"/>
      <c r="K2" s="2733"/>
      <c r="L2" s="1222"/>
    </row>
    <row r="3" spans="1:12" ht="12.75" customHeight="1" x14ac:dyDescent="0.2">
      <c r="B3" s="2727" t="s">
        <v>1274</v>
      </c>
      <c r="C3" s="2727"/>
      <c r="D3" s="2727"/>
      <c r="E3" s="2727"/>
      <c r="F3" s="2727"/>
      <c r="G3" s="2727"/>
      <c r="H3" s="2727"/>
      <c r="I3" s="2727"/>
      <c r="J3" s="2727"/>
      <c r="K3" s="2727"/>
      <c r="L3" s="1147"/>
    </row>
    <row r="4" spans="1:12" ht="12.75" customHeight="1" x14ac:dyDescent="0.2">
      <c r="B4" s="2727" t="str">
        <f>'Single Audit Cover'!A4</f>
        <v>Year Ending June 30, 2020</v>
      </c>
      <c r="C4" s="2727"/>
      <c r="D4" s="2727"/>
      <c r="E4" s="2727"/>
      <c r="F4" s="2727"/>
      <c r="G4" s="2727"/>
      <c r="H4" s="2727"/>
      <c r="I4" s="2727"/>
      <c r="J4" s="2727"/>
      <c r="K4" s="2727"/>
      <c r="L4" s="1147"/>
    </row>
    <row r="5" spans="1:12" ht="5.25" customHeight="1" x14ac:dyDescent="0.2">
      <c r="B5" s="1036" t="s">
        <v>1159</v>
      </c>
      <c r="C5" s="1036"/>
      <c r="L5" s="300"/>
    </row>
    <row r="6" spans="1:12" ht="30.75" customHeight="1" x14ac:dyDescent="0.2">
      <c r="A6" s="300"/>
      <c r="B6" s="2734" t="s">
        <v>1297</v>
      </c>
      <c r="C6" s="2734"/>
      <c r="D6" s="2734"/>
      <c r="E6" s="2734"/>
      <c r="F6" s="2734"/>
      <c r="G6" s="2734"/>
      <c r="H6" s="2734"/>
      <c r="I6" s="2734"/>
      <c r="J6" s="2734"/>
      <c r="K6" s="2734"/>
      <c r="L6" s="300"/>
    </row>
    <row r="7" spans="1:12" ht="4.5" customHeight="1" x14ac:dyDescent="0.2">
      <c r="B7" s="1149"/>
      <c r="C7" s="1149"/>
      <c r="D7" s="1149"/>
      <c r="E7" s="1149"/>
      <c r="F7" s="1149"/>
      <c r="G7" s="1150"/>
      <c r="H7" s="1149"/>
      <c r="I7" s="1150"/>
      <c r="J7" s="1149"/>
      <c r="K7" s="1149"/>
      <c r="L7" s="300"/>
    </row>
    <row r="8" spans="1:12" ht="13.5" customHeight="1" x14ac:dyDescent="0.2">
      <c r="B8" s="1156" t="s">
        <v>1729</v>
      </c>
      <c r="C8" s="1919" t="str">
        <f>'AFR20'!$E$2&amp;"-"</f>
        <v>2020-</v>
      </c>
      <c r="D8" s="1223">
        <v>2</v>
      </c>
      <c r="E8" s="300"/>
      <c r="F8" s="1154" t="s">
        <v>1284</v>
      </c>
      <c r="G8" s="1224" t="s">
        <v>2066</v>
      </c>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731" t="s">
        <v>2282</v>
      </c>
      <c r="G12" s="2731"/>
      <c r="H12" s="2731"/>
      <c r="I12" s="2731"/>
      <c r="J12" s="2731"/>
      <c r="K12" s="273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735" t="s">
        <v>2283</v>
      </c>
      <c r="E14" s="2735"/>
      <c r="F14" s="2735"/>
      <c r="H14" s="1230" t="s">
        <v>1292</v>
      </c>
      <c r="I14" s="2731" t="s">
        <v>2284</v>
      </c>
      <c r="J14" s="2731"/>
      <c r="K14" s="2731"/>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731" t="s">
        <v>2098</v>
      </c>
      <c r="E16" s="2731"/>
      <c r="F16" s="2731"/>
      <c r="G16" s="2731"/>
      <c r="H16" s="2731"/>
      <c r="I16" s="2731"/>
      <c r="J16" s="2731"/>
      <c r="K16" s="2731"/>
      <c r="L16" s="300"/>
    </row>
    <row r="17" spans="2:12" ht="13.5" customHeight="1" x14ac:dyDescent="0.2">
      <c r="B17" s="1156" t="s">
        <v>1290</v>
      </c>
      <c r="C17" s="1156"/>
      <c r="D17" s="2736" t="s">
        <v>2262</v>
      </c>
      <c r="E17" s="2736"/>
      <c r="F17" s="2736"/>
      <c r="G17" s="2736"/>
      <c r="H17" s="2736"/>
      <c r="I17" s="2736"/>
      <c r="J17" s="2736"/>
      <c r="K17" s="273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44.1" customHeight="1" x14ac:dyDescent="0.2">
      <c r="B20" s="2726" t="s">
        <v>2263</v>
      </c>
      <c r="C20" s="2726"/>
      <c r="D20" s="2726"/>
      <c r="E20" s="2726"/>
      <c r="F20" s="2726"/>
      <c r="G20" s="2726"/>
      <c r="H20" s="2726"/>
      <c r="I20" s="2726"/>
      <c r="J20" s="2726"/>
      <c r="K20" s="2726"/>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1730</v>
      </c>
      <c r="C22" s="1232"/>
      <c r="D22" s="300"/>
      <c r="E22" s="300"/>
      <c r="F22" s="300"/>
      <c r="G22" s="1153"/>
      <c r="H22" s="300"/>
      <c r="I22" s="1153"/>
      <c r="J22" s="300"/>
      <c r="K22" s="300"/>
      <c r="L22" s="300"/>
    </row>
    <row r="23" spans="2:12" ht="37.5" customHeight="1" x14ac:dyDescent="0.2">
      <c r="B23" s="2726" t="s">
        <v>2264</v>
      </c>
      <c r="C23" s="2726"/>
      <c r="D23" s="2726"/>
      <c r="E23" s="2726"/>
      <c r="F23" s="2726"/>
      <c r="G23" s="2726"/>
      <c r="H23" s="2726"/>
      <c r="I23" s="2726"/>
      <c r="J23" s="2726"/>
      <c r="K23" s="2726"/>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1731</v>
      </c>
      <c r="C25" s="1232"/>
      <c r="D25" s="300"/>
      <c r="E25" s="300"/>
      <c r="F25" s="300"/>
      <c r="G25" s="1153"/>
      <c r="H25" s="300"/>
      <c r="I25" s="1153"/>
      <c r="J25" s="300"/>
      <c r="K25" s="300"/>
      <c r="L25" s="300"/>
    </row>
    <row r="26" spans="2:12" ht="37.5" customHeight="1" x14ac:dyDescent="0.2">
      <c r="B26" s="2726" t="s">
        <v>2280</v>
      </c>
      <c r="C26" s="2726"/>
      <c r="D26" s="2726"/>
      <c r="E26" s="2726"/>
      <c r="F26" s="2726"/>
      <c r="G26" s="2726"/>
      <c r="H26" s="2726"/>
      <c r="I26" s="2726"/>
      <c r="J26" s="2726"/>
      <c r="K26" s="2726"/>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1732</v>
      </c>
      <c r="C28" s="1232"/>
      <c r="D28" s="300"/>
      <c r="E28" s="300"/>
      <c r="F28" s="300"/>
      <c r="G28" s="1153"/>
      <c r="H28" s="300"/>
      <c r="I28" s="1153"/>
      <c r="J28" s="300"/>
      <c r="K28" s="300"/>
      <c r="L28" s="300"/>
    </row>
    <row r="29" spans="2:12" ht="43.5" customHeight="1" x14ac:dyDescent="0.2">
      <c r="B29" s="2726" t="s">
        <v>2268</v>
      </c>
      <c r="C29" s="2726"/>
      <c r="D29" s="2726"/>
      <c r="E29" s="2726"/>
      <c r="F29" s="2726"/>
      <c r="G29" s="2726"/>
      <c r="H29" s="2726"/>
      <c r="I29" s="2726"/>
      <c r="J29" s="2726"/>
      <c r="K29" s="2726"/>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23.25" customHeight="1" x14ac:dyDescent="0.2">
      <c r="B32" s="2726" t="s">
        <v>2269</v>
      </c>
      <c r="C32" s="2726"/>
      <c r="D32" s="2726"/>
      <c r="E32" s="2726"/>
      <c r="F32" s="2726"/>
      <c r="G32" s="2726"/>
      <c r="H32" s="2726"/>
      <c r="I32" s="2726"/>
      <c r="J32" s="2726"/>
      <c r="K32" s="2726"/>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42" customHeight="1" x14ac:dyDescent="0.2">
      <c r="B35" s="2726" t="s">
        <v>2265</v>
      </c>
      <c r="C35" s="2726"/>
      <c r="D35" s="2726"/>
      <c r="E35" s="2726"/>
      <c r="F35" s="2726"/>
      <c r="G35" s="2726"/>
      <c r="H35" s="2726"/>
      <c r="I35" s="2726"/>
      <c r="J35" s="2726"/>
      <c r="K35" s="2726"/>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726" t="s">
        <v>2266</v>
      </c>
      <c r="C38" s="2726"/>
      <c r="D38" s="2726"/>
      <c r="E38" s="2726"/>
      <c r="F38" s="2726"/>
      <c r="G38" s="2726"/>
      <c r="H38" s="2726"/>
      <c r="I38" s="2726"/>
      <c r="J38" s="2726"/>
      <c r="K38" s="2726"/>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1733</v>
      </c>
      <c r="C40" s="1172"/>
      <c r="D40" s="1148"/>
      <c r="E40" s="1149"/>
      <c r="F40" s="1149"/>
      <c r="G40" s="1150"/>
      <c r="H40" s="1149"/>
      <c r="I40" s="1150"/>
      <c r="J40" s="1149"/>
      <c r="K40" s="1149"/>
    </row>
    <row r="41" spans="2:12" s="300" customFormat="1" ht="33.75" customHeight="1" x14ac:dyDescent="0.2">
      <c r="B41" s="2726" t="s">
        <v>2267</v>
      </c>
      <c r="C41" s="2726"/>
      <c r="D41" s="2726"/>
      <c r="E41" s="2726"/>
      <c r="F41" s="2726"/>
      <c r="G41" s="2726"/>
      <c r="H41" s="2726"/>
      <c r="I41" s="2726"/>
      <c r="J41" s="2726"/>
      <c r="K41" s="2726"/>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1734</v>
      </c>
      <c r="C44" s="1175"/>
      <c r="D44" s="300"/>
      <c r="E44" s="300"/>
      <c r="F44" s="300"/>
    </row>
    <row r="45" spans="2:12" ht="10.5" customHeight="1" x14ac:dyDescent="0.2">
      <c r="B45" s="1176" t="s">
        <v>1735</v>
      </c>
      <c r="C45" s="1176"/>
      <c r="G45" s="295"/>
      <c r="I45" s="295"/>
    </row>
    <row r="46" spans="2:12" ht="11.1" customHeight="1" x14ac:dyDescent="0.2">
      <c r="B46" s="1176" t="s">
        <v>1736</v>
      </c>
      <c r="C46" s="1176"/>
      <c r="G46" s="295"/>
      <c r="I46" s="295"/>
    </row>
    <row r="47" spans="2:12" ht="11.1" customHeight="1" x14ac:dyDescent="0.2">
      <c r="B47" s="1176" t="s">
        <v>1737</v>
      </c>
      <c r="C47" s="1176"/>
      <c r="G47" s="295"/>
      <c r="I47" s="295"/>
    </row>
    <row r="48" spans="2:12" ht="11.1" customHeight="1" x14ac:dyDescent="0.2">
      <c r="B48" s="1176" t="s">
        <v>1738</v>
      </c>
      <c r="C48" s="117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700" t="str">
        <f>'Single Audit Cover'!A7</f>
        <v xml:space="preserve">   Kewanee CUSD 229</v>
      </c>
      <c r="C1" s="2700"/>
      <c r="D1" s="2700"/>
      <c r="E1" s="1240"/>
    </row>
    <row r="2" spans="2:5" s="1058" customFormat="1" ht="12.75" customHeight="1" x14ac:dyDescent="0.2">
      <c r="B2" s="2702">
        <f>'Single Audit Cover'!E7</f>
        <v>28037229026</v>
      </c>
      <c r="C2" s="2702"/>
      <c r="D2" s="2702"/>
      <c r="E2" s="1241"/>
    </row>
    <row r="3" spans="2:5" ht="12.75" customHeight="1" x14ac:dyDescent="0.2">
      <c r="B3" s="2727" t="s">
        <v>1739</v>
      </c>
      <c r="C3" s="2727"/>
      <c r="D3" s="2727"/>
      <c r="E3" s="1050"/>
    </row>
    <row r="4" spans="2:5" s="1058" customFormat="1" ht="12.75" customHeight="1" x14ac:dyDescent="0.2">
      <c r="B4" s="2737" t="str">
        <f>'Single Audit Cover'!A4</f>
        <v>Year Ending June 30, 2020</v>
      </c>
      <c r="C4" s="2737"/>
      <c r="D4" s="2737"/>
      <c r="E4" s="1242"/>
    </row>
    <row r="5" spans="2:5" s="1058" customFormat="1" ht="40.15" customHeight="1" x14ac:dyDescent="0.2">
      <c r="B5" s="1243"/>
      <c r="C5" s="306"/>
      <c r="D5" s="306"/>
      <c r="E5" s="306"/>
    </row>
    <row r="6" spans="2:5" s="1058" customFormat="1" ht="13.5" customHeight="1" x14ac:dyDescent="0.2">
      <c r="B6" s="1244" t="s">
        <v>1304</v>
      </c>
      <c r="C6" s="1244" t="s">
        <v>1303</v>
      </c>
      <c r="D6" s="1244" t="s">
        <v>1740</v>
      </c>
    </row>
    <row r="7" spans="2:5" ht="13.5" customHeight="1" x14ac:dyDescent="0.2">
      <c r="B7" s="1245" t="s">
        <v>2076</v>
      </c>
      <c r="C7" s="302" t="s">
        <v>2080</v>
      </c>
      <c r="D7" s="302" t="s">
        <v>2077</v>
      </c>
      <c r="E7" s="302"/>
    </row>
    <row r="8" spans="2:5" ht="13.5" customHeight="1" x14ac:dyDescent="0.2">
      <c r="B8" s="1245" t="s">
        <v>2078</v>
      </c>
      <c r="C8" s="302" t="s">
        <v>2079</v>
      </c>
      <c r="D8" s="302" t="s">
        <v>2077</v>
      </c>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1741</v>
      </c>
    </row>
    <row r="46" spans="2:5" ht="12.2" customHeight="1" x14ac:dyDescent="0.2">
      <c r="B46" s="1254" t="s">
        <v>1742</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rintOptions horizontalCentered="1"/>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3AADA-6942-4313-AB0F-0D5B6F0D51FF}">
  <dimension ref="B1:L59"/>
  <sheetViews>
    <sheetView showGridLines="0" zoomScale="110" zoomScaleNormal="110" zoomScaleSheetLayoutView="100" workbookViewId="0"/>
  </sheetViews>
  <sheetFormatPr defaultColWidth="9.140625" defaultRowHeight="12.75" x14ac:dyDescent="0.2"/>
  <cols>
    <col min="1" max="1" width="1.5703125" style="2040" customWidth="1"/>
    <col min="2" max="2" width="11.28515625" style="2040" customWidth="1"/>
    <col min="3" max="3" width="6.42578125" style="2040" customWidth="1"/>
    <col min="4" max="4" width="5.42578125" style="2040" customWidth="1"/>
    <col min="5" max="5" width="74.7109375" style="2040" customWidth="1"/>
    <col min="6" max="6" width="1.5703125" style="2040" customWidth="1"/>
    <col min="7" max="8" width="2.42578125" style="2040" customWidth="1"/>
    <col min="9" max="9" width="9.28515625" style="2040" customWidth="1"/>
    <col min="10" max="10" width="14.42578125" style="2040" customWidth="1"/>
    <col min="11" max="11" width="7.28515625" style="2040" customWidth="1"/>
    <col min="12" max="12" width="3.140625" style="2040" customWidth="1"/>
    <col min="13" max="16384" width="9.140625" style="2040"/>
  </cols>
  <sheetData>
    <row r="1" spans="2:12" ht="150" customHeight="1" x14ac:dyDescent="0.2"/>
    <row r="2" spans="2:12" ht="13.5" customHeight="1" x14ac:dyDescent="0.2">
      <c r="B2" s="2739" t="s">
        <v>2057</v>
      </c>
      <c r="C2" s="2739"/>
      <c r="D2" s="2739"/>
      <c r="E2" s="2739"/>
      <c r="F2" s="2039"/>
      <c r="G2" s="2039"/>
      <c r="H2" s="2039"/>
      <c r="I2" s="2039"/>
      <c r="J2" s="2039"/>
      <c r="K2" s="2039"/>
      <c r="L2" s="2039"/>
    </row>
    <row r="3" spans="2:12" ht="13.5" customHeight="1" x14ac:dyDescent="0.2">
      <c r="B3" s="2740" t="s">
        <v>2055</v>
      </c>
      <c r="C3" s="2740"/>
      <c r="D3" s="2740"/>
      <c r="E3" s="2740"/>
      <c r="F3" s="2041"/>
      <c r="G3" s="2041"/>
      <c r="H3" s="2041"/>
      <c r="I3" s="2041"/>
      <c r="J3" s="2041"/>
      <c r="K3" s="2041"/>
      <c r="L3" s="2041"/>
    </row>
    <row r="4" spans="2:12" ht="13.5" customHeight="1" x14ac:dyDescent="0.2">
      <c r="B4" s="2741" t="s">
        <v>2083</v>
      </c>
      <c r="C4" s="2741"/>
      <c r="D4" s="2741"/>
      <c r="E4" s="2741"/>
      <c r="F4" s="2042"/>
      <c r="G4" s="2042"/>
      <c r="H4" s="2042"/>
      <c r="I4" s="2042"/>
      <c r="J4" s="2042"/>
      <c r="K4" s="2042"/>
      <c r="L4" s="2042"/>
    </row>
    <row r="5" spans="2:12" ht="13.5" customHeight="1" x14ac:dyDescent="0.2">
      <c r="B5" s="2742" t="str">
        <f>'Single Audit Cover'!A4</f>
        <v>Year Ending June 30, 2020</v>
      </c>
      <c r="C5" s="2742"/>
      <c r="D5" s="2742"/>
      <c r="E5" s="2742"/>
      <c r="F5" s="2043"/>
      <c r="G5" s="2043"/>
      <c r="H5" s="2043"/>
      <c r="I5" s="2043"/>
      <c r="J5" s="2043"/>
      <c r="K5" s="2043"/>
      <c r="L5" s="2043"/>
    </row>
    <row r="6" spans="2:12" ht="29.85" customHeight="1" x14ac:dyDescent="0.2"/>
    <row r="7" spans="2:12" ht="13.5" customHeight="1" x14ac:dyDescent="0.2">
      <c r="B7" s="2044" t="s">
        <v>2084</v>
      </c>
      <c r="C7" s="2044"/>
      <c r="D7" s="2045"/>
      <c r="E7" s="2046"/>
      <c r="F7" s="2046"/>
      <c r="G7" s="2047"/>
      <c r="H7" s="2047"/>
      <c r="I7" s="2047"/>
    </row>
    <row r="8" spans="2:12" ht="13.5" customHeight="1" x14ac:dyDescent="0.2">
      <c r="B8" s="2040" t="s">
        <v>1159</v>
      </c>
    </row>
    <row r="9" spans="2:12" ht="13.5" customHeight="1" x14ac:dyDescent="0.2">
      <c r="B9" s="2048" t="s">
        <v>2085</v>
      </c>
      <c r="C9" s="2049" t="s">
        <v>2093</v>
      </c>
      <c r="D9" s="2050">
        <v>1</v>
      </c>
    </row>
    <row r="10" spans="2:12" ht="13.5" customHeight="1" x14ac:dyDescent="0.2">
      <c r="B10" s="2051"/>
      <c r="C10" s="2051"/>
      <c r="D10" s="2051"/>
    </row>
    <row r="11" spans="2:12" ht="13.5" customHeight="1" x14ac:dyDescent="0.2">
      <c r="B11" s="2048" t="s">
        <v>2086</v>
      </c>
      <c r="C11" s="2048"/>
    </row>
    <row r="12" spans="2:12" ht="66.75" customHeight="1" x14ac:dyDescent="0.2">
      <c r="B12" s="2738" t="str">
        <f>'SF&amp;QC Sec-2'!B17</f>
        <v>The District maintains a common checking account for the funds of the District, including the Educational, Operations and Maintenance, Debt Services, Transportation, Municipal Retirement/Social Security, Capital Projects, Working Cash, Tort, and Fire Prevention and Safety Funds.  This allows for funds to incur negative cash and investment balances.</v>
      </c>
      <c r="C12" s="2738"/>
      <c r="D12" s="2738"/>
      <c r="E12" s="2738"/>
    </row>
    <row r="13" spans="2:12" ht="13.5" customHeight="1" x14ac:dyDescent="0.2"/>
    <row r="14" spans="2:12" ht="13.5" customHeight="1" x14ac:dyDescent="0.2">
      <c r="B14" s="2048" t="s">
        <v>2087</v>
      </c>
      <c r="C14" s="2048"/>
    </row>
    <row r="15" spans="2:12" ht="76.5" customHeight="1" x14ac:dyDescent="0.2">
      <c r="B15" s="2738" t="s">
        <v>2277</v>
      </c>
      <c r="C15" s="2738"/>
      <c r="D15" s="2738"/>
      <c r="E15" s="2738"/>
    </row>
    <row r="16" spans="2:12" ht="13.5" customHeight="1" x14ac:dyDescent="0.2"/>
    <row r="17" spans="2:5" ht="13.5" customHeight="1" x14ac:dyDescent="0.2">
      <c r="B17" s="2048" t="s">
        <v>2088</v>
      </c>
      <c r="C17" s="2048"/>
      <c r="E17" s="2052" t="s">
        <v>2094</v>
      </c>
    </row>
    <row r="18" spans="2:5" ht="13.5" customHeight="1" x14ac:dyDescent="0.2"/>
    <row r="19" spans="2:5" ht="13.5" customHeight="1" x14ac:dyDescent="0.2">
      <c r="B19" s="2048" t="s">
        <v>2089</v>
      </c>
      <c r="C19" s="2048"/>
      <c r="E19" s="2053" t="s">
        <v>2090</v>
      </c>
    </row>
    <row r="20" spans="2:5" ht="13.5" customHeight="1" x14ac:dyDescent="0.2"/>
    <row r="21" spans="2:5" ht="13.5" customHeight="1" x14ac:dyDescent="0.2">
      <c r="B21" s="2048" t="s">
        <v>2091</v>
      </c>
      <c r="C21" s="2048"/>
      <c r="E21" s="2053" t="s">
        <v>2095</v>
      </c>
    </row>
    <row r="22" spans="2:5" ht="13.5" customHeight="1" x14ac:dyDescent="0.2">
      <c r="E22" s="2053" t="s">
        <v>2096</v>
      </c>
    </row>
    <row r="23" spans="2:5" ht="13.5" customHeight="1" x14ac:dyDescent="0.2">
      <c r="E23" s="2053"/>
    </row>
    <row r="24" spans="2:5" ht="13.5" customHeight="1" x14ac:dyDescent="0.2">
      <c r="B24" s="2054"/>
      <c r="C24" s="2054"/>
      <c r="D24" s="2054"/>
    </row>
    <row r="25" spans="2:5" ht="13.5" customHeight="1" x14ac:dyDescent="0.2"/>
    <row r="26" spans="2:5" ht="13.5" customHeight="1" x14ac:dyDescent="0.2">
      <c r="B26" s="2054"/>
      <c r="C26" s="2054"/>
      <c r="D26" s="2054"/>
    </row>
    <row r="27" spans="2:5" ht="13.5" customHeight="1" x14ac:dyDescent="0.2">
      <c r="B27" s="2054"/>
      <c r="C27" s="2054"/>
      <c r="D27" s="2054"/>
    </row>
    <row r="28" spans="2:5" ht="13.5" customHeight="1" x14ac:dyDescent="0.2">
      <c r="B28" s="2054"/>
      <c r="C28" s="2054"/>
      <c r="D28" s="2054"/>
    </row>
    <row r="29" spans="2:5" ht="13.5" customHeight="1" x14ac:dyDescent="0.2">
      <c r="B29" s="2054"/>
      <c r="C29" s="2054"/>
      <c r="D29" s="2054"/>
    </row>
    <row r="30" spans="2:5" ht="13.5" customHeight="1" x14ac:dyDescent="0.2">
      <c r="B30" s="2055"/>
      <c r="C30" s="2055"/>
      <c r="D30" s="2055"/>
      <c r="E30" s="2055"/>
    </row>
    <row r="31" spans="2:5" ht="12.2" customHeight="1" x14ac:dyDescent="0.2">
      <c r="B31" s="2056" t="s">
        <v>2092</v>
      </c>
      <c r="C31" s="2056"/>
      <c r="D31" s="2056"/>
    </row>
    <row r="32" spans="2:5" ht="12.2" customHeight="1" x14ac:dyDescent="0.2">
      <c r="B32" s="2057"/>
      <c r="C32" s="2057"/>
      <c r="D32" s="2057"/>
    </row>
    <row r="33" spans="2:4" ht="12.75" customHeight="1" x14ac:dyDescent="0.2">
      <c r="B33" s="2048"/>
      <c r="C33" s="2048"/>
      <c r="D33" s="2048"/>
    </row>
    <row r="34" spans="2:4" ht="12.75" customHeight="1" x14ac:dyDescent="0.2">
      <c r="B34" s="2048"/>
      <c r="C34" s="2048"/>
      <c r="D34" s="2048"/>
    </row>
    <row r="35" spans="2:4" x14ac:dyDescent="0.2">
      <c r="B35" s="2048"/>
      <c r="C35" s="2048"/>
      <c r="D35" s="2048"/>
    </row>
    <row r="36" spans="2:4" x14ac:dyDescent="0.2">
      <c r="B36" s="2048"/>
      <c r="C36" s="2048"/>
      <c r="D36" s="2048"/>
    </row>
    <row r="40" spans="2:4" x14ac:dyDescent="0.2">
      <c r="B40" s="2058"/>
      <c r="C40" s="2058"/>
      <c r="D40" s="2058"/>
    </row>
    <row r="41" spans="2:4" ht="12.75" customHeight="1" x14ac:dyDescent="0.2"/>
    <row r="42" spans="2:4" ht="12.75" customHeight="1" x14ac:dyDescent="0.2"/>
    <row r="43" spans="2:4" ht="12.75" customHeight="1" x14ac:dyDescent="0.2"/>
    <row r="44" spans="2:4" ht="12.75" customHeight="1" x14ac:dyDescent="0.2"/>
    <row r="45" spans="2:4" ht="12.75" customHeight="1" x14ac:dyDescent="0.2"/>
    <row r="46" spans="2:4" ht="12.75" customHeight="1" x14ac:dyDescent="0.2"/>
    <row r="47" spans="2:4" ht="12.75" customHeight="1" x14ac:dyDescent="0.2"/>
    <row r="48" spans="2:4" ht="12.75" customHeight="1" x14ac:dyDescent="0.2"/>
    <row r="49" spans="2:4" ht="12.75" customHeight="1" x14ac:dyDescent="0.2"/>
    <row r="53" spans="2:4" x14ac:dyDescent="0.2">
      <c r="B53" s="2059"/>
      <c r="C53" s="2059"/>
      <c r="D53" s="2059"/>
    </row>
    <row r="54" spans="2:4" x14ac:dyDescent="0.2">
      <c r="B54" s="2048"/>
      <c r="C54" s="2048"/>
      <c r="D54" s="2048"/>
    </row>
    <row r="55" spans="2:4" x14ac:dyDescent="0.2">
      <c r="B55" s="2048"/>
      <c r="C55" s="2048"/>
      <c r="D55" s="2048"/>
    </row>
    <row r="56" spans="2:4" x14ac:dyDescent="0.2">
      <c r="B56" s="2059"/>
      <c r="C56" s="2059"/>
      <c r="D56" s="2059"/>
    </row>
    <row r="57" spans="2:4" x14ac:dyDescent="0.2">
      <c r="B57" s="2059"/>
      <c r="C57" s="2059"/>
      <c r="D57" s="2059"/>
    </row>
    <row r="58" spans="2:4" x14ac:dyDescent="0.2">
      <c r="B58" s="2059"/>
      <c r="C58" s="2059"/>
      <c r="D58" s="2059"/>
    </row>
    <row r="59" spans="2:4" x14ac:dyDescent="0.2">
      <c r="B59" s="2048"/>
      <c r="C59" s="2048"/>
      <c r="D59" s="2048"/>
    </row>
  </sheetData>
  <mergeCells count="6">
    <mergeCell ref="B15:E15"/>
    <mergeCell ref="B2:E2"/>
    <mergeCell ref="B3:E3"/>
    <mergeCell ref="B4:E4"/>
    <mergeCell ref="B5:E5"/>
    <mergeCell ref="B12:E12"/>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1E071-F5DC-4CB3-868B-C69251EA25F8}">
  <dimension ref="B1:L59"/>
  <sheetViews>
    <sheetView showGridLines="0" zoomScale="110" zoomScaleNormal="110" zoomScaleSheetLayoutView="100" workbookViewId="0"/>
  </sheetViews>
  <sheetFormatPr defaultColWidth="9.140625" defaultRowHeight="12.75" x14ac:dyDescent="0.2"/>
  <cols>
    <col min="1" max="1" width="1.5703125" style="2040" customWidth="1"/>
    <col min="2" max="2" width="11.28515625" style="2040" customWidth="1"/>
    <col min="3" max="3" width="6.42578125" style="2040" customWidth="1"/>
    <col min="4" max="4" width="5.42578125" style="2040" customWidth="1"/>
    <col min="5" max="5" width="74.7109375" style="2040" customWidth="1"/>
    <col min="6" max="6" width="1.5703125" style="2040" customWidth="1"/>
    <col min="7" max="8" width="2.42578125" style="2040" customWidth="1"/>
    <col min="9" max="9" width="9.28515625" style="2040" customWidth="1"/>
    <col min="10" max="10" width="14.42578125" style="2040" customWidth="1"/>
    <col min="11" max="11" width="7.28515625" style="2040" customWidth="1"/>
    <col min="12" max="12" width="3.140625" style="2040" customWidth="1"/>
    <col min="13" max="16384" width="9.140625" style="2040"/>
  </cols>
  <sheetData>
    <row r="1" spans="2:12" ht="150" customHeight="1" x14ac:dyDescent="0.2"/>
    <row r="2" spans="2:12" ht="13.5" customHeight="1" x14ac:dyDescent="0.2">
      <c r="B2" s="2739" t="s">
        <v>2057</v>
      </c>
      <c r="C2" s="2739"/>
      <c r="D2" s="2739"/>
      <c r="E2" s="2739"/>
      <c r="F2" s="2039"/>
      <c r="G2" s="2039"/>
      <c r="H2" s="2039"/>
      <c r="I2" s="2039"/>
      <c r="J2" s="2039"/>
      <c r="K2" s="2039"/>
      <c r="L2" s="2039"/>
    </row>
    <row r="3" spans="2:12" ht="13.5" customHeight="1" x14ac:dyDescent="0.2">
      <c r="B3" s="2740" t="s">
        <v>2055</v>
      </c>
      <c r="C3" s="2740"/>
      <c r="D3" s="2740"/>
      <c r="E3" s="2740"/>
      <c r="F3" s="2041"/>
      <c r="G3" s="2041"/>
      <c r="H3" s="2041"/>
      <c r="I3" s="2041"/>
      <c r="J3" s="2041"/>
      <c r="K3" s="2041"/>
      <c r="L3" s="2041"/>
    </row>
    <row r="4" spans="2:12" ht="13.5" customHeight="1" x14ac:dyDescent="0.2">
      <c r="B4" s="2741" t="s">
        <v>2083</v>
      </c>
      <c r="C4" s="2741"/>
      <c r="D4" s="2741"/>
      <c r="E4" s="2741"/>
      <c r="F4" s="2042"/>
      <c r="G4" s="2042"/>
      <c r="H4" s="2042"/>
      <c r="I4" s="2042"/>
      <c r="J4" s="2042"/>
      <c r="K4" s="2042"/>
      <c r="L4" s="2042"/>
    </row>
    <row r="5" spans="2:12" ht="13.5" customHeight="1" x14ac:dyDescent="0.2">
      <c r="B5" s="2742" t="str">
        <f>'Single Audit Cover'!A4</f>
        <v>Year Ending June 30, 2020</v>
      </c>
      <c r="C5" s="2742"/>
      <c r="D5" s="2742"/>
      <c r="E5" s="2742"/>
      <c r="F5" s="2043"/>
      <c r="G5" s="2043"/>
      <c r="H5" s="2043"/>
      <c r="I5" s="2043"/>
      <c r="J5" s="2043"/>
      <c r="K5" s="2043"/>
      <c r="L5" s="2043"/>
    </row>
    <row r="6" spans="2:12" ht="29.85" customHeight="1" x14ac:dyDescent="0.2"/>
    <row r="7" spans="2:12" ht="13.5" customHeight="1" x14ac:dyDescent="0.2">
      <c r="B7" s="2044" t="s">
        <v>2084</v>
      </c>
      <c r="C7" s="2044"/>
      <c r="D7" s="2045"/>
      <c r="E7" s="2046"/>
      <c r="F7" s="2046"/>
      <c r="G7" s="2047"/>
      <c r="H7" s="2047"/>
      <c r="I7" s="2047"/>
    </row>
    <row r="8" spans="2:12" ht="13.5" customHeight="1" x14ac:dyDescent="0.2">
      <c r="B8" s="2040" t="s">
        <v>1159</v>
      </c>
    </row>
    <row r="9" spans="2:12" ht="13.5" customHeight="1" x14ac:dyDescent="0.2">
      <c r="B9" s="2048" t="s">
        <v>2085</v>
      </c>
      <c r="C9" s="2049" t="s">
        <v>2093</v>
      </c>
      <c r="D9" s="2050">
        <v>2</v>
      </c>
    </row>
    <row r="10" spans="2:12" ht="13.5" customHeight="1" x14ac:dyDescent="0.2">
      <c r="B10" s="2051"/>
      <c r="C10" s="2051"/>
      <c r="D10" s="2051"/>
    </row>
    <row r="11" spans="2:12" ht="13.5" customHeight="1" x14ac:dyDescent="0.2">
      <c r="B11" s="2048" t="s">
        <v>2086</v>
      </c>
      <c r="C11" s="2048"/>
    </row>
    <row r="12" spans="2:12" ht="66.75" customHeight="1" x14ac:dyDescent="0.2">
      <c r="B12" s="2738" t="str">
        <f>'SF&amp;QC Sec-3'!B23</f>
        <v>In reviewing internal controls and compliance with the program eligibility requirements it was determined that there were meals claimed in which none of the aforementioned eligibility requirements were documented.</v>
      </c>
      <c r="C12" s="2738"/>
      <c r="D12" s="2738"/>
      <c r="E12" s="2738"/>
    </row>
    <row r="13" spans="2:12" ht="13.5" customHeight="1" x14ac:dyDescent="0.2"/>
    <row r="14" spans="2:12" ht="13.5" customHeight="1" x14ac:dyDescent="0.2">
      <c r="B14" s="2048" t="s">
        <v>2087</v>
      </c>
      <c r="C14" s="2048"/>
    </row>
    <row r="15" spans="2:12" ht="76.5" customHeight="1" x14ac:dyDescent="0.2">
      <c r="B15" s="2738" t="s">
        <v>2279</v>
      </c>
      <c r="C15" s="2738"/>
      <c r="D15" s="2738"/>
      <c r="E15" s="2738"/>
    </row>
    <row r="16" spans="2:12" ht="13.5" customHeight="1" x14ac:dyDescent="0.2"/>
    <row r="17" spans="2:5" ht="13.5" customHeight="1" x14ac:dyDescent="0.2">
      <c r="B17" s="2048" t="s">
        <v>2088</v>
      </c>
      <c r="C17" s="2048"/>
      <c r="E17" s="2052" t="s">
        <v>2094</v>
      </c>
    </row>
    <row r="18" spans="2:5" ht="13.5" customHeight="1" x14ac:dyDescent="0.2"/>
    <row r="19" spans="2:5" ht="13.5" customHeight="1" x14ac:dyDescent="0.2">
      <c r="B19" s="2048" t="s">
        <v>2089</v>
      </c>
      <c r="C19" s="2048"/>
      <c r="E19" s="2053" t="s">
        <v>2090</v>
      </c>
    </row>
    <row r="20" spans="2:5" ht="13.5" customHeight="1" x14ac:dyDescent="0.2"/>
    <row r="21" spans="2:5" ht="13.5" customHeight="1" x14ac:dyDescent="0.2">
      <c r="B21" s="2048" t="s">
        <v>2091</v>
      </c>
      <c r="C21" s="2048"/>
      <c r="E21" s="2053" t="s">
        <v>2278</v>
      </c>
    </row>
    <row r="22" spans="2:5" ht="13.5" customHeight="1" x14ac:dyDescent="0.2"/>
    <row r="23" spans="2:5" ht="13.5" customHeight="1" x14ac:dyDescent="0.2"/>
    <row r="24" spans="2:5" ht="13.5" customHeight="1" x14ac:dyDescent="0.2">
      <c r="B24" s="2054"/>
      <c r="C24" s="2054"/>
      <c r="D24" s="2054"/>
    </row>
    <row r="25" spans="2:5" ht="13.5" customHeight="1" x14ac:dyDescent="0.2"/>
    <row r="26" spans="2:5" ht="13.5" customHeight="1" x14ac:dyDescent="0.2">
      <c r="B26" s="2054"/>
      <c r="C26" s="2054"/>
      <c r="D26" s="2054"/>
    </row>
    <row r="27" spans="2:5" ht="13.5" customHeight="1" x14ac:dyDescent="0.2">
      <c r="B27" s="2054"/>
      <c r="C27" s="2054"/>
      <c r="D27" s="2054"/>
    </row>
    <row r="28" spans="2:5" ht="13.5" customHeight="1" x14ac:dyDescent="0.2">
      <c r="B28" s="2054"/>
      <c r="C28" s="2054"/>
      <c r="D28" s="2054"/>
    </row>
    <row r="29" spans="2:5" ht="13.5" customHeight="1" x14ac:dyDescent="0.2">
      <c r="B29" s="2054"/>
      <c r="C29" s="2054"/>
      <c r="D29" s="2054"/>
    </row>
    <row r="30" spans="2:5" ht="13.5" customHeight="1" x14ac:dyDescent="0.2">
      <c r="B30" s="2055"/>
      <c r="C30" s="2055"/>
      <c r="D30" s="2055"/>
      <c r="E30" s="2055"/>
    </row>
    <row r="31" spans="2:5" ht="12.2" customHeight="1" x14ac:dyDescent="0.2">
      <c r="B31" s="2056" t="s">
        <v>2092</v>
      </c>
      <c r="C31" s="2056"/>
      <c r="D31" s="2056"/>
    </row>
    <row r="32" spans="2:5" ht="12.2" customHeight="1" x14ac:dyDescent="0.2">
      <c r="B32" s="2057"/>
      <c r="C32" s="2057"/>
      <c r="D32" s="2057"/>
    </row>
    <row r="33" spans="2:4" ht="12.75" customHeight="1" x14ac:dyDescent="0.2">
      <c r="B33" s="2048"/>
      <c r="C33" s="2048"/>
      <c r="D33" s="2048"/>
    </row>
    <row r="34" spans="2:4" ht="12.75" customHeight="1" x14ac:dyDescent="0.2">
      <c r="B34" s="2048"/>
      <c r="C34" s="2048"/>
      <c r="D34" s="2048"/>
    </row>
    <row r="35" spans="2:4" x14ac:dyDescent="0.2">
      <c r="B35" s="2048"/>
      <c r="C35" s="2048"/>
      <c r="D35" s="2048"/>
    </row>
    <row r="36" spans="2:4" x14ac:dyDescent="0.2">
      <c r="B36" s="2048"/>
      <c r="C36" s="2048"/>
      <c r="D36" s="2048"/>
    </row>
    <row r="40" spans="2:4" x14ac:dyDescent="0.2">
      <c r="B40" s="2058"/>
      <c r="C40" s="2058"/>
      <c r="D40" s="2058"/>
    </row>
    <row r="41" spans="2:4" ht="12.75" customHeight="1" x14ac:dyDescent="0.2"/>
    <row r="42" spans="2:4" ht="12.75" customHeight="1" x14ac:dyDescent="0.2"/>
    <row r="43" spans="2:4" ht="12.75" customHeight="1" x14ac:dyDescent="0.2"/>
    <row r="44" spans="2:4" ht="12.75" customHeight="1" x14ac:dyDescent="0.2"/>
    <row r="45" spans="2:4" ht="12.75" customHeight="1" x14ac:dyDescent="0.2"/>
    <row r="46" spans="2:4" ht="12.75" customHeight="1" x14ac:dyDescent="0.2"/>
    <row r="47" spans="2:4" ht="12.75" customHeight="1" x14ac:dyDescent="0.2"/>
    <row r="48" spans="2:4" ht="12.75" customHeight="1" x14ac:dyDescent="0.2"/>
    <row r="49" spans="2:4" ht="12.75" customHeight="1" x14ac:dyDescent="0.2"/>
    <row r="53" spans="2:4" x14ac:dyDescent="0.2">
      <c r="B53" s="2059"/>
      <c r="C53" s="2059"/>
      <c r="D53" s="2059"/>
    </row>
    <row r="54" spans="2:4" x14ac:dyDescent="0.2">
      <c r="B54" s="2048"/>
      <c r="C54" s="2048"/>
      <c r="D54" s="2048"/>
    </row>
    <row r="55" spans="2:4" x14ac:dyDescent="0.2">
      <c r="B55" s="2048"/>
      <c r="C55" s="2048"/>
      <c r="D55" s="2048"/>
    </row>
    <row r="56" spans="2:4" x14ac:dyDescent="0.2">
      <c r="B56" s="2059"/>
      <c r="C56" s="2059"/>
      <c r="D56" s="2059"/>
    </row>
    <row r="57" spans="2:4" x14ac:dyDescent="0.2">
      <c r="B57" s="2059"/>
      <c r="C57" s="2059"/>
      <c r="D57" s="2059"/>
    </row>
    <row r="58" spans="2:4" x14ac:dyDescent="0.2">
      <c r="B58" s="2059"/>
      <c r="C58" s="2059"/>
      <c r="D58" s="2059"/>
    </row>
    <row r="59" spans="2:4" x14ac:dyDescent="0.2">
      <c r="B59" s="2048"/>
      <c r="C59" s="2048"/>
      <c r="D59" s="2048"/>
    </row>
  </sheetData>
  <mergeCells count="6">
    <mergeCell ref="B15:E15"/>
    <mergeCell ref="B2:E2"/>
    <mergeCell ref="B3:E3"/>
    <mergeCell ref="B4:E4"/>
    <mergeCell ref="B5:E5"/>
    <mergeCell ref="B12:E12"/>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300" t="s">
        <v>383</v>
      </c>
      <c r="B1" s="2300"/>
      <c r="C1" s="2300"/>
      <c r="D1" s="2300"/>
      <c r="E1" s="2300"/>
      <c r="F1" s="2300"/>
      <c r="G1" s="2300"/>
      <c r="H1" s="2300"/>
      <c r="I1" s="2300"/>
      <c r="J1" s="2300"/>
      <c r="K1" s="2300"/>
      <c r="L1" s="2300"/>
      <c r="M1" s="230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82516160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1.8341E-2</v>
      </c>
      <c r="E10" s="333" t="s">
        <v>998</v>
      </c>
      <c r="F10" s="332">
        <v>4.9839999999999997E-3</v>
      </c>
      <c r="G10" s="333" t="s">
        <v>998</v>
      </c>
      <c r="H10" s="332">
        <v>1.9940000000000001E-3</v>
      </c>
      <c r="I10" s="333" t="s">
        <v>999</v>
      </c>
      <c r="J10" s="1424">
        <f>ROUND(D10+F10+H10,5)</f>
        <v>2.5319999999999999E-2</v>
      </c>
      <c r="K10" s="217"/>
      <c r="L10" s="332">
        <v>4.9899999999999999E-4</v>
      </c>
      <c r="M10" s="217"/>
    </row>
    <row r="11" spans="1:14" ht="7.5" customHeight="1" x14ac:dyDescent="0.2">
      <c r="B11" s="217"/>
      <c r="C11" s="217"/>
      <c r="D11" s="2310" t="str">
        <f>IF(SUM(J10)&lt;=0.0999999,"","Enter the Tax Rates by moving the decimal two places to the left.")</f>
        <v/>
      </c>
      <c r="E11" s="2311"/>
      <c r="F11" s="2311"/>
      <c r="G11" s="2311"/>
      <c r="H11" s="2311"/>
      <c r="I11" s="2311"/>
      <c r="J11" s="231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22181759</v>
      </c>
      <c r="E16" s="1547"/>
      <c r="F16" s="1546">
        <f>SUM('Acct Summary 7-8'!C17,'Acct Summary 7-8'!D17,'Acct Summary 7-8'!F17)</f>
        <v>20848446</v>
      </c>
      <c r="G16" s="1547"/>
      <c r="H16" s="1546">
        <f>SUM(D16-F16)</f>
        <v>1333313</v>
      </c>
      <c r="I16" s="1548"/>
      <c r="J16" s="1546">
        <f>SUM('Acct Summary 7-8'!C81,'Acct Summary 7-8'!D81,'Acct Summary 7-8'!F81,'Acct Summary 7-8'!I81)</f>
        <v>13509050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1630</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2000</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1960</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11387230.08</v>
      </c>
      <c r="I31" s="345"/>
      <c r="J31" s="217"/>
      <c r="K31" s="217"/>
      <c r="L31" s="217"/>
      <c r="M31" s="217"/>
    </row>
    <row r="32" spans="1:13" ht="13.35" customHeight="1" x14ac:dyDescent="0.2">
      <c r="B32" s="346" t="s">
        <v>2066</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6060000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301"/>
      <c r="C54" s="2302"/>
      <c r="D54" s="2302"/>
      <c r="E54" s="2302"/>
      <c r="F54" s="2302"/>
      <c r="G54" s="2302"/>
      <c r="H54" s="2302"/>
      <c r="I54" s="2302"/>
      <c r="J54" s="2302"/>
      <c r="K54" s="2302"/>
      <c r="L54" s="2303"/>
      <c r="M54" s="357"/>
    </row>
    <row r="55" spans="1:13" ht="12.75" customHeight="1" x14ac:dyDescent="0.2">
      <c r="B55" s="2304"/>
      <c r="C55" s="2305"/>
      <c r="D55" s="2305"/>
      <c r="E55" s="2305"/>
      <c r="F55" s="2305"/>
      <c r="G55" s="2305"/>
      <c r="H55" s="2305"/>
      <c r="I55" s="2305"/>
      <c r="J55" s="2305"/>
      <c r="K55" s="2305"/>
      <c r="L55" s="2306"/>
      <c r="M55" s="357"/>
    </row>
    <row r="56" spans="1:13" ht="12.75" customHeight="1" x14ac:dyDescent="0.2">
      <c r="B56" s="2304"/>
      <c r="C56" s="2305"/>
      <c r="D56" s="2305"/>
      <c r="E56" s="2305"/>
      <c r="F56" s="2305"/>
      <c r="G56" s="2305"/>
      <c r="H56" s="2305"/>
      <c r="I56" s="2305"/>
      <c r="J56" s="2305"/>
      <c r="K56" s="2305"/>
      <c r="L56" s="2306"/>
      <c r="M56" s="217"/>
    </row>
    <row r="57" spans="1:13" ht="12.75" customHeight="1" x14ac:dyDescent="0.2">
      <c r="B57" s="2304"/>
      <c r="C57" s="2305"/>
      <c r="D57" s="2305"/>
      <c r="E57" s="2305"/>
      <c r="F57" s="2305"/>
      <c r="G57" s="2305"/>
      <c r="H57" s="2305"/>
      <c r="I57" s="2305"/>
      <c r="J57" s="2305"/>
      <c r="K57" s="2305"/>
      <c r="L57" s="2306"/>
      <c r="M57" s="217"/>
    </row>
    <row r="58" spans="1:13" x14ac:dyDescent="0.2">
      <c r="B58" s="2307"/>
      <c r="C58" s="2308"/>
      <c r="D58" s="2308"/>
      <c r="E58" s="2308"/>
      <c r="F58" s="2308"/>
      <c r="G58" s="2308"/>
      <c r="H58" s="2308"/>
      <c r="I58" s="2308"/>
      <c r="J58" s="2308"/>
      <c r="K58" s="2308"/>
      <c r="L58" s="230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312"/>
      <c r="D61" s="231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315"/>
      <c r="B1" s="2316"/>
      <c r="C1" s="2316"/>
      <c r="D1" s="361"/>
      <c r="E1" s="361"/>
      <c r="F1" s="361"/>
      <c r="G1" s="361"/>
      <c r="H1" s="361"/>
      <c r="I1" s="361"/>
      <c r="J1" s="361"/>
      <c r="K1" s="361"/>
      <c r="L1" s="361"/>
      <c r="M1" s="361"/>
      <c r="N1" s="361"/>
      <c r="O1" s="2315"/>
      <c r="P1" s="2316"/>
      <c r="Q1" s="2316"/>
    </row>
    <row r="2" spans="1:18" ht="15" x14ac:dyDescent="0.2">
      <c r="A2" s="2319" t="s">
        <v>552</v>
      </c>
      <c r="B2" s="2319"/>
      <c r="C2" s="2319"/>
      <c r="D2" s="2319"/>
      <c r="E2" s="2319"/>
      <c r="F2" s="2319"/>
      <c r="G2" s="2319"/>
      <c r="H2" s="2319"/>
      <c r="I2" s="2319"/>
      <c r="J2" s="2319"/>
      <c r="K2" s="2319"/>
      <c r="L2" s="2319"/>
      <c r="M2" s="2319"/>
      <c r="N2" s="2319"/>
      <c r="O2" s="2319"/>
      <c r="P2" s="2319"/>
      <c r="Q2" s="2319"/>
      <c r="R2" s="2319"/>
    </row>
    <row r="3" spans="1:18" ht="12.75" x14ac:dyDescent="0.2">
      <c r="A3" s="2320" t="s">
        <v>1396</v>
      </c>
      <c r="B3" s="2320"/>
      <c r="C3" s="2320"/>
      <c r="D3" s="2320"/>
      <c r="E3" s="2320"/>
      <c r="F3" s="2320"/>
      <c r="G3" s="2320"/>
      <c r="H3" s="2320"/>
      <c r="I3" s="2320"/>
      <c r="J3" s="2320"/>
      <c r="K3" s="2320"/>
      <c r="L3" s="2320"/>
      <c r="M3" s="2320"/>
      <c r="N3" s="2320"/>
      <c r="O3" s="2320"/>
      <c r="P3" s="2320"/>
      <c r="Q3" s="2320"/>
      <c r="R3" s="2320"/>
    </row>
    <row r="4" spans="1:18" x14ac:dyDescent="0.2">
      <c r="A4" s="2321" t="s">
        <v>1536</v>
      </c>
      <c r="B4" s="2321"/>
      <c r="C4" s="2321"/>
      <c r="D4" s="2321"/>
      <c r="E4" s="2321"/>
      <c r="F4" s="2321"/>
      <c r="G4" s="2321"/>
      <c r="H4" s="2321"/>
      <c r="I4" s="2321"/>
      <c r="J4" s="2321"/>
      <c r="K4" s="2321"/>
      <c r="L4" s="2321"/>
      <c r="M4" s="2321"/>
      <c r="N4" s="2321"/>
      <c r="O4" s="2321"/>
      <c r="P4" s="2321"/>
      <c r="Q4" s="2321"/>
      <c r="R4" s="232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Kewanee CUSD 229</v>
      </c>
      <c r="E7" s="368"/>
      <c r="G7" s="247"/>
      <c r="H7" s="364"/>
      <c r="I7" s="364"/>
      <c r="J7" s="364"/>
      <c r="K7" s="364"/>
      <c r="L7" s="307"/>
      <c r="M7" s="307"/>
      <c r="N7" s="307"/>
      <c r="O7" s="307"/>
      <c r="P7" s="307"/>
    </row>
    <row r="8" spans="1:18" ht="12.75" x14ac:dyDescent="0.2">
      <c r="A8" s="307"/>
      <c r="B8" s="307"/>
      <c r="C8" s="366" t="s">
        <v>1115</v>
      </c>
      <c r="D8" s="369">
        <f>COVER!A13</f>
        <v>28037229026</v>
      </c>
      <c r="E8" s="370"/>
      <c r="G8" s="307"/>
      <c r="H8" s="307"/>
      <c r="I8" s="307"/>
      <c r="J8" s="307"/>
      <c r="K8" s="307"/>
      <c r="L8" s="307"/>
      <c r="M8" s="307"/>
      <c r="N8" s="307"/>
      <c r="O8" s="307"/>
      <c r="P8" s="307"/>
    </row>
    <row r="9" spans="1:18" ht="12.75" x14ac:dyDescent="0.2">
      <c r="A9" s="307"/>
      <c r="B9" s="307"/>
      <c r="C9" s="366" t="s">
        <v>708</v>
      </c>
      <c r="D9" s="371" t="str">
        <f>COVER!A15</f>
        <v>Henry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13509050</v>
      </c>
      <c r="I12" s="380"/>
      <c r="J12" s="380"/>
      <c r="K12" s="1559">
        <f>TRUNC((H12/H13*100000),5)/100000</f>
        <v>0.60901617400000008</v>
      </c>
      <c r="L12" s="381"/>
      <c r="M12" s="337" t="s">
        <v>1134</v>
      </c>
      <c r="N12" s="337"/>
      <c r="O12" s="1562">
        <v>0.35</v>
      </c>
      <c r="P12" s="213"/>
      <c r="Q12" s="213"/>
    </row>
    <row r="13" spans="1:18" s="382" customFormat="1" ht="12.75" x14ac:dyDescent="0.2">
      <c r="A13" s="213"/>
      <c r="B13" s="377"/>
      <c r="C13" s="2317" t="s">
        <v>1313</v>
      </c>
      <c r="D13" s="2318"/>
      <c r="E13" s="213"/>
      <c r="F13" s="383" t="s">
        <v>788</v>
      </c>
      <c r="G13" s="378"/>
      <c r="H13" s="1551">
        <f>SUM('Acct Summary 7-8'!C8+'Acct Summary 7-8'!D8+'Acct Summary 7-8'!F8+'Acct Summary 7-8'!I8)+H14</f>
        <v>22181759</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20848446</v>
      </c>
      <c r="I17" s="380"/>
      <c r="J17" s="389"/>
      <c r="K17" s="1559">
        <f>TRUNC((H17/H18*100000),5)/100000</f>
        <v>0.9398914666</v>
      </c>
      <c r="L17" s="381"/>
      <c r="M17" s="390" t="s">
        <v>1161</v>
      </c>
      <c r="O17" s="1565" t="str">
        <f>IF(AND(O16="2", J20 &gt; 2),"1",IF(AND(O16 = "1", J20 &gt; 2),"2",IF(AND(O16="1", J20 &gt;1),"1","0")))</f>
        <v>0</v>
      </c>
      <c r="P17" s="213"/>
    </row>
    <row r="18" spans="1:18" s="382" customFormat="1" ht="11.25" x14ac:dyDescent="0.2">
      <c r="A18" s="213"/>
      <c r="B18" s="377"/>
      <c r="C18" s="2317" t="s">
        <v>1306</v>
      </c>
      <c r="D18" s="2318"/>
      <c r="E18" s="213"/>
      <c r="F18" s="391" t="s">
        <v>789</v>
      </c>
      <c r="G18" s="378"/>
      <c r="H18" s="1551">
        <f>SUM('Acct Summary 7-8'!C8+'Acct Summary 7-8'!D8+'Acct Summary 7-8'!F8+'Acct Summary 7-8'!I8)+H19</f>
        <v>22181759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314" t="s">
        <v>1395</v>
      </c>
      <c r="D24" s="2314"/>
      <c r="E24" s="213"/>
      <c r="F24" s="213" t="s">
        <v>442</v>
      </c>
      <c r="G24" s="378"/>
      <c r="H24" s="1551">
        <f>SUM('Assets-Liab 5-6'!C4+'Assets-Liab 5-6'!D4+'Assets-Liab 5-6'!F4+'Assets-Liab 5-6'!I4+'Assets-Liab 5-6'!C5+'Assets-Liab 5-6'!D5+'Assets-Liab 5-6'!F5+'Assets-Liab 5-6'!I5)</f>
        <v>13519068</v>
      </c>
      <c r="I24" s="394"/>
      <c r="J24" s="394"/>
      <c r="K24" s="1555">
        <f>TRUNC(((H24/H25*100000)/100000),2)</f>
        <v>233.44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57912.35</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1888</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1775912.7955199999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6060000</v>
      </c>
      <c r="I32" s="392"/>
      <c r="J32" s="392"/>
      <c r="K32" s="1555">
        <f>TRUNC(100-((((H32/H33*100))*100)/100),2)</f>
        <v>46.78</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11387230.08</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26" sqref="A26"/>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2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2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24" t="s">
        <v>967</v>
      </c>
      <c r="B3" s="2325"/>
      <c r="C3" s="1306"/>
      <c r="D3" s="1307"/>
      <c r="E3" s="1307"/>
      <c r="F3" s="1307"/>
      <c r="G3" s="1307"/>
      <c r="H3" s="1307"/>
      <c r="I3" s="1307"/>
      <c r="J3" s="1307"/>
      <c r="K3" s="1307"/>
      <c r="L3" s="1307"/>
      <c r="M3" s="1308"/>
      <c r="N3" s="1309"/>
    </row>
    <row r="4" spans="1:14" ht="13.5" customHeight="1" x14ac:dyDescent="0.2">
      <c r="A4" s="427" t="s">
        <v>1631</v>
      </c>
      <c r="B4" s="428"/>
      <c r="C4" s="1572">
        <v>3211229</v>
      </c>
      <c r="D4" s="1573">
        <v>1535690</v>
      </c>
      <c r="E4" s="1573">
        <v>925134</v>
      </c>
      <c r="F4" s="1573">
        <v>523379</v>
      </c>
      <c r="G4" s="1573">
        <v>1007792</v>
      </c>
      <c r="H4" s="1573">
        <v>1205207</v>
      </c>
      <c r="I4" s="1573">
        <v>482191</v>
      </c>
      <c r="J4" s="1574">
        <v>209028</v>
      </c>
      <c r="K4" s="1573">
        <v>93338</v>
      </c>
      <c r="L4" s="1573">
        <v>292994</v>
      </c>
      <c r="M4" s="1575"/>
      <c r="N4" s="1576"/>
    </row>
    <row r="5" spans="1:14" x14ac:dyDescent="0.2">
      <c r="A5" s="427" t="s">
        <v>985</v>
      </c>
      <c r="B5" s="429">
        <v>120</v>
      </c>
      <c r="C5" s="1572">
        <v>6568517</v>
      </c>
      <c r="D5" s="1573">
        <v>663202</v>
      </c>
      <c r="E5" s="1573">
        <v>1053480</v>
      </c>
      <c r="F5" s="1573">
        <v>429488</v>
      </c>
      <c r="G5" s="1573">
        <v>0</v>
      </c>
      <c r="H5" s="1573">
        <v>0</v>
      </c>
      <c r="I5" s="1573">
        <v>105372</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9779746</v>
      </c>
      <c r="D13" s="1587">
        <f t="shared" ref="D13:L13" si="0">SUM(D4:D12)</f>
        <v>2198892</v>
      </c>
      <c r="E13" s="1587">
        <f t="shared" si="0"/>
        <v>1978614</v>
      </c>
      <c r="F13" s="1587">
        <f t="shared" si="0"/>
        <v>952867</v>
      </c>
      <c r="G13" s="1587">
        <f t="shared" si="0"/>
        <v>1007792</v>
      </c>
      <c r="H13" s="1587">
        <f t="shared" si="0"/>
        <v>1205207</v>
      </c>
      <c r="I13" s="1587">
        <f t="shared" si="0"/>
        <v>587563</v>
      </c>
      <c r="J13" s="1587">
        <f t="shared" si="0"/>
        <v>209028</v>
      </c>
      <c r="K13" s="1587">
        <f t="shared" si="0"/>
        <v>93338</v>
      </c>
      <c r="L13" s="1587">
        <f t="shared" si="0"/>
        <v>292994</v>
      </c>
      <c r="M13" s="1575"/>
      <c r="N13" s="1576"/>
    </row>
    <row r="14" spans="1:14" ht="18" customHeight="1" thickTop="1" x14ac:dyDescent="0.2">
      <c r="A14" s="2326" t="s">
        <v>146</v>
      </c>
      <c r="B14" s="232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432926</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27687267</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3504582</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6094455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24111</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1978614</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4081386</v>
      </c>
    </row>
    <row r="23" spans="1:14" ht="13.5" customHeight="1" thickBot="1" x14ac:dyDescent="0.25">
      <c r="A23" s="1426" t="s">
        <v>638</v>
      </c>
      <c r="B23" s="1429"/>
      <c r="C23" s="1575"/>
      <c r="D23" s="1575"/>
      <c r="E23" s="1575"/>
      <c r="F23" s="1575"/>
      <c r="G23" s="1575"/>
      <c r="H23" s="1575"/>
      <c r="I23" s="1575"/>
      <c r="J23" s="1575"/>
      <c r="K23" s="1575"/>
      <c r="L23" s="1575"/>
      <c r="M23" s="1594">
        <f>SUM(M15:M22)</f>
        <v>37743341</v>
      </c>
      <c r="N23" s="1594">
        <f>SUM(N21:N22)</f>
        <v>6060000</v>
      </c>
    </row>
    <row r="24" spans="1:14" ht="18" customHeight="1" thickTop="1" x14ac:dyDescent="0.2">
      <c r="A24" s="2328" t="s">
        <v>594</v>
      </c>
      <c r="B24" s="2329"/>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10018</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187837</v>
      </c>
      <c r="M33" s="1575"/>
      <c r="N33" s="1576"/>
    </row>
    <row r="34" spans="1:14" ht="13.5" customHeight="1" thickBot="1" x14ac:dyDescent="0.25">
      <c r="A34" s="1427" t="s">
        <v>649</v>
      </c>
      <c r="B34" s="1428"/>
      <c r="C34" s="1600">
        <f>SUM(C25:C33)</f>
        <v>10018</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187837</v>
      </c>
      <c r="M34" s="1575"/>
      <c r="N34" s="1585"/>
    </row>
    <row r="35" spans="1:14" ht="18" customHeight="1" thickTop="1" x14ac:dyDescent="0.2">
      <c r="A35" s="2330" t="s">
        <v>526</v>
      </c>
      <c r="B35" s="233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6060000</v>
      </c>
    </row>
    <row r="37" spans="1:14" ht="13.5" thickBot="1" x14ac:dyDescent="0.25">
      <c r="A37" s="1426" t="s">
        <v>648</v>
      </c>
      <c r="B37" s="1429"/>
      <c r="C37" s="1582"/>
      <c r="D37" s="1582"/>
      <c r="E37" s="1582"/>
      <c r="F37" s="1582"/>
      <c r="G37" s="1582"/>
      <c r="H37" s="1582"/>
      <c r="I37" s="1582"/>
      <c r="J37" s="1582"/>
      <c r="K37" s="1582"/>
      <c r="L37" s="1585"/>
      <c r="M37" s="1575"/>
      <c r="N37" s="1594">
        <f>SUM(N36:N36)</f>
        <v>6060000</v>
      </c>
    </row>
    <row r="38" spans="1:14" s="307" customFormat="1" ht="13.5" customHeight="1" thickTop="1" x14ac:dyDescent="0.2">
      <c r="A38" s="438" t="s">
        <v>417</v>
      </c>
      <c r="B38" s="432">
        <v>714</v>
      </c>
      <c r="C38" s="1573">
        <v>56348</v>
      </c>
      <c r="D38" s="1573">
        <v>39126</v>
      </c>
      <c r="E38" s="1573">
        <v>1861582</v>
      </c>
      <c r="F38" s="1573">
        <v>0</v>
      </c>
      <c r="G38" s="1573">
        <v>625894</v>
      </c>
      <c r="H38" s="1573">
        <v>0</v>
      </c>
      <c r="I38" s="1573">
        <v>0</v>
      </c>
      <c r="J38" s="1574">
        <v>0</v>
      </c>
      <c r="K38" s="1573">
        <v>0</v>
      </c>
      <c r="L38" s="1586">
        <v>105157</v>
      </c>
      <c r="M38" s="1604"/>
      <c r="N38" s="1604"/>
    </row>
    <row r="39" spans="1:14" s="307" customFormat="1" ht="13.5" customHeight="1" x14ac:dyDescent="0.2">
      <c r="A39" s="438" t="s">
        <v>339</v>
      </c>
      <c r="B39" s="432">
        <v>730</v>
      </c>
      <c r="C39" s="1573">
        <v>9713380</v>
      </c>
      <c r="D39" s="1573">
        <v>2159766</v>
      </c>
      <c r="E39" s="1573">
        <v>117032</v>
      </c>
      <c r="F39" s="1573">
        <v>952867</v>
      </c>
      <c r="G39" s="1573">
        <v>381898</v>
      </c>
      <c r="H39" s="1573">
        <v>1205207</v>
      </c>
      <c r="I39" s="1573">
        <v>587563</v>
      </c>
      <c r="J39" s="1574">
        <v>209028</v>
      </c>
      <c r="K39" s="1573">
        <v>93338</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37743341</v>
      </c>
      <c r="N40" s="1604"/>
    </row>
    <row r="41" spans="1:14" ht="13.5" customHeight="1" thickBot="1" x14ac:dyDescent="0.25">
      <c r="A41" s="1426" t="s">
        <v>650</v>
      </c>
      <c r="B41" s="1405"/>
      <c r="C41" s="1594">
        <f>(SUM(C34,C37,C38,C39))</f>
        <v>9779746</v>
      </c>
      <c r="D41" s="1594">
        <f t="shared" ref="D41:L41" si="2">SUM(D34,D37,D38:D39)</f>
        <v>2198892</v>
      </c>
      <c r="E41" s="1594">
        <f t="shared" si="2"/>
        <v>1978614</v>
      </c>
      <c r="F41" s="1594">
        <f t="shared" si="2"/>
        <v>952867</v>
      </c>
      <c r="G41" s="1594">
        <f t="shared" si="2"/>
        <v>1007792</v>
      </c>
      <c r="H41" s="1594">
        <f t="shared" si="2"/>
        <v>1205207</v>
      </c>
      <c r="I41" s="1594">
        <f t="shared" si="2"/>
        <v>587563</v>
      </c>
      <c r="J41" s="1594">
        <f t="shared" si="2"/>
        <v>209028</v>
      </c>
      <c r="K41" s="1594">
        <f t="shared" si="2"/>
        <v>93338</v>
      </c>
      <c r="L41" s="1594">
        <f t="shared" si="2"/>
        <v>292994</v>
      </c>
      <c r="M41" s="1594">
        <f>SUM(M40)</f>
        <v>37743341</v>
      </c>
      <c r="N41" s="1594">
        <f>SUM(N37)</f>
        <v>6060000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26" sqref="A26"/>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40" t="s">
        <v>1632</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4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352" t="s">
        <v>1165</v>
      </c>
      <c r="B3" s="2353"/>
      <c r="C3" s="1311"/>
      <c r="D3" s="1312"/>
      <c r="E3" s="1312"/>
      <c r="F3" s="1312"/>
      <c r="G3" s="1312"/>
      <c r="H3" s="1312"/>
      <c r="I3" s="1312"/>
      <c r="J3" s="1312"/>
      <c r="K3" s="1313"/>
      <c r="L3" s="446"/>
    </row>
    <row r="4" spans="1:13" ht="15.75" customHeight="1" x14ac:dyDescent="0.2">
      <c r="A4" s="1537" t="s">
        <v>1482</v>
      </c>
      <c r="B4" s="1538">
        <v>1000</v>
      </c>
      <c r="C4" s="1606">
        <f>'Revenues 9-14'!C109</f>
        <v>2796972</v>
      </c>
      <c r="D4" s="1606">
        <f>'Revenues 9-14'!D109</f>
        <v>684109</v>
      </c>
      <c r="E4" s="1606">
        <f>'Revenues 9-14'!E109</f>
        <v>767019</v>
      </c>
      <c r="F4" s="1606">
        <f>'Revenues 9-14'!F109</f>
        <v>184731</v>
      </c>
      <c r="G4" s="1606">
        <f>'Revenues 9-14'!G109</f>
        <v>790303</v>
      </c>
      <c r="H4" s="1606">
        <f>'Revenues 9-14'!H109</f>
        <v>258435</v>
      </c>
      <c r="I4" s="1606">
        <f>'Revenues 9-14'!I109</f>
        <v>51729</v>
      </c>
      <c r="J4" s="1606">
        <f>'Revenues 9-14'!J109</f>
        <v>598360</v>
      </c>
      <c r="K4" s="1606">
        <f>'Revenues 9-14'!K109</f>
        <v>41718</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11428543</v>
      </c>
      <c r="D6" s="1607">
        <f>'Revenues 9-14'!D170</f>
        <v>2092189</v>
      </c>
      <c r="E6" s="1607">
        <f>'Revenues 9-14'!E170</f>
        <v>0</v>
      </c>
      <c r="F6" s="1607">
        <f>'Revenues 9-14'!F170</f>
        <v>793565</v>
      </c>
      <c r="G6" s="1607">
        <f>'Revenues 9-14'!G170</f>
        <v>0</v>
      </c>
      <c r="H6" s="1607">
        <f>'Revenues 9-14'!H170</f>
        <v>800132</v>
      </c>
      <c r="I6" s="1607">
        <f>'Revenues 9-14'!I170</f>
        <v>0</v>
      </c>
      <c r="J6" s="1607">
        <f>'Revenues 9-14'!J170</f>
        <v>0</v>
      </c>
      <c r="K6" s="1607">
        <f>'Revenues 9-14'!K170</f>
        <v>0</v>
      </c>
      <c r="L6" s="325"/>
      <c r="M6" s="448"/>
    </row>
    <row r="7" spans="1:13" ht="15.75" customHeight="1" x14ac:dyDescent="0.2">
      <c r="A7" s="1314" t="s">
        <v>1485</v>
      </c>
      <c r="B7" s="1316">
        <v>4000</v>
      </c>
      <c r="C7" s="1607">
        <f>'Revenues 9-14'!C267</f>
        <v>4108867</v>
      </c>
      <c r="D7" s="1607">
        <f>'Revenues 9-14'!D267</f>
        <v>41054</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18334382</v>
      </c>
      <c r="D8" s="1594">
        <f t="shared" ref="D8:K8" si="0">SUM(D4:D7)</f>
        <v>2817352</v>
      </c>
      <c r="E8" s="1594">
        <f t="shared" si="0"/>
        <v>767019</v>
      </c>
      <c r="F8" s="1594">
        <f t="shared" si="0"/>
        <v>978296</v>
      </c>
      <c r="G8" s="1594">
        <f t="shared" si="0"/>
        <v>790303</v>
      </c>
      <c r="H8" s="1594">
        <f t="shared" si="0"/>
        <v>1058567</v>
      </c>
      <c r="I8" s="1594">
        <f t="shared" si="0"/>
        <v>51729</v>
      </c>
      <c r="J8" s="1594">
        <f t="shared" si="0"/>
        <v>598360</v>
      </c>
      <c r="K8" s="1594">
        <f t="shared" si="0"/>
        <v>41718</v>
      </c>
      <c r="L8" s="325"/>
    </row>
    <row r="9" spans="1:13" ht="15.75" thickTop="1" x14ac:dyDescent="0.2">
      <c r="A9" s="449" t="s">
        <v>1633</v>
      </c>
      <c r="B9" s="450">
        <v>3998</v>
      </c>
      <c r="C9" s="1586">
        <v>6445864</v>
      </c>
      <c r="D9" s="1613"/>
      <c r="E9" s="1586"/>
      <c r="F9" s="1586"/>
      <c r="G9" s="1614"/>
      <c r="H9" s="1586"/>
      <c r="I9" s="1609" t="s">
        <v>1159</v>
      </c>
      <c r="J9" s="1583"/>
      <c r="K9" s="1586"/>
      <c r="L9" s="325"/>
    </row>
    <row r="10" spans="1:13" s="452" customFormat="1" ht="13.5" thickBot="1" x14ac:dyDescent="0.25">
      <c r="A10" s="1426" t="s">
        <v>1163</v>
      </c>
      <c r="B10" s="1407"/>
      <c r="C10" s="1594">
        <f>SUM(C8:C9)</f>
        <v>24780246</v>
      </c>
      <c r="D10" s="1594">
        <f t="shared" ref="D10:K10" si="1">SUM(D8:D9)</f>
        <v>2817352</v>
      </c>
      <c r="E10" s="1594">
        <f t="shared" si="1"/>
        <v>767019</v>
      </c>
      <c r="F10" s="1594">
        <f t="shared" si="1"/>
        <v>978296</v>
      </c>
      <c r="G10" s="1594">
        <f t="shared" si="1"/>
        <v>790303</v>
      </c>
      <c r="H10" s="1594">
        <f t="shared" si="1"/>
        <v>1058567</v>
      </c>
      <c r="I10" s="1594">
        <f t="shared" si="1"/>
        <v>51729</v>
      </c>
      <c r="J10" s="1594">
        <f t="shared" si="1"/>
        <v>598360</v>
      </c>
      <c r="K10" s="1594">
        <f t="shared" si="1"/>
        <v>41718</v>
      </c>
      <c r="L10" s="451"/>
    </row>
    <row r="11" spans="1:13" s="452" customFormat="1" ht="16.7" customHeight="1" thickTop="1" x14ac:dyDescent="0.2">
      <c r="A11" s="2326" t="s">
        <v>1166</v>
      </c>
      <c r="B11" s="2327"/>
      <c r="C11" s="1602"/>
      <c r="D11" s="1603"/>
      <c r="E11" s="1603"/>
      <c r="F11" s="1603"/>
      <c r="G11" s="1603"/>
      <c r="H11" s="1603"/>
      <c r="I11" s="1603"/>
      <c r="J11" s="1603"/>
      <c r="K11" s="1615"/>
      <c r="L11" s="451"/>
    </row>
    <row r="12" spans="1:13" ht="15.75" customHeight="1" x14ac:dyDescent="0.2">
      <c r="A12" s="1314" t="s">
        <v>453</v>
      </c>
      <c r="B12" s="1316">
        <v>1000</v>
      </c>
      <c r="C12" s="1606">
        <f>'Expenditures 15-22'!K33</f>
        <v>10762824</v>
      </c>
      <c r="D12" s="1616" t="s">
        <v>1159</v>
      </c>
      <c r="E12" s="1575" t="s">
        <v>1159</v>
      </c>
      <c r="F12" s="1575" t="s">
        <v>1159</v>
      </c>
      <c r="G12" s="1606">
        <f>'Expenditures 15-22'!K229</f>
        <v>234615</v>
      </c>
      <c r="H12" s="1617"/>
      <c r="I12" s="1575" t="s">
        <v>1159</v>
      </c>
      <c r="J12" s="1575" t="s">
        <v>1159</v>
      </c>
      <c r="K12" s="1617" t="s">
        <v>1159</v>
      </c>
      <c r="L12" s="325"/>
    </row>
    <row r="13" spans="1:13" ht="15.75" customHeight="1" x14ac:dyDescent="0.2">
      <c r="A13" s="1314" t="s">
        <v>454</v>
      </c>
      <c r="B13" s="1316">
        <v>2000</v>
      </c>
      <c r="C13" s="1607">
        <f>'Expenditures 15-22'!K74</f>
        <v>4274035</v>
      </c>
      <c r="D13" s="1607">
        <f>'Expenditures 15-22'!K129</f>
        <v>2496188</v>
      </c>
      <c r="E13" s="1576" t="s">
        <v>1159</v>
      </c>
      <c r="F13" s="1607">
        <f>'Expenditures 15-22'!K184</f>
        <v>856525</v>
      </c>
      <c r="G13" s="1607">
        <f>'Expenditures 15-22'!K279</f>
        <v>460212</v>
      </c>
      <c r="H13" s="1607">
        <f>'Expenditures 15-22'!K303</f>
        <v>1064768</v>
      </c>
      <c r="I13" s="1575" t="s">
        <v>1159</v>
      </c>
      <c r="J13" s="1607">
        <f>'Expenditures 15-22'!K330</f>
        <v>619590</v>
      </c>
      <c r="K13" s="1618">
        <f>'Expenditures 15-22'!K352</f>
        <v>51503</v>
      </c>
      <c r="L13" s="325"/>
    </row>
    <row r="14" spans="1:13" ht="15.75" customHeight="1" x14ac:dyDescent="0.2">
      <c r="A14" s="1314" t="s">
        <v>446</v>
      </c>
      <c r="B14" s="1316">
        <v>3000</v>
      </c>
      <c r="C14" s="1607">
        <f>'Expenditures 15-22'!K75</f>
        <v>146291</v>
      </c>
      <c r="D14" s="1607">
        <f>'Expenditures 15-22'!K130</f>
        <v>0</v>
      </c>
      <c r="E14" s="1616" t="s">
        <v>1159</v>
      </c>
      <c r="F14" s="1607">
        <f>'Expenditures 15-22'!K185</f>
        <v>0</v>
      </c>
      <c r="G14" s="1607">
        <f>'Expenditures 15-22'!K280</f>
        <v>7487</v>
      </c>
      <c r="H14" s="1612"/>
      <c r="I14" s="1575" t="s">
        <v>1159</v>
      </c>
      <c r="J14" s="1575" t="s">
        <v>1159</v>
      </c>
      <c r="K14" s="1612" t="s">
        <v>1159</v>
      </c>
      <c r="L14" s="325"/>
    </row>
    <row r="15" spans="1:13" ht="15.75" customHeight="1" x14ac:dyDescent="0.2">
      <c r="A15" s="1314" t="s">
        <v>107</v>
      </c>
      <c r="B15" s="1316">
        <v>4000</v>
      </c>
      <c r="C15" s="1607">
        <f>'Expenditures 15-22'!K102</f>
        <v>2312583</v>
      </c>
      <c r="D15" s="1607">
        <f>'Expenditures 15-22'!K139</f>
        <v>0</v>
      </c>
      <c r="E15" s="1607">
        <f>'Expenditures 15-22'!K160</f>
        <v>0</v>
      </c>
      <c r="F15" s="1607">
        <f>'Expenditures 15-22'!K196</f>
        <v>0</v>
      </c>
      <c r="G15" s="1607">
        <f>'Expenditures 15-22'!K285</f>
        <v>56788</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711978</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17495733</v>
      </c>
      <c r="D17" s="1594">
        <f t="shared" si="2"/>
        <v>2496188</v>
      </c>
      <c r="E17" s="1594">
        <f t="shared" si="2"/>
        <v>711978</v>
      </c>
      <c r="F17" s="1594">
        <f t="shared" si="2"/>
        <v>856525</v>
      </c>
      <c r="G17" s="1594">
        <f t="shared" si="2"/>
        <v>759102</v>
      </c>
      <c r="H17" s="1594">
        <f t="shared" si="2"/>
        <v>1064768</v>
      </c>
      <c r="I17" s="1575"/>
      <c r="J17" s="1594">
        <f>SUM(J12:J16)</f>
        <v>619590</v>
      </c>
      <c r="K17" s="1594">
        <f>SUM(K12:K16)</f>
        <v>51503</v>
      </c>
      <c r="L17" s="325"/>
    </row>
    <row r="18" spans="1:12" ht="15" customHeight="1" thickTop="1" x14ac:dyDescent="0.2">
      <c r="A18" s="1430" t="s">
        <v>1634</v>
      </c>
      <c r="B18" s="1431">
        <v>4180</v>
      </c>
      <c r="C18" s="1606">
        <f t="shared" ref="C18:H18" si="3">C9</f>
        <v>6445864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23941597</v>
      </c>
      <c r="D19" s="1594">
        <f t="shared" si="4"/>
        <v>2496188</v>
      </c>
      <c r="E19" s="1594">
        <f t="shared" si="4"/>
        <v>711978</v>
      </c>
      <c r="F19" s="1594">
        <f t="shared" si="4"/>
        <v>856525</v>
      </c>
      <c r="G19" s="1594">
        <f t="shared" si="4"/>
        <v>759102</v>
      </c>
      <c r="H19" s="1594">
        <f t="shared" si="4"/>
        <v>1064768</v>
      </c>
      <c r="I19" s="1575"/>
      <c r="J19" s="1594">
        <f>SUM(J17:J18)</f>
        <v>619590</v>
      </c>
      <c r="K19" s="1594">
        <f>SUM(K17:K18)</f>
        <v>51503</v>
      </c>
      <c r="L19" s="325"/>
    </row>
    <row r="20" spans="1:12" ht="16.5" thickTop="1" thickBot="1" x14ac:dyDescent="0.25">
      <c r="A20" s="2342" t="s">
        <v>1635</v>
      </c>
      <c r="B20" s="2343"/>
      <c r="C20" s="1622">
        <f>C8-C17</f>
        <v>838649</v>
      </c>
      <c r="D20" s="1622">
        <f t="shared" ref="D20:K20" si="5">D8-D17</f>
        <v>321164</v>
      </c>
      <c r="E20" s="1622">
        <f t="shared" si="5"/>
        <v>55041</v>
      </c>
      <c r="F20" s="1622">
        <f t="shared" si="5"/>
        <v>121771</v>
      </c>
      <c r="G20" s="1622">
        <f t="shared" si="5"/>
        <v>31201</v>
      </c>
      <c r="H20" s="1622">
        <f t="shared" si="5"/>
        <v>-6201</v>
      </c>
      <c r="I20" s="1622">
        <f t="shared" si="5"/>
        <v>51729</v>
      </c>
      <c r="J20" s="1622">
        <f t="shared" si="5"/>
        <v>-21230</v>
      </c>
      <c r="K20" s="1622">
        <f t="shared" si="5"/>
        <v>-9785</v>
      </c>
      <c r="L20" s="325"/>
    </row>
    <row r="21" spans="1:12" ht="16.7" customHeight="1" thickTop="1" x14ac:dyDescent="0.2">
      <c r="A21" s="2354" t="s">
        <v>591</v>
      </c>
      <c r="B21" s="2355"/>
      <c r="C21" s="1602"/>
      <c r="D21" s="1603"/>
      <c r="E21" s="1603"/>
      <c r="F21" s="1603"/>
      <c r="G21" s="1603"/>
      <c r="H21" s="1603"/>
      <c r="I21" s="1603"/>
      <c r="J21" s="1603"/>
      <c r="K21" s="1615"/>
      <c r="L21" s="453"/>
    </row>
    <row r="22" spans="1:12" ht="15.75" customHeight="1" collapsed="1" x14ac:dyDescent="0.2">
      <c r="A22" s="2350" t="s">
        <v>592</v>
      </c>
      <c r="B22" s="2351"/>
      <c r="C22" s="1582"/>
      <c r="D22" s="1582"/>
      <c r="E22" s="1582"/>
      <c r="F22" s="1582"/>
      <c r="G22" s="1582"/>
      <c r="H22" s="1582"/>
      <c r="I22" s="1582"/>
      <c r="J22" s="1582"/>
      <c r="K22" s="1582"/>
      <c r="L22" s="325"/>
    </row>
    <row r="23" spans="1:12" s="433" customFormat="1" ht="15.75" customHeight="1" x14ac:dyDescent="0.2">
      <c r="A23" s="2346" t="s">
        <v>290</v>
      </c>
      <c r="B23" s="2347"/>
      <c r="C23" s="1585"/>
      <c r="D23" s="1582"/>
      <c r="E23" s="1582"/>
      <c r="F23" s="1582"/>
      <c r="G23" s="1582"/>
      <c r="H23" s="1582"/>
      <c r="I23" s="1582"/>
      <c r="J23" s="1582"/>
      <c r="K23" s="1582"/>
      <c r="L23" s="453"/>
    </row>
    <row r="24" spans="1:12" s="433" customFormat="1" ht="13.5" customHeight="1" x14ac:dyDescent="0.2">
      <c r="A24" s="1260" t="s">
        <v>1636</v>
      </c>
      <c r="B24" s="454">
        <v>7110</v>
      </c>
      <c r="C24" s="1574">
        <v>0</v>
      </c>
      <c r="D24" s="1582"/>
      <c r="E24" s="1582"/>
      <c r="F24" s="1582"/>
      <c r="G24" s="1582"/>
      <c r="H24" s="1582"/>
      <c r="I24" s="1582"/>
      <c r="J24" s="1582"/>
      <c r="K24" s="1582"/>
      <c r="L24" s="453"/>
    </row>
    <row r="25" spans="1:12" s="433" customFormat="1" ht="13.5" customHeight="1" x14ac:dyDescent="0.2">
      <c r="A25" s="1260" t="s">
        <v>1637</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1766</v>
      </c>
      <c r="B30" s="455">
        <v>7160</v>
      </c>
      <c r="C30" s="1582"/>
      <c r="D30" s="1574">
        <v>0</v>
      </c>
      <c r="E30" s="1582"/>
      <c r="F30" s="1582"/>
      <c r="G30" s="1582"/>
      <c r="H30" s="1582"/>
      <c r="I30" s="1582"/>
      <c r="J30" s="1582"/>
      <c r="K30" s="1582"/>
      <c r="L30" s="453"/>
    </row>
    <row r="31" spans="1:12" s="433" customFormat="1" ht="26.25" x14ac:dyDescent="0.2">
      <c r="A31" s="1260" t="s">
        <v>1770</v>
      </c>
      <c r="B31" s="455">
        <v>7170</v>
      </c>
      <c r="C31" s="1582"/>
      <c r="D31" s="1582"/>
      <c r="E31" s="1579">
        <v>0</v>
      </c>
      <c r="F31" s="1582"/>
      <c r="G31" s="1582"/>
      <c r="H31" s="1582"/>
      <c r="I31" s="1582"/>
      <c r="J31" s="1582"/>
      <c r="K31" s="1582"/>
      <c r="L31" s="453"/>
    </row>
    <row r="32" spans="1:12" s="433" customFormat="1" ht="15.75" customHeight="1" x14ac:dyDescent="0.2">
      <c r="A32" s="2348" t="s">
        <v>974</v>
      </c>
      <c r="B32" s="2349"/>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1638</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356" t="s">
        <v>371</v>
      </c>
      <c r="B44" s="2357"/>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350" t="s">
        <v>108</v>
      </c>
      <c r="B45" s="2351"/>
      <c r="C45" s="1625"/>
      <c r="D45" s="1625"/>
      <c r="E45" s="1625"/>
      <c r="F45" s="1625"/>
      <c r="G45" s="1625"/>
      <c r="H45" s="1625"/>
      <c r="I45" s="1625"/>
      <c r="J45" s="1625"/>
      <c r="K45" s="1625"/>
      <c r="L45" s="325"/>
    </row>
    <row r="46" spans="1:12" s="433" customFormat="1" ht="15.75" customHeight="1" x14ac:dyDescent="0.2">
      <c r="A46" s="2358" t="s">
        <v>109</v>
      </c>
      <c r="B46" s="2359"/>
      <c r="C46" s="1582"/>
      <c r="D46" s="1582"/>
      <c r="E46" s="1582"/>
      <c r="F46" s="1582"/>
      <c r="G46" s="1582"/>
      <c r="H46" s="1582"/>
      <c r="I46" s="1585"/>
      <c r="J46" s="1582"/>
      <c r="K46" s="1582"/>
      <c r="L46" s="456"/>
    </row>
    <row r="47" spans="1:12" s="433" customFormat="1" ht="15" x14ac:dyDescent="0.2">
      <c r="A47" s="1261" t="s">
        <v>1639</v>
      </c>
      <c r="B47" s="432">
        <v>8110</v>
      </c>
      <c r="C47" s="1582"/>
      <c r="D47" s="1582"/>
      <c r="E47" s="1582"/>
      <c r="F47" s="1582"/>
      <c r="G47" s="1582"/>
      <c r="H47" s="1582"/>
      <c r="I47" s="1607">
        <f>SUM(C24,C25:H25,J25:K25)</f>
        <v>0</v>
      </c>
      <c r="J47" s="1582"/>
      <c r="K47" s="1582"/>
      <c r="L47" s="456"/>
    </row>
    <row r="48" spans="1:12" s="433" customFormat="1" ht="15" x14ac:dyDescent="0.2">
      <c r="A48" s="1261" t="s">
        <v>1640</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1769</v>
      </c>
      <c r="B52" s="432">
        <v>8160</v>
      </c>
      <c r="C52" s="1582"/>
      <c r="D52" s="1582"/>
      <c r="E52" s="1582"/>
      <c r="F52" s="1582"/>
      <c r="G52" s="1582"/>
      <c r="H52" s="1582"/>
      <c r="I52" s="1582"/>
      <c r="J52" s="1582"/>
      <c r="K52" s="1607">
        <f>D30</f>
        <v>0</v>
      </c>
      <c r="L52" s="453"/>
    </row>
    <row r="53" spans="1:12" s="433" customFormat="1" ht="26.25" x14ac:dyDescent="0.2">
      <c r="A53" s="1261" t="s">
        <v>1768</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332" t="s">
        <v>437</v>
      </c>
      <c r="B76" s="2333"/>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334" t="s">
        <v>1167</v>
      </c>
      <c r="B77" s="2335"/>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338" t="s">
        <v>593</v>
      </c>
      <c r="B78" s="2339"/>
      <c r="C78" s="1629">
        <f t="shared" ref="C78:K78" si="9">C20+C77</f>
        <v>838649</v>
      </c>
      <c r="D78" s="1629">
        <f t="shared" si="9"/>
        <v>321164</v>
      </c>
      <c r="E78" s="1629">
        <f t="shared" si="9"/>
        <v>55041</v>
      </c>
      <c r="F78" s="1629">
        <f t="shared" si="9"/>
        <v>121771</v>
      </c>
      <c r="G78" s="1629">
        <f t="shared" si="9"/>
        <v>31201</v>
      </c>
      <c r="H78" s="1629">
        <f t="shared" si="9"/>
        <v>-6201</v>
      </c>
      <c r="I78" s="1629">
        <f t="shared" si="9"/>
        <v>51729</v>
      </c>
      <c r="J78" s="1629">
        <f t="shared" si="9"/>
        <v>-21230</v>
      </c>
      <c r="K78" s="1629">
        <f t="shared" si="9"/>
        <v>-9785</v>
      </c>
      <c r="L78" s="457"/>
    </row>
    <row r="79" spans="1:12" ht="13.5" thickTop="1" x14ac:dyDescent="0.2">
      <c r="A79" s="1844" t="str">
        <f>"Fund Balances - July 1, "&amp;'AFR20'!E2-1</f>
        <v>Fund Balances - July 1, 2019</v>
      </c>
      <c r="B79" s="458"/>
      <c r="C79" s="1583">
        <v>8931079</v>
      </c>
      <c r="D79" s="1583">
        <v>1877728</v>
      </c>
      <c r="E79" s="1630">
        <v>1923573</v>
      </c>
      <c r="F79" s="1630">
        <v>831096</v>
      </c>
      <c r="G79" s="1630">
        <v>976591</v>
      </c>
      <c r="H79" s="1630">
        <v>1211408</v>
      </c>
      <c r="I79" s="1630">
        <v>535834</v>
      </c>
      <c r="J79" s="1630">
        <v>230258</v>
      </c>
      <c r="K79" s="1630">
        <v>103123</v>
      </c>
      <c r="L79" s="325"/>
    </row>
    <row r="80" spans="1:12" x14ac:dyDescent="0.2">
      <c r="A80" s="2344" t="s">
        <v>1767</v>
      </c>
      <c r="B80" s="2345"/>
      <c r="C80" s="1574">
        <v>0</v>
      </c>
      <c r="D80" s="1574">
        <v>0</v>
      </c>
      <c r="E80" s="1574">
        <v>0</v>
      </c>
      <c r="F80" s="1574">
        <v>0</v>
      </c>
      <c r="G80" s="1574">
        <v>0</v>
      </c>
      <c r="H80" s="1574">
        <v>0</v>
      </c>
      <c r="I80" s="1574">
        <v>0</v>
      </c>
      <c r="J80" s="1574">
        <v>0</v>
      </c>
      <c r="K80" s="1574">
        <v>0</v>
      </c>
      <c r="L80" s="325"/>
    </row>
    <row r="81" spans="1:12" ht="13.5" thickBot="1" x14ac:dyDescent="0.25">
      <c r="A81" s="2336" t="str">
        <f>"Fund Balances - June 30, "&amp;'AFR20'!E2</f>
        <v>Fund Balances - June 30, 2020</v>
      </c>
      <c r="B81" s="2337"/>
      <c r="C81" s="1594">
        <f>(SUM(C78:C80))</f>
        <v>9769728</v>
      </c>
      <c r="D81" s="1594">
        <f>SUM(D78:D80)</f>
        <v>2198892</v>
      </c>
      <c r="E81" s="1594">
        <f t="shared" ref="E81:K81" si="10">SUM(E78:E80)</f>
        <v>1978614</v>
      </c>
      <c r="F81" s="1594">
        <f t="shared" si="10"/>
        <v>952867</v>
      </c>
      <c r="G81" s="1594">
        <f t="shared" si="10"/>
        <v>1007792</v>
      </c>
      <c r="H81" s="1594">
        <f t="shared" si="10"/>
        <v>1205207</v>
      </c>
      <c r="I81" s="1594">
        <f t="shared" si="10"/>
        <v>587563</v>
      </c>
      <c r="J81" s="1594">
        <f t="shared" si="10"/>
        <v>209028</v>
      </c>
      <c r="K81" s="1594">
        <f t="shared" si="10"/>
        <v>93338</v>
      </c>
      <c r="L81" s="325"/>
    </row>
    <row r="82" spans="1:12" ht="0.75" customHeight="1" thickTop="1" thickBot="1" x14ac:dyDescent="0.25">
      <c r="A82" s="459" t="s">
        <v>340</v>
      </c>
      <c r="B82" s="460"/>
      <c r="C82" s="461">
        <f>(C81-C79)</f>
        <v>838649</v>
      </c>
      <c r="D82" s="461">
        <f t="shared" ref="D82:K82" si="11">(D81-D79)</f>
        <v>321164</v>
      </c>
      <c r="E82" s="461">
        <f t="shared" si="11"/>
        <v>55041</v>
      </c>
      <c r="F82" s="461">
        <f t="shared" si="11"/>
        <v>121771</v>
      </c>
      <c r="G82" s="461">
        <f t="shared" si="11"/>
        <v>31201</v>
      </c>
      <c r="H82" s="461">
        <f t="shared" si="11"/>
        <v>-6201</v>
      </c>
      <c r="I82" s="461">
        <f t="shared" si="11"/>
        <v>51729</v>
      </c>
      <c r="J82" s="461">
        <f t="shared" si="11"/>
        <v>-21230</v>
      </c>
      <c r="K82" s="461">
        <f t="shared" si="11"/>
        <v>-9785</v>
      </c>
    </row>
    <row r="83" spans="1:12" ht="14.25" hidden="1" thickTop="1" thickBot="1" x14ac:dyDescent="0.25">
      <c r="A83" s="462" t="s">
        <v>341</v>
      </c>
      <c r="B83" s="428"/>
      <c r="C83" s="463">
        <f>C82/C81</f>
        <v>8.584159149568954E-2</v>
      </c>
      <c r="D83" s="463">
        <f t="shared" ref="D83:K83" si="12">D82/D81</f>
        <v>0.14605719607875239</v>
      </c>
      <c r="E83" s="463">
        <f t="shared" si="12"/>
        <v>2.7817957418677923E-2</v>
      </c>
      <c r="F83" s="463">
        <f t="shared" si="12"/>
        <v>0.12779433016360101</v>
      </c>
      <c r="G83" s="463">
        <f t="shared" si="12"/>
        <v>3.0959761538095161E-2</v>
      </c>
      <c r="H83" s="463">
        <f t="shared" si="12"/>
        <v>-5.1451742314805671E-3</v>
      </c>
      <c r="I83" s="463">
        <f t="shared" si="12"/>
        <v>8.8039920825511472E-2</v>
      </c>
      <c r="J83" s="463">
        <f t="shared" si="12"/>
        <v>-0.10156534052854163</v>
      </c>
      <c r="K83" s="463">
        <f t="shared" si="12"/>
        <v>-0.10483404401208511</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26" sqref="A26"/>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40" t="s">
        <v>1774</v>
      </c>
      <c r="B1" s="416"/>
      <c r="C1" s="417" t="s">
        <v>422</v>
      </c>
      <c r="D1" s="417" t="s">
        <v>423</v>
      </c>
      <c r="E1" s="417" t="s">
        <v>424</v>
      </c>
      <c r="F1" s="417" t="s">
        <v>425</v>
      </c>
      <c r="G1" s="417" t="s">
        <v>426</v>
      </c>
      <c r="H1" s="417" t="s">
        <v>427</v>
      </c>
      <c r="I1" s="417" t="s">
        <v>428</v>
      </c>
      <c r="J1" s="417" t="s">
        <v>429</v>
      </c>
      <c r="K1" s="417" t="s">
        <v>751</v>
      </c>
    </row>
    <row r="2" spans="1:12" ht="36" x14ac:dyDescent="0.2">
      <c r="A2" s="234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1641</v>
      </c>
      <c r="B5" s="470"/>
      <c r="C5" s="1586">
        <v>1466121</v>
      </c>
      <c r="D5" s="1586">
        <v>398404</v>
      </c>
      <c r="E5" s="1573">
        <v>180519</v>
      </c>
      <c r="F5" s="1631">
        <v>159375</v>
      </c>
      <c r="G5" s="1573">
        <v>312958</v>
      </c>
      <c r="H5" s="1573">
        <v>0</v>
      </c>
      <c r="I5" s="1573">
        <v>39861</v>
      </c>
      <c r="J5" s="1574">
        <v>595996</v>
      </c>
      <c r="K5" s="1573">
        <v>39861</v>
      </c>
    </row>
    <row r="6" spans="1:12" ht="15" x14ac:dyDescent="0.2">
      <c r="A6" s="427" t="s">
        <v>1642</v>
      </c>
      <c r="B6" s="429">
        <v>1130</v>
      </c>
      <c r="C6" s="1573">
        <v>39861</v>
      </c>
      <c r="D6" s="1573">
        <v>0</v>
      </c>
      <c r="E6" s="1580"/>
      <c r="F6" s="1580"/>
      <c r="G6" s="1575"/>
      <c r="H6" s="1575"/>
      <c r="I6" s="1575"/>
      <c r="J6" s="1575"/>
      <c r="K6" s="1575"/>
    </row>
    <row r="7" spans="1:12" x14ac:dyDescent="0.2">
      <c r="A7" s="427" t="s">
        <v>110</v>
      </c>
      <c r="B7" s="471">
        <v>1140</v>
      </c>
      <c r="C7" s="1573">
        <v>31882</v>
      </c>
      <c r="D7" s="1573">
        <v>0</v>
      </c>
      <c r="E7" s="1575"/>
      <c r="F7" s="1574">
        <v>0</v>
      </c>
      <c r="G7" s="1574">
        <v>0</v>
      </c>
      <c r="H7" s="1574">
        <v>0</v>
      </c>
      <c r="I7" s="1575"/>
      <c r="J7" s="1575"/>
      <c r="K7" s="1575"/>
    </row>
    <row r="8" spans="1:12" x14ac:dyDescent="0.2">
      <c r="A8" s="427" t="s">
        <v>410</v>
      </c>
      <c r="B8" s="429">
        <v>1150</v>
      </c>
      <c r="C8" s="1580"/>
      <c r="D8" s="1580"/>
      <c r="E8" s="1582"/>
      <c r="F8" s="1582"/>
      <c r="G8" s="1586">
        <v>382675</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1537864</v>
      </c>
      <c r="D12" s="1633">
        <f t="shared" si="0"/>
        <v>398404</v>
      </c>
      <c r="E12" s="1633">
        <f t="shared" si="0"/>
        <v>180519</v>
      </c>
      <c r="F12" s="1633">
        <f t="shared" si="0"/>
        <v>159375</v>
      </c>
      <c r="G12" s="1633">
        <f t="shared" si="0"/>
        <v>695633</v>
      </c>
      <c r="H12" s="1633">
        <f t="shared" si="0"/>
        <v>0</v>
      </c>
      <c r="I12" s="1633">
        <f t="shared" si="0"/>
        <v>39861</v>
      </c>
      <c r="J12" s="1633">
        <f t="shared" si="0"/>
        <v>595996</v>
      </c>
      <c r="K12" s="1594">
        <f t="shared" si="0"/>
        <v>39861</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1643</v>
      </c>
      <c r="B16" s="471">
        <v>1230</v>
      </c>
      <c r="C16" s="1632">
        <v>292642</v>
      </c>
      <c r="D16" s="1573">
        <v>90820</v>
      </c>
      <c r="E16" s="1573">
        <v>0</v>
      </c>
      <c r="F16" s="1573">
        <v>0</v>
      </c>
      <c r="G16" s="1573">
        <v>71093</v>
      </c>
      <c r="H16" s="1573">
        <v>50000</v>
      </c>
      <c r="I16" s="1573">
        <v>0</v>
      </c>
      <c r="J16" s="1574">
        <v>0</v>
      </c>
      <c r="K16" s="1573">
        <v>0</v>
      </c>
    </row>
    <row r="17" spans="1:11" ht="12.75" customHeight="1" x14ac:dyDescent="0.2">
      <c r="A17" s="427" t="s">
        <v>802</v>
      </c>
      <c r="B17" s="429">
        <v>1290</v>
      </c>
      <c r="C17" s="1632">
        <v>5645</v>
      </c>
      <c r="D17" s="1573">
        <v>1462</v>
      </c>
      <c r="E17" s="1573">
        <v>670</v>
      </c>
      <c r="F17" s="1573">
        <v>585</v>
      </c>
      <c r="G17" s="1573">
        <v>2576</v>
      </c>
      <c r="H17" s="1573">
        <v>0</v>
      </c>
      <c r="I17" s="1573">
        <v>146</v>
      </c>
      <c r="J17" s="1574">
        <v>2202</v>
      </c>
      <c r="K17" s="1573">
        <v>146</v>
      </c>
    </row>
    <row r="18" spans="1:11" ht="12.75" customHeight="1" thickBot="1" x14ac:dyDescent="0.25">
      <c r="A18" s="1406" t="s">
        <v>534</v>
      </c>
      <c r="B18" s="1407"/>
      <c r="C18" s="1635">
        <f>SUM(C14:C17)</f>
        <v>298287</v>
      </c>
      <c r="D18" s="1635">
        <f t="shared" ref="D18:K18" si="1">SUM(D14:D17)</f>
        <v>92282</v>
      </c>
      <c r="E18" s="1635">
        <f t="shared" si="1"/>
        <v>670</v>
      </c>
      <c r="F18" s="1635">
        <f t="shared" si="1"/>
        <v>585</v>
      </c>
      <c r="G18" s="1635">
        <f t="shared" si="1"/>
        <v>73669</v>
      </c>
      <c r="H18" s="1635">
        <f t="shared" si="1"/>
        <v>50000</v>
      </c>
      <c r="I18" s="1635">
        <f t="shared" si="1"/>
        <v>146</v>
      </c>
      <c r="J18" s="1635">
        <f t="shared" si="1"/>
        <v>2202</v>
      </c>
      <c r="K18" s="1636">
        <f t="shared" si="1"/>
        <v>146</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1622</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1622</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4078</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1730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5808</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204697</v>
      </c>
      <c r="D65" s="1573">
        <v>36216</v>
      </c>
      <c r="E65" s="1573">
        <v>35846</v>
      </c>
      <c r="F65" s="1574">
        <v>12723</v>
      </c>
      <c r="G65" s="1573">
        <v>21001</v>
      </c>
      <c r="H65" s="1573">
        <v>20000</v>
      </c>
      <c r="I65" s="1573">
        <v>11722</v>
      </c>
      <c r="J65" s="1574">
        <v>162</v>
      </c>
      <c r="K65" s="1573">
        <v>1711</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204697</v>
      </c>
      <c r="D67" s="1594">
        <f t="shared" ref="D67:K67" si="2">SUM(D65:D66)</f>
        <v>36216</v>
      </c>
      <c r="E67" s="1594">
        <f t="shared" si="2"/>
        <v>35846</v>
      </c>
      <c r="F67" s="1594">
        <f t="shared" si="2"/>
        <v>12723</v>
      </c>
      <c r="G67" s="1594">
        <f t="shared" si="2"/>
        <v>21001</v>
      </c>
      <c r="H67" s="1594">
        <f t="shared" si="2"/>
        <v>20000</v>
      </c>
      <c r="I67" s="1594">
        <f t="shared" si="2"/>
        <v>11722</v>
      </c>
      <c r="J67" s="1594">
        <f t="shared" si="2"/>
        <v>162</v>
      </c>
      <c r="K67" s="1594">
        <f t="shared" si="2"/>
        <v>1711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81331</v>
      </c>
      <c r="D69" s="1575"/>
      <c r="E69" s="1575"/>
      <c r="F69" s="1575"/>
      <c r="G69" s="1575"/>
      <c r="H69" s="1575"/>
      <c r="I69" s="1575"/>
      <c r="J69" s="1575"/>
      <c r="K69" s="1575"/>
    </row>
    <row r="70" spans="1:11" ht="12.75" customHeight="1" x14ac:dyDescent="0.2">
      <c r="A70" s="427" t="s">
        <v>990</v>
      </c>
      <c r="B70" s="429">
        <v>1612</v>
      </c>
      <c r="C70" s="1632">
        <v>21071</v>
      </c>
      <c r="D70" s="1575"/>
      <c r="E70" s="1575"/>
      <c r="F70" s="1575"/>
      <c r="G70" s="1575"/>
      <c r="H70" s="1575"/>
      <c r="I70" s="1575"/>
      <c r="J70" s="1575"/>
      <c r="K70" s="1575"/>
    </row>
    <row r="71" spans="1:11" ht="12.75" customHeight="1" x14ac:dyDescent="0.2">
      <c r="A71" s="427" t="s">
        <v>271</v>
      </c>
      <c r="B71" s="429">
        <v>1613</v>
      </c>
      <c r="C71" s="1632">
        <v>22550</v>
      </c>
      <c r="D71" s="1575"/>
      <c r="E71" s="1575"/>
      <c r="F71" s="1575"/>
      <c r="G71" s="1575"/>
      <c r="H71" s="1575"/>
      <c r="I71" s="1575"/>
      <c r="J71" s="1575"/>
      <c r="K71" s="1575"/>
    </row>
    <row r="72" spans="1:11" ht="12.75" customHeight="1" x14ac:dyDescent="0.2">
      <c r="A72" s="427" t="s">
        <v>24</v>
      </c>
      <c r="B72" s="429">
        <v>1614</v>
      </c>
      <c r="C72" s="1632">
        <v>9893</v>
      </c>
      <c r="D72" s="1575"/>
      <c r="E72" s="1575"/>
      <c r="F72" s="1575"/>
      <c r="G72" s="1575"/>
      <c r="H72" s="1575"/>
      <c r="I72" s="1575"/>
      <c r="J72" s="1575"/>
      <c r="K72" s="1575"/>
    </row>
    <row r="73" spans="1:11" ht="12.75" customHeight="1" x14ac:dyDescent="0.2">
      <c r="A73" s="427" t="s">
        <v>991</v>
      </c>
      <c r="B73" s="429">
        <v>1620</v>
      </c>
      <c r="C73" s="1632">
        <v>1888</v>
      </c>
      <c r="D73" s="1575"/>
      <c r="E73" s="1575"/>
      <c r="F73" s="1575"/>
      <c r="G73" s="1575"/>
      <c r="H73" s="1575"/>
      <c r="I73" s="1575"/>
      <c r="J73" s="1575"/>
      <c r="K73" s="1575"/>
    </row>
    <row r="74" spans="1:11" ht="12.75" customHeight="1" x14ac:dyDescent="0.2">
      <c r="A74" s="427" t="s">
        <v>25</v>
      </c>
      <c r="B74" s="429">
        <v>1690</v>
      </c>
      <c r="C74" s="1632">
        <v>55760</v>
      </c>
      <c r="D74" s="1575"/>
      <c r="E74" s="1575"/>
      <c r="F74" s="1575"/>
      <c r="G74" s="1575"/>
      <c r="H74" s="1575"/>
      <c r="I74" s="1575"/>
      <c r="J74" s="1575"/>
      <c r="K74" s="1575"/>
    </row>
    <row r="75" spans="1:11" ht="12.75" customHeight="1" thickBot="1" x14ac:dyDescent="0.25">
      <c r="A75" s="1406" t="s">
        <v>544</v>
      </c>
      <c r="B75" s="1407"/>
      <c r="C75" s="1594">
        <f>SUM(C69:C74)</f>
        <v>192493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59218</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59218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11465</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11465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4715</v>
      </c>
      <c r="E95" s="1617"/>
      <c r="F95" s="1617"/>
      <c r="G95" s="1617"/>
      <c r="H95" s="1617"/>
      <c r="I95" s="1617"/>
      <c r="J95" s="1617"/>
      <c r="K95" s="1617"/>
    </row>
    <row r="96" spans="1:11" ht="12.75" customHeight="1" x14ac:dyDescent="0.2">
      <c r="A96" s="427" t="s">
        <v>388</v>
      </c>
      <c r="B96" s="429">
        <v>1920</v>
      </c>
      <c r="C96" s="1632">
        <v>7647</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596</v>
      </c>
      <c r="E97" s="1579">
        <v>0</v>
      </c>
      <c r="F97" s="1574">
        <v>0</v>
      </c>
      <c r="G97" s="1574">
        <v>0</v>
      </c>
      <c r="H97" s="1574">
        <v>0</v>
      </c>
      <c r="I97" s="1574">
        <v>0</v>
      </c>
      <c r="J97" s="1574">
        <v>0</v>
      </c>
      <c r="K97" s="1574">
        <v>0</v>
      </c>
    </row>
    <row r="98" spans="1:12" ht="12.75" customHeight="1" x14ac:dyDescent="0.2">
      <c r="A98" s="427" t="s">
        <v>188</v>
      </c>
      <c r="B98" s="429">
        <v>1940</v>
      </c>
      <c r="C98" s="1598">
        <v>468172</v>
      </c>
      <c r="D98" s="1573">
        <v>0</v>
      </c>
      <c r="E98" s="1612"/>
      <c r="F98" s="1573">
        <v>0</v>
      </c>
      <c r="G98" s="1612"/>
      <c r="H98" s="1612"/>
      <c r="I98" s="1610"/>
      <c r="J98" s="1612"/>
      <c r="K98" s="1612"/>
    </row>
    <row r="99" spans="1:12" ht="12.75" customHeight="1" x14ac:dyDescent="0.2">
      <c r="A99" s="427" t="s">
        <v>816</v>
      </c>
      <c r="B99" s="429">
        <v>1950</v>
      </c>
      <c r="C99" s="1598">
        <v>1931</v>
      </c>
      <c r="D99" s="1573">
        <v>151896</v>
      </c>
      <c r="E99" s="1573">
        <v>0</v>
      </c>
      <c r="F99" s="1573">
        <v>6240</v>
      </c>
      <c r="G99" s="1573">
        <v>0</v>
      </c>
      <c r="H99" s="1573">
        <v>0</v>
      </c>
      <c r="I99" s="1575"/>
      <c r="J99" s="1574">
        <v>0</v>
      </c>
      <c r="K99" s="1573">
        <v>0</v>
      </c>
    </row>
    <row r="100" spans="1:12" ht="12.75" customHeight="1" x14ac:dyDescent="0.2">
      <c r="A100" s="427" t="s">
        <v>243</v>
      </c>
      <c r="B100" s="429">
        <v>1960</v>
      </c>
      <c r="C100" s="1598">
        <v>12000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549984</v>
      </c>
      <c r="F103" s="1575"/>
      <c r="G103" s="1575"/>
      <c r="H103" s="1598">
        <v>188435</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1576</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0</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491326</v>
      </c>
      <c r="D108" s="1633">
        <f t="shared" ref="D108:K108" si="3">SUM(D95:D107)</f>
        <v>157207</v>
      </c>
      <c r="E108" s="1633">
        <f t="shared" si="3"/>
        <v>549984</v>
      </c>
      <c r="F108" s="1633">
        <f t="shared" si="3"/>
        <v>6240</v>
      </c>
      <c r="G108" s="1633">
        <f t="shared" si="3"/>
        <v>0</v>
      </c>
      <c r="H108" s="1633">
        <f t="shared" si="3"/>
        <v>188435</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2796972</v>
      </c>
      <c r="D109" s="1641">
        <f t="shared" si="4"/>
        <v>684109</v>
      </c>
      <c r="E109" s="1641">
        <f t="shared" si="4"/>
        <v>767019</v>
      </c>
      <c r="F109" s="1641">
        <f t="shared" si="4"/>
        <v>184731</v>
      </c>
      <c r="G109" s="1641">
        <f t="shared" si="4"/>
        <v>790303</v>
      </c>
      <c r="H109" s="1641">
        <f t="shared" si="4"/>
        <v>258435</v>
      </c>
      <c r="I109" s="1641">
        <f t="shared" si="4"/>
        <v>51729</v>
      </c>
      <c r="J109" s="1641">
        <f t="shared" si="4"/>
        <v>598360</v>
      </c>
      <c r="K109" s="1629">
        <f t="shared" si="4"/>
        <v>41718</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1647</v>
      </c>
      <c r="B117" s="478">
        <v>3001</v>
      </c>
      <c r="C117" s="1613">
        <v>10549518</v>
      </c>
      <c r="D117" s="1586">
        <v>1987189</v>
      </c>
      <c r="E117" s="1573">
        <v>0</v>
      </c>
      <c r="F117" s="1586">
        <v>0</v>
      </c>
      <c r="G117" s="1586">
        <v>0</v>
      </c>
      <c r="H117" s="1573">
        <v>800132</v>
      </c>
      <c r="I117" s="1575"/>
      <c r="J117" s="1574">
        <v>0</v>
      </c>
      <c r="K117" s="1573">
        <v>0</v>
      </c>
    </row>
    <row r="118" spans="1:11" ht="12.75" customHeight="1" x14ac:dyDescent="0.2">
      <c r="A118" s="427" t="s">
        <v>1771</v>
      </c>
      <c r="B118" s="478">
        <v>3002</v>
      </c>
      <c r="C118" s="1632"/>
      <c r="D118" s="1573"/>
      <c r="E118" s="1573"/>
      <c r="F118" s="1573"/>
      <c r="G118" s="1573"/>
      <c r="H118" s="1573"/>
      <c r="I118" s="1575"/>
      <c r="J118" s="1574"/>
      <c r="K118" s="1573"/>
    </row>
    <row r="119" spans="1:11" ht="12.75" customHeight="1" x14ac:dyDescent="0.2">
      <c r="A119" s="427" t="s">
        <v>1772</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1890</v>
      </c>
      <c r="B120" s="478">
        <v>3030</v>
      </c>
      <c r="C120" s="1632">
        <v>0</v>
      </c>
      <c r="D120" s="1573">
        <v>0</v>
      </c>
      <c r="E120" s="1573">
        <v>0</v>
      </c>
      <c r="F120" s="1573">
        <v>0</v>
      </c>
      <c r="G120" s="1573">
        <v>0</v>
      </c>
      <c r="H120" s="1573">
        <v>0</v>
      </c>
      <c r="I120" s="1575"/>
      <c r="J120" s="1574">
        <v>0</v>
      </c>
      <c r="K120" s="1573">
        <v>0</v>
      </c>
    </row>
    <row r="121" spans="1:11" x14ac:dyDescent="0.2">
      <c r="A121" s="1266" t="s">
        <v>1773</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10549518</v>
      </c>
      <c r="D122" s="1633">
        <f t="shared" si="5"/>
        <v>1987189</v>
      </c>
      <c r="E122" s="1633">
        <f t="shared" si="5"/>
        <v>0</v>
      </c>
      <c r="F122" s="1633">
        <f t="shared" si="5"/>
        <v>0</v>
      </c>
      <c r="G122" s="1633">
        <f t="shared" si="5"/>
        <v>0</v>
      </c>
      <c r="H122" s="1633">
        <f t="shared" si="5"/>
        <v>800132</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228492</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3647</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232139</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37184</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14087</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51271</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11580</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14398</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540721</v>
      </c>
      <c r="G152" s="1574">
        <v>0</v>
      </c>
      <c r="H152" s="1575"/>
      <c r="I152" s="1575"/>
      <c r="J152" s="1575"/>
      <c r="K152" s="1575"/>
    </row>
    <row r="153" spans="1:11" ht="12.75" customHeight="1" x14ac:dyDescent="0.2">
      <c r="A153" s="427" t="s">
        <v>1048</v>
      </c>
      <c r="B153" s="478">
        <v>3510</v>
      </c>
      <c r="C153" s="1632">
        <v>0</v>
      </c>
      <c r="D153" s="1573">
        <v>0</v>
      </c>
      <c r="E153" s="1640"/>
      <c r="F153" s="1573">
        <v>130844</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671565</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569637</v>
      </c>
      <c r="D159" s="1653">
        <v>55000</v>
      </c>
      <c r="E159" s="1640"/>
      <c r="F159" s="1651">
        <v>122000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360" t="s">
        <v>395</v>
      </c>
      <c r="B169" s="2361"/>
      <c r="C169" s="1658">
        <f t="shared" ref="C169:K169" si="6">SUM(C132,C141,C145,C146:C150,C155,C156:C167,C168)</f>
        <v>879025</v>
      </c>
      <c r="D169" s="1658">
        <f t="shared" si="6"/>
        <v>105000</v>
      </c>
      <c r="E169" s="1658">
        <f t="shared" si="6"/>
        <v>0</v>
      </c>
      <c r="F169" s="1658">
        <f t="shared" si="6"/>
        <v>793565</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11428543</v>
      </c>
      <c r="D170" s="1641">
        <f t="shared" si="7"/>
        <v>2092189</v>
      </c>
      <c r="E170" s="1641">
        <f t="shared" si="7"/>
        <v>0</v>
      </c>
      <c r="F170" s="1641">
        <f t="shared" si="7"/>
        <v>793565</v>
      </c>
      <c r="G170" s="1641">
        <f t="shared" si="7"/>
        <v>0</v>
      </c>
      <c r="H170" s="1641">
        <f t="shared" si="7"/>
        <v>800132</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362" t="s">
        <v>1475</v>
      </c>
      <c r="B172" s="2363"/>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366" t="s">
        <v>1645</v>
      </c>
      <c r="B175" s="236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70" t="s">
        <v>1644</v>
      </c>
      <c r="B176" s="2371"/>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368" t="s">
        <v>780</v>
      </c>
      <c r="B181" s="236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364" t="s">
        <v>1775</v>
      </c>
      <c r="B182" s="2365"/>
      <c r="C182" s="1663"/>
      <c r="D182" s="1645"/>
      <c r="E182" s="1609"/>
      <c r="F182" s="1645"/>
      <c r="G182" s="1645"/>
      <c r="H182" s="1575"/>
      <c r="I182" s="1575"/>
      <c r="J182" s="1575"/>
      <c r="K182" s="1575"/>
    </row>
    <row r="183" spans="1:11" ht="15.75" customHeight="1" x14ac:dyDescent="0.2">
      <c r="A183" s="1341" t="s">
        <v>1584</v>
      </c>
      <c r="B183" s="1342"/>
      <c r="C183" s="1643"/>
      <c r="D183" s="1617"/>
      <c r="E183" s="1609"/>
      <c r="F183" s="1617"/>
      <c r="G183" s="1617"/>
      <c r="H183" s="1575"/>
      <c r="I183" s="1575"/>
      <c r="J183" s="1575"/>
      <c r="K183" s="1575"/>
    </row>
    <row r="184" spans="1:11" ht="12.75" customHeight="1" x14ac:dyDescent="0.2">
      <c r="A184" s="427" t="s">
        <v>1585</v>
      </c>
      <c r="B184" s="429">
        <v>4100</v>
      </c>
      <c r="C184" s="1613">
        <v>0</v>
      </c>
      <c r="D184" s="1586">
        <v>0</v>
      </c>
      <c r="E184" s="1640"/>
      <c r="F184" s="1586">
        <v>0</v>
      </c>
      <c r="G184" s="1586">
        <v>0</v>
      </c>
      <c r="H184" s="1575"/>
      <c r="I184" s="1575"/>
      <c r="J184" s="1575"/>
      <c r="K184" s="1575"/>
    </row>
    <row r="185" spans="1:11" ht="12.75" customHeight="1" x14ac:dyDescent="0.2">
      <c r="A185" s="427" t="s">
        <v>1586</v>
      </c>
      <c r="B185" s="429">
        <v>4105</v>
      </c>
      <c r="C185" s="1632">
        <v>0</v>
      </c>
      <c r="D185" s="1573">
        <v>0</v>
      </c>
      <c r="E185" s="1640"/>
      <c r="F185" s="1573">
        <v>0</v>
      </c>
      <c r="G185" s="1573">
        <v>0</v>
      </c>
      <c r="H185" s="1575"/>
      <c r="I185" s="1575"/>
      <c r="J185" s="1575"/>
      <c r="K185" s="1575"/>
    </row>
    <row r="186" spans="1:11" ht="12.75" customHeight="1" x14ac:dyDescent="0.2">
      <c r="A186" s="427" t="s">
        <v>1588</v>
      </c>
      <c r="B186" s="429">
        <v>4107</v>
      </c>
      <c r="C186" s="1632">
        <v>49405</v>
      </c>
      <c r="D186" s="1573">
        <v>0</v>
      </c>
      <c r="E186" s="1640"/>
      <c r="F186" s="1573">
        <v>0</v>
      </c>
      <c r="G186" s="1573">
        <v>0</v>
      </c>
      <c r="H186" s="1575"/>
      <c r="I186" s="1575"/>
      <c r="J186" s="1575"/>
      <c r="K186" s="1575"/>
    </row>
    <row r="187" spans="1:11" ht="12.75" customHeight="1" x14ac:dyDescent="0.2">
      <c r="A187" s="427" t="s">
        <v>1587</v>
      </c>
      <c r="B187" s="429">
        <v>4199</v>
      </c>
      <c r="C187" s="1632">
        <v>0</v>
      </c>
      <c r="D187" s="1573">
        <v>0</v>
      </c>
      <c r="E187" s="1640"/>
      <c r="F187" s="1573">
        <v>0</v>
      </c>
      <c r="G187" s="1573">
        <v>0</v>
      </c>
      <c r="H187" s="1575"/>
      <c r="I187" s="1575"/>
      <c r="J187" s="1575"/>
      <c r="K187" s="1575"/>
    </row>
    <row r="188" spans="1:11" ht="12.75" customHeight="1" thickBot="1" x14ac:dyDescent="0.25">
      <c r="A188" s="1406" t="s">
        <v>1589</v>
      </c>
      <c r="B188" s="1407"/>
      <c r="C188" s="1633">
        <f>SUM(C184:C187)</f>
        <v>49405</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561023</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190834</v>
      </c>
      <c r="D193" s="1575"/>
      <c r="E193" s="1640"/>
      <c r="F193" s="1575"/>
      <c r="G193" s="1664">
        <v>0</v>
      </c>
      <c r="H193" s="1575"/>
      <c r="I193" s="1575"/>
      <c r="J193" s="1575"/>
      <c r="K193" s="1575"/>
    </row>
    <row r="194" spans="1:11" ht="12.75" customHeight="1" x14ac:dyDescent="0.2">
      <c r="A194" s="427" t="s">
        <v>1434</v>
      </c>
      <c r="B194" s="429">
        <v>4225</v>
      </c>
      <c r="C194" s="1632">
        <v>337028</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1088885</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945684</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61199</v>
      </c>
      <c r="D203" s="1573">
        <v>0</v>
      </c>
      <c r="E203" s="1575"/>
      <c r="F203" s="1573">
        <v>0</v>
      </c>
      <c r="G203" s="1573">
        <v>0</v>
      </c>
      <c r="H203" s="1575"/>
      <c r="I203" s="1575"/>
      <c r="J203" s="1575"/>
      <c r="K203" s="1575"/>
    </row>
    <row r="204" spans="1:11" ht="12.75" customHeight="1" thickBot="1" x14ac:dyDescent="0.25">
      <c r="A204" s="1406" t="s">
        <v>397</v>
      </c>
      <c r="B204" s="1407"/>
      <c r="C204" s="1633">
        <f>SUM(C200:C203)</f>
        <v>1006883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23388</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527625</v>
      </c>
      <c r="D213" s="1573">
        <v>0</v>
      </c>
      <c r="E213" s="1575"/>
      <c r="F213" s="1573">
        <v>0</v>
      </c>
      <c r="G213" s="1573">
        <v>0</v>
      </c>
      <c r="H213" s="1575"/>
      <c r="I213" s="1575"/>
      <c r="J213" s="1575"/>
      <c r="K213" s="1575"/>
    </row>
    <row r="214" spans="1:11" ht="12.75" customHeight="1" x14ac:dyDescent="0.2">
      <c r="A214" s="427" t="s">
        <v>1045</v>
      </c>
      <c r="B214" s="429">
        <v>4625</v>
      </c>
      <c r="C214" s="1632">
        <v>595624</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1146637</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10811</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139902</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1891</v>
      </c>
      <c r="B261" s="429">
        <v>4981</v>
      </c>
      <c r="C261" s="1650">
        <v>0</v>
      </c>
      <c r="D261" s="1651">
        <v>0</v>
      </c>
      <c r="E261" s="1575"/>
      <c r="F261" s="1651">
        <v>0</v>
      </c>
      <c r="G261" s="1651">
        <v>0</v>
      </c>
      <c r="H261" s="1575"/>
      <c r="I261" s="1575"/>
      <c r="J261" s="1575"/>
      <c r="K261" s="1575"/>
    </row>
    <row r="262" spans="1:11" ht="12.75" customHeight="1" thickTop="1" thickBot="1" x14ac:dyDescent="0.25">
      <c r="A262" s="1540" t="s">
        <v>1892</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20876</v>
      </c>
      <c r="D263" s="1651">
        <v>0</v>
      </c>
      <c r="E263" s="1575"/>
      <c r="F263" s="1651">
        <v>0</v>
      </c>
      <c r="G263" s="1651">
        <v>0</v>
      </c>
      <c r="H263" s="1575"/>
      <c r="I263" s="1575"/>
      <c r="J263" s="1575"/>
      <c r="K263" s="1575"/>
    </row>
    <row r="264" spans="1:11" ht="12.75" customHeight="1" thickTop="1" thickBot="1" x14ac:dyDescent="0.25">
      <c r="A264" s="427" t="s">
        <v>374</v>
      </c>
      <c r="B264" s="429">
        <v>4992</v>
      </c>
      <c r="C264" s="1650">
        <v>5754</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639714</v>
      </c>
      <c r="D265" s="1651">
        <v>41054</v>
      </c>
      <c r="E265" s="1575"/>
      <c r="F265" s="1651">
        <v>0</v>
      </c>
      <c r="G265" s="1651">
        <v>0</v>
      </c>
      <c r="H265" s="1626">
        <v>0</v>
      </c>
      <c r="I265" s="1575"/>
      <c r="J265" s="1575"/>
      <c r="K265" s="1626">
        <v>0</v>
      </c>
    </row>
    <row r="266" spans="1:11" ht="14.25" thickTop="1" thickBot="1" x14ac:dyDescent="0.25">
      <c r="A266" s="1406" t="s">
        <v>1646</v>
      </c>
      <c r="B266" s="1419"/>
      <c r="C266" s="1641">
        <f t="shared" ref="C266:H266" si="10">SUM(C188,C198,C204,C209,C217,C221,C222,C252:C265)</f>
        <v>4108867</v>
      </c>
      <c r="D266" s="1641">
        <f t="shared" si="10"/>
        <v>41054</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4108867</v>
      </c>
      <c r="D267" s="1641">
        <f>SUM(D175,D181,D266)</f>
        <v>41054</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18334382</v>
      </c>
      <c r="D268" s="1641">
        <f t="shared" si="12"/>
        <v>2817352</v>
      </c>
      <c r="E268" s="1641">
        <f t="shared" si="12"/>
        <v>767019</v>
      </c>
      <c r="F268" s="1641">
        <f t="shared" si="12"/>
        <v>978296</v>
      </c>
      <c r="G268" s="1641">
        <f t="shared" si="12"/>
        <v>790303</v>
      </c>
      <c r="H268" s="1641">
        <f t="shared" si="12"/>
        <v>1058567</v>
      </c>
      <c r="I268" s="1641">
        <f t="shared" si="12"/>
        <v>51729</v>
      </c>
      <c r="J268" s="1641">
        <f t="shared" si="12"/>
        <v>598360</v>
      </c>
      <c r="K268" s="1629">
        <f t="shared" si="12"/>
        <v>41718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26" sqref="A26"/>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40" t="s">
        <v>1774</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7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80" t="s">
        <v>294</v>
      </c>
      <c r="B3" s="238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5525570</v>
      </c>
      <c r="D5" s="1573">
        <v>528209</v>
      </c>
      <c r="E5" s="1573">
        <v>81851</v>
      </c>
      <c r="F5" s="1573">
        <v>183708</v>
      </c>
      <c r="G5" s="1573">
        <v>575097</v>
      </c>
      <c r="H5" s="1573">
        <v>0</v>
      </c>
      <c r="I5" s="1574">
        <v>0</v>
      </c>
      <c r="J5" s="1574">
        <v>0</v>
      </c>
      <c r="K5" s="1672">
        <f>SUM(C5:J5)</f>
        <v>6894435</v>
      </c>
      <c r="L5" s="1573">
        <v>6991056</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275785</v>
      </c>
      <c r="D7" s="1574">
        <v>33378</v>
      </c>
      <c r="E7" s="1574">
        <v>0</v>
      </c>
      <c r="F7" s="1574">
        <v>17657</v>
      </c>
      <c r="G7" s="1574">
        <v>0</v>
      </c>
      <c r="H7" s="1574">
        <v>0</v>
      </c>
      <c r="I7" s="1574">
        <v>0</v>
      </c>
      <c r="J7" s="1574">
        <v>0</v>
      </c>
      <c r="K7" s="1672">
        <f t="shared" ref="K7:K32" si="0">SUM(C7:J7)</f>
        <v>326820</v>
      </c>
      <c r="L7" s="1573">
        <v>334010</v>
      </c>
    </row>
    <row r="8" spans="1:14" x14ac:dyDescent="0.2">
      <c r="A8" s="1274" t="s">
        <v>163</v>
      </c>
      <c r="B8" s="503">
        <v>1200</v>
      </c>
      <c r="C8" s="1573">
        <v>87411</v>
      </c>
      <c r="D8" s="1573">
        <v>7453</v>
      </c>
      <c r="E8" s="1573">
        <v>812871</v>
      </c>
      <c r="F8" s="1573">
        <v>0</v>
      </c>
      <c r="G8" s="1573">
        <v>0</v>
      </c>
      <c r="H8" s="1573">
        <v>0</v>
      </c>
      <c r="I8" s="1574">
        <v>0</v>
      </c>
      <c r="J8" s="1574">
        <v>0</v>
      </c>
      <c r="K8" s="1672">
        <f t="shared" si="0"/>
        <v>907735</v>
      </c>
      <c r="L8" s="1573">
        <v>900545</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553749</v>
      </c>
      <c r="D10" s="1573">
        <v>121679</v>
      </c>
      <c r="E10" s="1573">
        <v>0</v>
      </c>
      <c r="F10" s="1573">
        <v>64144</v>
      </c>
      <c r="G10" s="1573">
        <v>0</v>
      </c>
      <c r="H10" s="1573">
        <v>0</v>
      </c>
      <c r="I10" s="1574">
        <v>0</v>
      </c>
      <c r="J10" s="1574">
        <v>0</v>
      </c>
      <c r="K10" s="1672">
        <f t="shared" si="0"/>
        <v>739572</v>
      </c>
      <c r="L10" s="1573">
        <v>764109</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361080</v>
      </c>
      <c r="D13" s="1573">
        <v>45204</v>
      </c>
      <c r="E13" s="1573">
        <v>3846</v>
      </c>
      <c r="F13" s="1573">
        <v>31261</v>
      </c>
      <c r="G13" s="1573">
        <v>0</v>
      </c>
      <c r="H13" s="1573">
        <v>125</v>
      </c>
      <c r="I13" s="1574">
        <v>0</v>
      </c>
      <c r="J13" s="1574">
        <v>0</v>
      </c>
      <c r="K13" s="1672">
        <f t="shared" si="0"/>
        <v>441516</v>
      </c>
      <c r="L13" s="1573">
        <v>456025</v>
      </c>
    </row>
    <row r="14" spans="1:14" x14ac:dyDescent="0.2">
      <c r="A14" s="1274" t="s">
        <v>957</v>
      </c>
      <c r="B14" s="503">
        <v>1500</v>
      </c>
      <c r="C14" s="1573">
        <v>372330</v>
      </c>
      <c r="D14" s="1573">
        <v>9637</v>
      </c>
      <c r="E14" s="1573">
        <v>153780</v>
      </c>
      <c r="F14" s="1573">
        <v>105098</v>
      </c>
      <c r="G14" s="1573">
        <v>46052</v>
      </c>
      <c r="H14" s="1573">
        <v>0</v>
      </c>
      <c r="I14" s="1574">
        <v>0</v>
      </c>
      <c r="J14" s="1574">
        <v>0</v>
      </c>
      <c r="K14" s="1672">
        <f t="shared" si="0"/>
        <v>686897</v>
      </c>
      <c r="L14" s="1573">
        <v>706808</v>
      </c>
    </row>
    <row r="15" spans="1:14" x14ac:dyDescent="0.2">
      <c r="A15" s="1274" t="s">
        <v>958</v>
      </c>
      <c r="B15" s="503">
        <v>1600</v>
      </c>
      <c r="C15" s="1573">
        <v>17680</v>
      </c>
      <c r="D15" s="1573">
        <v>265</v>
      </c>
      <c r="E15" s="1573">
        <v>0</v>
      </c>
      <c r="F15" s="1573">
        <v>0</v>
      </c>
      <c r="G15" s="1573">
        <v>0</v>
      </c>
      <c r="H15" s="1573">
        <v>0</v>
      </c>
      <c r="I15" s="1574">
        <v>0</v>
      </c>
      <c r="J15" s="1574">
        <v>0</v>
      </c>
      <c r="K15" s="1672">
        <f t="shared" si="0"/>
        <v>17945</v>
      </c>
      <c r="L15" s="1573">
        <v>18250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103096</v>
      </c>
      <c r="D17" s="1574">
        <v>8178</v>
      </c>
      <c r="E17" s="1574">
        <v>609</v>
      </c>
      <c r="F17" s="1574">
        <v>1692</v>
      </c>
      <c r="G17" s="1574">
        <v>22955</v>
      </c>
      <c r="H17" s="1574">
        <v>0</v>
      </c>
      <c r="I17" s="1574">
        <v>0</v>
      </c>
      <c r="J17" s="1574">
        <v>0</v>
      </c>
      <c r="K17" s="1672">
        <f t="shared" si="0"/>
        <v>136530</v>
      </c>
      <c r="L17" s="1573">
        <v>147725</v>
      </c>
    </row>
    <row r="18" spans="1:12" x14ac:dyDescent="0.2">
      <c r="A18" s="1274" t="s">
        <v>1078</v>
      </c>
      <c r="B18" s="503">
        <v>1800</v>
      </c>
      <c r="C18" s="1573">
        <v>59977</v>
      </c>
      <c r="D18" s="1573">
        <v>904</v>
      </c>
      <c r="E18" s="1573">
        <v>0</v>
      </c>
      <c r="F18" s="1573">
        <v>0</v>
      </c>
      <c r="G18" s="1573">
        <v>0</v>
      </c>
      <c r="H18" s="1573">
        <v>0</v>
      </c>
      <c r="I18" s="1574">
        <v>0</v>
      </c>
      <c r="J18" s="1574">
        <v>0</v>
      </c>
      <c r="K18" s="1672">
        <f t="shared" si="0"/>
        <v>60881</v>
      </c>
      <c r="L18" s="1573">
        <v>67019</v>
      </c>
    </row>
    <row r="19" spans="1:12" x14ac:dyDescent="0.2">
      <c r="A19" s="1274" t="s">
        <v>133</v>
      </c>
      <c r="B19" s="503">
        <v>1900</v>
      </c>
      <c r="C19" s="1573">
        <v>151555</v>
      </c>
      <c r="D19" s="1573">
        <v>9129</v>
      </c>
      <c r="E19" s="1573">
        <v>0</v>
      </c>
      <c r="F19" s="1573">
        <v>0</v>
      </c>
      <c r="G19" s="1573">
        <v>0</v>
      </c>
      <c r="H19" s="1573">
        <v>0</v>
      </c>
      <c r="I19" s="1574">
        <v>0</v>
      </c>
      <c r="J19" s="1574">
        <v>0</v>
      </c>
      <c r="K19" s="1672">
        <f t="shared" si="0"/>
        <v>160684</v>
      </c>
      <c r="L19" s="1573">
        <v>40900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389809</v>
      </c>
      <c r="I22" s="1673"/>
      <c r="J22" s="1582"/>
      <c r="K22" s="1672">
        <f t="shared" si="0"/>
        <v>389809</v>
      </c>
      <c r="L22" s="1577">
        <v>383000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1648</v>
      </c>
      <c r="B33" s="1381" t="s">
        <v>566</v>
      </c>
      <c r="C33" s="1674">
        <f>SUM(C5:C32)</f>
        <v>7508233</v>
      </c>
      <c r="D33" s="1674">
        <f t="shared" ref="D33:L33" si="1">SUM(D5:D32)</f>
        <v>764036</v>
      </c>
      <c r="E33" s="1674">
        <f t="shared" si="1"/>
        <v>1052957</v>
      </c>
      <c r="F33" s="1674">
        <f t="shared" si="1"/>
        <v>403560</v>
      </c>
      <c r="G33" s="1674">
        <f t="shared" si="1"/>
        <v>644104</v>
      </c>
      <c r="H33" s="1674">
        <f t="shared" si="1"/>
        <v>389934</v>
      </c>
      <c r="I33" s="1674">
        <f t="shared" si="1"/>
        <v>0</v>
      </c>
      <c r="J33" s="1674">
        <f t="shared" si="1"/>
        <v>0</v>
      </c>
      <c r="K33" s="1674">
        <f t="shared" si="1"/>
        <v>10762824</v>
      </c>
      <c r="L33" s="1674">
        <f t="shared" si="1"/>
        <v>10809447</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239134</v>
      </c>
      <c r="D37" s="1573">
        <v>31457</v>
      </c>
      <c r="E37" s="1573">
        <v>358</v>
      </c>
      <c r="F37" s="1573">
        <v>1379</v>
      </c>
      <c r="G37" s="1573">
        <v>0</v>
      </c>
      <c r="H37" s="1573">
        <v>0</v>
      </c>
      <c r="I37" s="1574">
        <v>0</v>
      </c>
      <c r="J37" s="1574">
        <v>0</v>
      </c>
      <c r="K37" s="1672">
        <f t="shared" si="2"/>
        <v>272328</v>
      </c>
      <c r="L37" s="1573">
        <v>265310</v>
      </c>
    </row>
    <row r="38" spans="1:14" x14ac:dyDescent="0.2">
      <c r="A38" s="1274" t="s">
        <v>196</v>
      </c>
      <c r="B38" s="503">
        <v>2130</v>
      </c>
      <c r="C38" s="1573">
        <v>122254</v>
      </c>
      <c r="D38" s="1573">
        <v>13553</v>
      </c>
      <c r="E38" s="1573">
        <v>4316</v>
      </c>
      <c r="F38" s="1573">
        <v>19758</v>
      </c>
      <c r="G38" s="1573">
        <v>0</v>
      </c>
      <c r="H38" s="1573">
        <v>0</v>
      </c>
      <c r="I38" s="1573">
        <v>0</v>
      </c>
      <c r="J38" s="1573">
        <v>0</v>
      </c>
      <c r="K38" s="1672">
        <f t="shared" si="2"/>
        <v>159881</v>
      </c>
      <c r="L38" s="1573">
        <v>151975</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1649</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361388</v>
      </c>
      <c r="D42" s="1674">
        <f t="shared" ref="D42:L42" si="3">SUM(D36:D41)</f>
        <v>45010</v>
      </c>
      <c r="E42" s="1674">
        <f t="shared" si="3"/>
        <v>4674</v>
      </c>
      <c r="F42" s="1674">
        <f t="shared" si="3"/>
        <v>21137</v>
      </c>
      <c r="G42" s="1674">
        <f t="shared" si="3"/>
        <v>0</v>
      </c>
      <c r="H42" s="1674">
        <f t="shared" si="3"/>
        <v>0</v>
      </c>
      <c r="I42" s="1674">
        <f t="shared" si="3"/>
        <v>0</v>
      </c>
      <c r="J42" s="1674">
        <f t="shared" si="3"/>
        <v>0</v>
      </c>
      <c r="K42" s="1674">
        <f t="shared" si="3"/>
        <v>432209</v>
      </c>
      <c r="L42" s="1674">
        <f t="shared" si="3"/>
        <v>417285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127361</v>
      </c>
      <c r="D44" s="1586">
        <v>21178</v>
      </c>
      <c r="E44" s="1586">
        <v>35586</v>
      </c>
      <c r="F44" s="1586">
        <v>1747</v>
      </c>
      <c r="G44" s="1586">
        <v>3005</v>
      </c>
      <c r="H44" s="1586">
        <v>0</v>
      </c>
      <c r="I44" s="1574">
        <v>0</v>
      </c>
      <c r="J44" s="1574">
        <v>0</v>
      </c>
      <c r="K44" s="1678">
        <f>SUM(C44:J44)</f>
        <v>188877</v>
      </c>
      <c r="L44" s="1586">
        <v>178015</v>
      </c>
    </row>
    <row r="45" spans="1:14" x14ac:dyDescent="0.2">
      <c r="A45" s="1274" t="s">
        <v>810</v>
      </c>
      <c r="B45" s="503">
        <v>2220</v>
      </c>
      <c r="C45" s="1573">
        <v>92507</v>
      </c>
      <c r="D45" s="1573">
        <v>7875</v>
      </c>
      <c r="E45" s="1573">
        <v>0</v>
      </c>
      <c r="F45" s="1573">
        <v>270000</v>
      </c>
      <c r="G45" s="1573">
        <v>1950</v>
      </c>
      <c r="H45" s="1573">
        <v>0</v>
      </c>
      <c r="I45" s="1574">
        <v>0</v>
      </c>
      <c r="J45" s="1574">
        <v>0</v>
      </c>
      <c r="K45" s="1678">
        <f>SUM(C45:J45)</f>
        <v>372332</v>
      </c>
      <c r="L45" s="1573">
        <v>303491</v>
      </c>
    </row>
    <row r="46" spans="1:14" x14ac:dyDescent="0.2">
      <c r="A46" s="1274" t="s">
        <v>811</v>
      </c>
      <c r="B46" s="503">
        <v>2230</v>
      </c>
      <c r="C46" s="1573">
        <v>0</v>
      </c>
      <c r="D46" s="1573">
        <v>0</v>
      </c>
      <c r="E46" s="1573">
        <v>40172</v>
      </c>
      <c r="F46" s="1573">
        <v>0</v>
      </c>
      <c r="G46" s="1573">
        <v>0</v>
      </c>
      <c r="H46" s="1573">
        <v>0</v>
      </c>
      <c r="I46" s="1574">
        <v>0</v>
      </c>
      <c r="J46" s="1574">
        <v>0</v>
      </c>
      <c r="K46" s="1678">
        <f>SUM(C46:J46)</f>
        <v>40172</v>
      </c>
      <c r="L46" s="1573">
        <v>56100</v>
      </c>
    </row>
    <row r="47" spans="1:14" ht="12.75" customHeight="1" thickBot="1" x14ac:dyDescent="0.25">
      <c r="A47" s="1380" t="s">
        <v>557</v>
      </c>
      <c r="B47" s="1381" t="s">
        <v>32</v>
      </c>
      <c r="C47" s="1674">
        <f>SUM(C44:C46)</f>
        <v>219868</v>
      </c>
      <c r="D47" s="1674">
        <f t="shared" ref="D47:K47" si="4">SUM(D44:D46)</f>
        <v>29053</v>
      </c>
      <c r="E47" s="1674">
        <f t="shared" si="4"/>
        <v>75758</v>
      </c>
      <c r="F47" s="1674">
        <f t="shared" si="4"/>
        <v>271747</v>
      </c>
      <c r="G47" s="1674">
        <f t="shared" si="4"/>
        <v>4955</v>
      </c>
      <c r="H47" s="1674">
        <f t="shared" si="4"/>
        <v>0</v>
      </c>
      <c r="I47" s="1674">
        <f t="shared" si="4"/>
        <v>0</v>
      </c>
      <c r="J47" s="1674">
        <f t="shared" si="4"/>
        <v>0</v>
      </c>
      <c r="K47" s="1674">
        <f t="shared" si="4"/>
        <v>601381</v>
      </c>
      <c r="L47" s="1674">
        <f>SUM(L44:L46)</f>
        <v>537606</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6310</v>
      </c>
      <c r="D49" s="1586">
        <v>2564</v>
      </c>
      <c r="E49" s="1586">
        <v>109644</v>
      </c>
      <c r="F49" s="1586">
        <v>15979</v>
      </c>
      <c r="G49" s="1586">
        <v>0</v>
      </c>
      <c r="H49" s="1586">
        <v>0</v>
      </c>
      <c r="I49" s="1574">
        <v>0</v>
      </c>
      <c r="J49" s="1574">
        <v>0</v>
      </c>
      <c r="K49" s="1678">
        <f>SUM(C49:J49)</f>
        <v>134497</v>
      </c>
      <c r="L49" s="1586">
        <v>126700</v>
      </c>
    </row>
    <row r="50" spans="1:14" x14ac:dyDescent="0.2">
      <c r="A50" s="1274" t="s">
        <v>813</v>
      </c>
      <c r="B50" s="503">
        <v>2320</v>
      </c>
      <c r="C50" s="1574">
        <v>197491</v>
      </c>
      <c r="D50" s="1573">
        <v>27314</v>
      </c>
      <c r="E50" s="1573">
        <v>3553</v>
      </c>
      <c r="F50" s="1573">
        <v>922</v>
      </c>
      <c r="G50" s="1573">
        <v>0</v>
      </c>
      <c r="H50" s="1573">
        <v>2650</v>
      </c>
      <c r="I50" s="1574">
        <v>0</v>
      </c>
      <c r="J50" s="1574">
        <v>0</v>
      </c>
      <c r="K50" s="1678">
        <f>SUM(C50:J50)</f>
        <v>231930</v>
      </c>
      <c r="L50" s="1573">
        <v>231826</v>
      </c>
    </row>
    <row r="51" spans="1:14" x14ac:dyDescent="0.2">
      <c r="A51" s="1274" t="s">
        <v>42</v>
      </c>
      <c r="B51" s="503">
        <v>2330</v>
      </c>
      <c r="C51" s="1573">
        <v>21546</v>
      </c>
      <c r="D51" s="1573">
        <v>6602</v>
      </c>
      <c r="E51" s="1573">
        <v>0</v>
      </c>
      <c r="F51" s="1573">
        <v>0</v>
      </c>
      <c r="G51" s="1573">
        <v>0</v>
      </c>
      <c r="H51" s="1573">
        <v>0</v>
      </c>
      <c r="I51" s="1574">
        <v>0</v>
      </c>
      <c r="J51" s="1574">
        <v>0</v>
      </c>
      <c r="K51" s="1678">
        <f>SUM(C51:J51)</f>
        <v>28148</v>
      </c>
      <c r="L51" s="1573">
        <v>30450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225347</v>
      </c>
      <c r="D53" s="1674">
        <f t="shared" ref="D53:L53" si="5">SUM(D49:D52)</f>
        <v>36480</v>
      </c>
      <c r="E53" s="1674">
        <f t="shared" si="5"/>
        <v>113197</v>
      </c>
      <c r="F53" s="1674">
        <f t="shared" si="5"/>
        <v>16901</v>
      </c>
      <c r="G53" s="1674">
        <f t="shared" si="5"/>
        <v>0</v>
      </c>
      <c r="H53" s="1674">
        <f t="shared" si="5"/>
        <v>2650</v>
      </c>
      <c r="I53" s="1674">
        <f t="shared" si="5"/>
        <v>0</v>
      </c>
      <c r="J53" s="1674">
        <f t="shared" si="5"/>
        <v>0</v>
      </c>
      <c r="K53" s="1674">
        <f t="shared" si="5"/>
        <v>394575</v>
      </c>
      <c r="L53" s="1674">
        <f t="shared" si="5"/>
        <v>388976</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1014528</v>
      </c>
      <c r="D55" s="1586">
        <v>108794</v>
      </c>
      <c r="E55" s="1586">
        <v>148897</v>
      </c>
      <c r="F55" s="1586">
        <v>40615</v>
      </c>
      <c r="G55" s="1586">
        <v>1861</v>
      </c>
      <c r="H55" s="1586">
        <v>2562</v>
      </c>
      <c r="I55" s="1574">
        <v>0</v>
      </c>
      <c r="J55" s="1574">
        <v>0</v>
      </c>
      <c r="K55" s="1678">
        <f>SUM(C55:J55)</f>
        <v>1317257</v>
      </c>
      <c r="L55" s="1586">
        <v>1307210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1014528</v>
      </c>
      <c r="D57" s="1679">
        <f t="shared" ref="D57:K57" si="6">SUM(D55:D56)</f>
        <v>108794</v>
      </c>
      <c r="E57" s="1679">
        <f t="shared" si="6"/>
        <v>148897</v>
      </c>
      <c r="F57" s="1679">
        <f t="shared" si="6"/>
        <v>40615</v>
      </c>
      <c r="G57" s="1679">
        <f t="shared" si="6"/>
        <v>1861</v>
      </c>
      <c r="H57" s="1679">
        <f t="shared" si="6"/>
        <v>2562</v>
      </c>
      <c r="I57" s="1679">
        <f t="shared" si="6"/>
        <v>0</v>
      </c>
      <c r="J57" s="1679">
        <f t="shared" si="6"/>
        <v>0</v>
      </c>
      <c r="K57" s="1679">
        <f t="shared" si="6"/>
        <v>1317257</v>
      </c>
      <c r="L57" s="1674">
        <f>SUM(L55:L56)</f>
        <v>1307210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223395</v>
      </c>
      <c r="D60" s="1573">
        <v>23026</v>
      </c>
      <c r="E60" s="1573">
        <v>24116</v>
      </c>
      <c r="F60" s="1573">
        <v>16316</v>
      </c>
      <c r="G60" s="1573">
        <v>1957</v>
      </c>
      <c r="H60" s="1573">
        <v>0</v>
      </c>
      <c r="I60" s="1574">
        <v>0</v>
      </c>
      <c r="J60" s="1574">
        <v>0</v>
      </c>
      <c r="K60" s="1678">
        <f t="shared" si="7"/>
        <v>288810</v>
      </c>
      <c r="L60" s="1573">
        <v>306195</v>
      </c>
      <c r="M60" s="501"/>
      <c r="N60" s="501"/>
    </row>
    <row r="61" spans="1:14" s="321" customFormat="1" x14ac:dyDescent="0.2">
      <c r="A61" s="1274" t="s">
        <v>195</v>
      </c>
      <c r="B61" s="503">
        <v>2540</v>
      </c>
      <c r="C61" s="1573">
        <v>11798</v>
      </c>
      <c r="D61" s="1573">
        <v>2519</v>
      </c>
      <c r="E61" s="1573">
        <v>0</v>
      </c>
      <c r="F61" s="1573">
        <v>41</v>
      </c>
      <c r="G61" s="1573">
        <v>0</v>
      </c>
      <c r="H61" s="1573">
        <v>0</v>
      </c>
      <c r="I61" s="1574">
        <v>0</v>
      </c>
      <c r="J61" s="1574">
        <v>0</v>
      </c>
      <c r="K61" s="1678">
        <f t="shared" si="7"/>
        <v>14358</v>
      </c>
      <c r="L61" s="1573">
        <v>16365</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383047</v>
      </c>
      <c r="D63" s="1573">
        <v>91595</v>
      </c>
      <c r="E63" s="1573">
        <v>19192</v>
      </c>
      <c r="F63" s="1573">
        <v>582181</v>
      </c>
      <c r="G63" s="1573">
        <v>70124</v>
      </c>
      <c r="H63" s="1573">
        <v>0</v>
      </c>
      <c r="I63" s="1574">
        <v>0</v>
      </c>
      <c r="J63" s="1574">
        <v>0</v>
      </c>
      <c r="K63" s="1678">
        <f t="shared" si="7"/>
        <v>1146139</v>
      </c>
      <c r="L63" s="1573">
        <v>1215190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618240</v>
      </c>
      <c r="D65" s="1674">
        <f t="shared" ref="D65:L65" si="8">SUM(D59:D64)</f>
        <v>117140</v>
      </c>
      <c r="E65" s="1674">
        <f t="shared" si="8"/>
        <v>43308</v>
      </c>
      <c r="F65" s="1674">
        <f t="shared" si="8"/>
        <v>598538</v>
      </c>
      <c r="G65" s="1674">
        <f t="shared" si="8"/>
        <v>72081</v>
      </c>
      <c r="H65" s="1674">
        <f t="shared" si="8"/>
        <v>0</v>
      </c>
      <c r="I65" s="1674">
        <f t="shared" si="8"/>
        <v>0</v>
      </c>
      <c r="J65" s="1674">
        <f t="shared" si="8"/>
        <v>0</v>
      </c>
      <c r="K65" s="1674">
        <f t="shared" si="8"/>
        <v>1449307</v>
      </c>
      <c r="L65" s="1674">
        <f t="shared" si="8"/>
        <v>1537750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34759</v>
      </c>
      <c r="D69" s="1573">
        <v>6633</v>
      </c>
      <c r="E69" s="1573">
        <v>244</v>
      </c>
      <c r="F69" s="1573">
        <v>12353</v>
      </c>
      <c r="G69" s="1573">
        <v>0</v>
      </c>
      <c r="H69" s="1573">
        <v>0</v>
      </c>
      <c r="I69" s="1574">
        <v>0</v>
      </c>
      <c r="J69" s="1574">
        <v>0</v>
      </c>
      <c r="K69" s="1678">
        <f>SUM(C69:J69)</f>
        <v>53989</v>
      </c>
      <c r="L69" s="1573">
        <v>58050</v>
      </c>
      <c r="M69" s="501"/>
      <c r="N69" s="501"/>
    </row>
    <row r="70" spans="1:14" s="321" customFormat="1" x14ac:dyDescent="0.2">
      <c r="A70" s="1274" t="s">
        <v>400</v>
      </c>
      <c r="B70" s="503">
        <v>2640</v>
      </c>
      <c r="C70" s="1573">
        <v>0</v>
      </c>
      <c r="D70" s="1573">
        <v>0</v>
      </c>
      <c r="E70" s="1573">
        <v>515</v>
      </c>
      <c r="F70" s="1573">
        <v>0</v>
      </c>
      <c r="G70" s="1573">
        <v>0</v>
      </c>
      <c r="H70" s="1573">
        <v>0</v>
      </c>
      <c r="I70" s="1574">
        <v>0</v>
      </c>
      <c r="J70" s="1574">
        <v>0</v>
      </c>
      <c r="K70" s="1678">
        <f>SUM(C70:J70)</f>
        <v>515</v>
      </c>
      <c r="L70" s="1573">
        <v>745</v>
      </c>
      <c r="M70" s="501"/>
      <c r="N70" s="501"/>
    </row>
    <row r="71" spans="1:14" s="321" customFormat="1" x14ac:dyDescent="0.2">
      <c r="A71" s="1274" t="s">
        <v>401</v>
      </c>
      <c r="B71" s="503">
        <v>2660</v>
      </c>
      <c r="C71" s="1573">
        <v>0</v>
      </c>
      <c r="D71" s="1573">
        <v>0</v>
      </c>
      <c r="E71" s="1573">
        <v>24776</v>
      </c>
      <c r="F71" s="1573">
        <v>0</v>
      </c>
      <c r="G71" s="1573">
        <v>0</v>
      </c>
      <c r="H71" s="1573">
        <v>0</v>
      </c>
      <c r="I71" s="1574">
        <v>0</v>
      </c>
      <c r="J71" s="1574">
        <v>0</v>
      </c>
      <c r="K71" s="1678">
        <f>SUM(C71:J71)</f>
        <v>24776</v>
      </c>
      <c r="L71" s="1573">
        <v>28000</v>
      </c>
      <c r="M71" s="501"/>
      <c r="N71" s="501"/>
    </row>
    <row r="72" spans="1:14" s="321" customFormat="1" ht="12.75" customHeight="1" thickBot="1" x14ac:dyDescent="0.25">
      <c r="A72" s="1380" t="s">
        <v>37</v>
      </c>
      <c r="B72" s="1383" t="s">
        <v>36</v>
      </c>
      <c r="C72" s="1674">
        <f>SUM(C67:C71)</f>
        <v>34759</v>
      </c>
      <c r="D72" s="1674">
        <f t="shared" ref="D72:K72" si="9">SUM(D67:D71)</f>
        <v>6633</v>
      </c>
      <c r="E72" s="1674">
        <f t="shared" si="9"/>
        <v>25535</v>
      </c>
      <c r="F72" s="1674">
        <f t="shared" si="9"/>
        <v>12353</v>
      </c>
      <c r="G72" s="1674">
        <f t="shared" si="9"/>
        <v>0</v>
      </c>
      <c r="H72" s="1674">
        <f t="shared" si="9"/>
        <v>0</v>
      </c>
      <c r="I72" s="1674">
        <f t="shared" si="9"/>
        <v>0</v>
      </c>
      <c r="J72" s="1674">
        <f t="shared" si="9"/>
        <v>0</v>
      </c>
      <c r="K72" s="1674">
        <f t="shared" si="9"/>
        <v>79280</v>
      </c>
      <c r="L72" s="1674">
        <f>SUM(L67:L71)</f>
        <v>86795</v>
      </c>
      <c r="M72" s="501"/>
      <c r="N72" s="501"/>
    </row>
    <row r="73" spans="1:14" s="321" customFormat="1" ht="14.25" thickTop="1" thickBot="1" x14ac:dyDescent="0.25">
      <c r="A73" s="1280" t="s">
        <v>973</v>
      </c>
      <c r="B73" s="515" t="s">
        <v>570</v>
      </c>
      <c r="C73" s="1649">
        <v>0</v>
      </c>
      <c r="D73" s="1649">
        <v>0</v>
      </c>
      <c r="E73" s="1649">
        <v>0</v>
      </c>
      <c r="F73" s="1649">
        <v>26</v>
      </c>
      <c r="G73" s="1649">
        <v>0</v>
      </c>
      <c r="H73" s="1649">
        <v>0</v>
      </c>
      <c r="I73" s="1627">
        <v>0</v>
      </c>
      <c r="J73" s="1627">
        <v>0</v>
      </c>
      <c r="K73" s="1674">
        <f>SUM(C73:J73)</f>
        <v>26</v>
      </c>
      <c r="L73" s="1651">
        <v>0</v>
      </c>
      <c r="M73" s="501"/>
      <c r="N73" s="501"/>
    </row>
    <row r="74" spans="1:14" ht="12.75" customHeight="1" thickTop="1" thickBot="1" x14ac:dyDescent="0.25">
      <c r="A74" s="1380" t="s">
        <v>806</v>
      </c>
      <c r="B74" s="1384">
        <v>2000</v>
      </c>
      <c r="C74" s="1681">
        <f>SUM(C42,C47,C53,C57,C65,C72,C73)</f>
        <v>2474130</v>
      </c>
      <c r="D74" s="1681">
        <f t="shared" ref="D74:K74" si="10">SUM(D42,D47,D53,D57,D65,D72,D73)</f>
        <v>343110</v>
      </c>
      <c r="E74" s="1681">
        <f t="shared" si="10"/>
        <v>411369</v>
      </c>
      <c r="F74" s="1681">
        <f t="shared" si="10"/>
        <v>961317</v>
      </c>
      <c r="G74" s="1681">
        <f t="shared" si="10"/>
        <v>78897</v>
      </c>
      <c r="H74" s="1681">
        <f t="shared" si="10"/>
        <v>5212</v>
      </c>
      <c r="I74" s="1681">
        <f t="shared" si="10"/>
        <v>0</v>
      </c>
      <c r="J74" s="1681">
        <f t="shared" si="10"/>
        <v>0</v>
      </c>
      <c r="K74" s="1681">
        <f t="shared" si="10"/>
        <v>4274035</v>
      </c>
      <c r="L74" s="1681">
        <f>SUM(L42,L47,L53,L57,L65,L72,L73)</f>
        <v>4275622</v>
      </c>
    </row>
    <row r="75" spans="1:14" s="254" customFormat="1" ht="15.75" customHeight="1" thickTop="1" thickBot="1" x14ac:dyDescent="0.25">
      <c r="A75" s="1348" t="s">
        <v>47</v>
      </c>
      <c r="B75" s="1349" t="s">
        <v>571</v>
      </c>
      <c r="C75" s="1649">
        <v>100942</v>
      </c>
      <c r="D75" s="1649">
        <v>14694</v>
      </c>
      <c r="E75" s="1649">
        <v>10049</v>
      </c>
      <c r="F75" s="1649">
        <v>20606</v>
      </c>
      <c r="G75" s="1649">
        <v>0</v>
      </c>
      <c r="H75" s="1649">
        <v>0</v>
      </c>
      <c r="I75" s="1627">
        <v>0</v>
      </c>
      <c r="J75" s="1627">
        <v>0</v>
      </c>
      <c r="K75" s="1674">
        <f>SUM(C75:J75)</f>
        <v>146291</v>
      </c>
      <c r="L75" s="1651">
        <v>135000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24060</v>
      </c>
      <c r="F78" s="1673"/>
      <c r="G78" s="1673"/>
      <c r="H78" s="1682">
        <v>0</v>
      </c>
      <c r="I78" s="1582"/>
      <c r="J78" s="1582"/>
      <c r="K78" s="1672">
        <f t="shared" ref="K78:K83" si="11">SUM(C78:J78)</f>
        <v>24060</v>
      </c>
      <c r="L78" s="1586">
        <v>28000</v>
      </c>
    </row>
    <row r="79" spans="1:14" x14ac:dyDescent="0.2">
      <c r="A79" s="1274" t="s">
        <v>301</v>
      </c>
      <c r="B79" s="503">
        <v>4120</v>
      </c>
      <c r="C79" s="1673"/>
      <c r="D79" s="1673"/>
      <c r="E79" s="1573">
        <v>551013</v>
      </c>
      <c r="F79" s="1673"/>
      <c r="G79" s="1673"/>
      <c r="H79" s="1573">
        <v>1330</v>
      </c>
      <c r="I79" s="1582"/>
      <c r="J79" s="1582"/>
      <c r="K79" s="1672">
        <f t="shared" si="11"/>
        <v>552343</v>
      </c>
      <c r="L79" s="1573">
        <v>563200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575073</v>
      </c>
      <c r="F84" s="1673"/>
      <c r="G84" s="1673"/>
      <c r="H84" s="1674">
        <f>SUM(H78:H83)</f>
        <v>1330</v>
      </c>
      <c r="I84" s="1582"/>
      <c r="J84" s="1582"/>
      <c r="K84" s="1674">
        <f>SUM(K78:K83)</f>
        <v>576403</v>
      </c>
      <c r="L84" s="1674">
        <f>SUM(L78:L83)</f>
        <v>591200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1736180</v>
      </c>
      <c r="I86" s="1582"/>
      <c r="J86" s="1582"/>
      <c r="K86" s="1681">
        <f t="shared" ref="K86:K98" si="12">H86</f>
        <v>1736180</v>
      </c>
      <c r="L86" s="1626">
        <v>1881500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1542</v>
      </c>
      <c r="B92" s="1385">
        <v>4200</v>
      </c>
      <c r="C92" s="1673"/>
      <c r="D92" s="1673"/>
      <c r="E92" s="1684"/>
      <c r="F92" s="1673"/>
      <c r="G92" s="1673"/>
      <c r="H92" s="1674">
        <f>SUM(H85:H91)</f>
        <v>1736180</v>
      </c>
      <c r="I92" s="1582"/>
      <c r="J92" s="1582"/>
      <c r="K92" s="1681">
        <f t="shared" si="12"/>
        <v>1736180</v>
      </c>
      <c r="L92" s="1674">
        <f>SUM(L85:L91)</f>
        <v>1881500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575073</v>
      </c>
      <c r="F102" s="1673"/>
      <c r="G102" s="1673"/>
      <c r="H102" s="1681">
        <f>SUM(H84,H92,H100,H101)</f>
        <v>1737510</v>
      </c>
      <c r="I102" s="1582"/>
      <c r="J102" s="1582"/>
      <c r="K102" s="1681">
        <f>SUM(K84,K92,K100,K101)</f>
        <v>2312583</v>
      </c>
      <c r="L102" s="1681">
        <f>SUM(L84,L92,L100,L101)</f>
        <v>2472700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200000</v>
      </c>
      <c r="M113" s="502"/>
      <c r="N113" s="502"/>
    </row>
    <row r="114" spans="1:14" ht="12.75" customHeight="1" thickTop="1" thickBot="1" x14ac:dyDescent="0.25">
      <c r="A114" s="1380" t="s">
        <v>48</v>
      </c>
      <c r="B114" s="1388"/>
      <c r="C114" s="1674">
        <f>SUM(C33,C74,C75,C102,C112,C113)</f>
        <v>10083305</v>
      </c>
      <c r="D114" s="1674">
        <f t="shared" ref="D114:K114" si="13">SUM(D33,D74,D75,D102,D112,D113)</f>
        <v>1121840</v>
      </c>
      <c r="E114" s="1674">
        <f t="shared" si="13"/>
        <v>2049448</v>
      </c>
      <c r="F114" s="1674">
        <f t="shared" si="13"/>
        <v>1385483</v>
      </c>
      <c r="G114" s="1674">
        <f t="shared" si="13"/>
        <v>723001</v>
      </c>
      <c r="H114" s="1674">
        <f>SUM(H33,H74,H75,H102,H112,H113)</f>
        <v>2132656</v>
      </c>
      <c r="I114" s="1674">
        <f t="shared" si="13"/>
        <v>0</v>
      </c>
      <c r="J114" s="1674">
        <f t="shared" si="13"/>
        <v>0</v>
      </c>
      <c r="K114" s="1674">
        <f t="shared" si="13"/>
        <v>17495733</v>
      </c>
      <c r="L114" s="1674">
        <f>SUM(L33,L74,L75,L102,L112,L113)</f>
        <v>17892769</v>
      </c>
    </row>
    <row r="115" spans="1:14" ht="13.5" thickTop="1" x14ac:dyDescent="0.2">
      <c r="A115" s="2372" t="s">
        <v>989</v>
      </c>
      <c r="B115" s="2373"/>
      <c r="C115" s="1675"/>
      <c r="D115" s="1675"/>
      <c r="E115" s="1675"/>
      <c r="F115" s="1675"/>
      <c r="G115" s="1675"/>
      <c r="H115" s="1675"/>
      <c r="I115" s="1675"/>
      <c r="J115" s="1675"/>
      <c r="K115" s="1689">
        <f>'Revenues 9-14'!C268-'Expenditures 15-22'!K114</f>
        <v>838649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77" t="s">
        <v>293</v>
      </c>
      <c r="B117" s="237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1958</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92829</v>
      </c>
      <c r="F123" s="1573">
        <v>0</v>
      </c>
      <c r="G123" s="1573">
        <v>14436</v>
      </c>
      <c r="H123" s="1573">
        <v>0</v>
      </c>
      <c r="I123" s="1574">
        <v>0</v>
      </c>
      <c r="J123" s="1574">
        <v>0</v>
      </c>
      <c r="K123" s="1674">
        <f>SUM(C123:J123)</f>
        <v>107265</v>
      </c>
      <c r="L123" s="1573">
        <v>10000</v>
      </c>
    </row>
    <row r="124" spans="1:14" ht="14.25" thickTop="1" thickBot="1" x14ac:dyDescent="0.25">
      <c r="A124" s="1274" t="s">
        <v>195</v>
      </c>
      <c r="B124" s="503">
        <v>2540</v>
      </c>
      <c r="C124" s="1573">
        <v>612777</v>
      </c>
      <c r="D124" s="1573">
        <v>74513</v>
      </c>
      <c r="E124" s="1573">
        <v>492277</v>
      </c>
      <c r="F124" s="1573">
        <v>406463</v>
      </c>
      <c r="G124" s="1573">
        <v>802893</v>
      </c>
      <c r="H124" s="1573">
        <v>0</v>
      </c>
      <c r="I124" s="1574">
        <v>0</v>
      </c>
      <c r="J124" s="1574">
        <v>0</v>
      </c>
      <c r="K124" s="1674">
        <f>SUM(C124:J124)</f>
        <v>2388923</v>
      </c>
      <c r="L124" s="1573">
        <v>2396965</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612777</v>
      </c>
      <c r="D127" s="1674">
        <f t="shared" ref="D127:L127" si="14">SUM(D122:D126)</f>
        <v>74513</v>
      </c>
      <c r="E127" s="1674">
        <f t="shared" si="14"/>
        <v>585106</v>
      </c>
      <c r="F127" s="1674">
        <f t="shared" si="14"/>
        <v>406463</v>
      </c>
      <c r="G127" s="1674">
        <f t="shared" si="14"/>
        <v>817329</v>
      </c>
      <c r="H127" s="1674">
        <f t="shared" si="14"/>
        <v>0</v>
      </c>
      <c r="I127" s="1674">
        <f t="shared" si="14"/>
        <v>0</v>
      </c>
      <c r="J127" s="1674">
        <f t="shared" si="14"/>
        <v>0</v>
      </c>
      <c r="K127" s="1674">
        <f t="shared" si="14"/>
        <v>2496188</v>
      </c>
      <c r="L127" s="1674">
        <f t="shared" si="14"/>
        <v>2406965</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612777</v>
      </c>
      <c r="D129" s="1681">
        <f t="shared" ref="D129:L129" si="15">SUM(D120,D127,D128)</f>
        <v>74513</v>
      </c>
      <c r="E129" s="1681">
        <f t="shared" si="15"/>
        <v>585106</v>
      </c>
      <c r="F129" s="1681">
        <f t="shared" si="15"/>
        <v>406463</v>
      </c>
      <c r="G129" s="1681">
        <f t="shared" si="15"/>
        <v>817329</v>
      </c>
      <c r="H129" s="1681">
        <f t="shared" si="15"/>
        <v>0</v>
      </c>
      <c r="I129" s="1681">
        <f t="shared" si="15"/>
        <v>0</v>
      </c>
      <c r="J129" s="1681">
        <f t="shared" si="15"/>
        <v>0</v>
      </c>
      <c r="K129" s="1681">
        <f t="shared" si="15"/>
        <v>2496188</v>
      </c>
      <c r="L129" s="1681">
        <f t="shared" si="15"/>
        <v>2406965</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1811</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100000</v>
      </c>
    </row>
    <row r="151" spans="1:14" ht="12.75" customHeight="1" thickTop="1" thickBot="1" x14ac:dyDescent="0.25">
      <c r="A151" s="2389" t="s">
        <v>616</v>
      </c>
      <c r="B151" s="2369"/>
      <c r="C151" s="1674">
        <f>SUM(C129,C130,C139,C149,C150)</f>
        <v>612777</v>
      </c>
      <c r="D151" s="1674">
        <f t="shared" ref="D151:K151" si="16">SUM(D129,D130,D139,D149,D150)</f>
        <v>74513</v>
      </c>
      <c r="E151" s="1674">
        <f t="shared" si="16"/>
        <v>585106</v>
      </c>
      <c r="F151" s="1674">
        <f t="shared" si="16"/>
        <v>406463</v>
      </c>
      <c r="G151" s="1674">
        <f t="shared" si="16"/>
        <v>817329</v>
      </c>
      <c r="H151" s="1674">
        <f t="shared" si="16"/>
        <v>0</v>
      </c>
      <c r="I151" s="1674">
        <f t="shared" si="16"/>
        <v>0</v>
      </c>
      <c r="J151" s="1674">
        <f t="shared" si="16"/>
        <v>0</v>
      </c>
      <c r="K151" s="1674">
        <f t="shared" si="16"/>
        <v>2496188</v>
      </c>
      <c r="L151" s="1674">
        <f>SUM(L129,L130,L139,L149,L150)</f>
        <v>2506965</v>
      </c>
    </row>
    <row r="152" spans="1:14" ht="12.75" customHeight="1" thickTop="1" x14ac:dyDescent="0.2">
      <c r="A152" s="2392" t="s">
        <v>1168</v>
      </c>
      <c r="B152" s="2393"/>
      <c r="C152" s="1675"/>
      <c r="D152" s="1675"/>
      <c r="E152" s="1675"/>
      <c r="F152" s="1675"/>
      <c r="G152" s="1675"/>
      <c r="H152" s="1675"/>
      <c r="I152" s="1675"/>
      <c r="J152" s="1673"/>
      <c r="K152" s="1689">
        <f>'Revenues 9-14'!D268-'Expenditures 15-22'!K151</f>
        <v>321164</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77" t="s">
        <v>617</v>
      </c>
      <c r="B154" s="237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1812</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1811</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1813</v>
      </c>
      <c r="C158" s="1673"/>
      <c r="D158" s="1673"/>
      <c r="E158" s="1673"/>
      <c r="F158" s="1673"/>
      <c r="G158" s="1673"/>
      <c r="H158" s="1574">
        <v>0</v>
      </c>
      <c r="I158" s="1673"/>
      <c r="J158" s="1673"/>
      <c r="K158" s="1672">
        <f>H158</f>
        <v>0</v>
      </c>
      <c r="L158" s="1574">
        <v>0</v>
      </c>
      <c r="M158" s="505"/>
      <c r="N158" s="505"/>
    </row>
    <row r="159" spans="1:14" s="506" customFormat="1" ht="12" x14ac:dyDescent="0.2">
      <c r="A159" s="1462" t="s">
        <v>1814</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1815</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176978</v>
      </c>
      <c r="I169" s="1673"/>
      <c r="J169" s="1673"/>
      <c r="K169" s="1672">
        <f>SUM(C169:H169)</f>
        <v>176978</v>
      </c>
      <c r="L169" s="1695">
        <v>177000</v>
      </c>
    </row>
    <row r="170" spans="1:14" ht="33.75" customHeight="1" x14ac:dyDescent="0.2">
      <c r="A170" s="543" t="s">
        <v>1650</v>
      </c>
      <c r="B170" s="545" t="s">
        <v>31</v>
      </c>
      <c r="C170" s="1673"/>
      <c r="D170" s="1673"/>
      <c r="E170" s="1673"/>
      <c r="F170" s="1673"/>
      <c r="G170" s="1673"/>
      <c r="H170" s="1646">
        <v>535000</v>
      </c>
      <c r="I170" s="1673"/>
      <c r="J170" s="1673"/>
      <c r="K170" s="1672">
        <f>SUM(C170:J170)</f>
        <v>535000</v>
      </c>
      <c r="L170" s="1646">
        <v>535000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711978</v>
      </c>
      <c r="I172" s="1684"/>
      <c r="J172" s="1673"/>
      <c r="K172" s="1681">
        <f>SUM(K168,K169,K170,K171)</f>
        <v>711978</v>
      </c>
      <c r="L172" s="1681">
        <f>SUM(L168,L169,L170,L171)</f>
        <v>712000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711978</v>
      </c>
      <c r="I174" s="1684"/>
      <c r="J174" s="1673"/>
      <c r="K174" s="1681">
        <f>SUM(K160,K172,K173)</f>
        <v>711978</v>
      </c>
      <c r="L174" s="1681">
        <f>SUM(L160,L172,L173)</f>
        <v>712000</v>
      </c>
    </row>
    <row r="175" spans="1:14" ht="13.5" thickTop="1" x14ac:dyDescent="0.2">
      <c r="A175" s="2372" t="s">
        <v>989</v>
      </c>
      <c r="B175" s="2373"/>
      <c r="C175" s="1673"/>
      <c r="D175" s="1673"/>
      <c r="E175" s="1673"/>
      <c r="F175" s="1673"/>
      <c r="G175" s="1673"/>
      <c r="H175" s="1675"/>
      <c r="I175" s="1673"/>
      <c r="J175" s="1673"/>
      <c r="K175" s="1689">
        <f>'Revenues 9-14'!E268-'Expenditures 15-22'!K174</f>
        <v>55041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1958</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508291</v>
      </c>
      <c r="D182" s="1573">
        <v>19878</v>
      </c>
      <c r="E182" s="1573">
        <v>223240</v>
      </c>
      <c r="F182" s="1573">
        <v>97427</v>
      </c>
      <c r="G182" s="1573">
        <v>3950</v>
      </c>
      <c r="H182" s="1573">
        <v>3739</v>
      </c>
      <c r="I182" s="1574">
        <v>0</v>
      </c>
      <c r="J182" s="1574">
        <v>0</v>
      </c>
      <c r="K182" s="1672">
        <f>SUM(C182:J182)</f>
        <v>856525</v>
      </c>
      <c r="L182" s="1573">
        <v>946621</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508291</v>
      </c>
      <c r="D184" s="1681">
        <f t="shared" ref="D184:J184" si="17">SUM(D180,D182,D183)</f>
        <v>19878</v>
      </c>
      <c r="E184" s="1681">
        <f t="shared" si="17"/>
        <v>223240</v>
      </c>
      <c r="F184" s="1681">
        <f t="shared" si="17"/>
        <v>97427</v>
      </c>
      <c r="G184" s="1681">
        <f t="shared" si="17"/>
        <v>3950</v>
      </c>
      <c r="H184" s="1681">
        <f t="shared" si="17"/>
        <v>3739</v>
      </c>
      <c r="I184" s="1681">
        <f t="shared" si="17"/>
        <v>0</v>
      </c>
      <c r="J184" s="1681">
        <f t="shared" si="17"/>
        <v>0</v>
      </c>
      <c r="K184" s="1681">
        <f>SUM(K180,K182,K183)</f>
        <v>856525</v>
      </c>
      <c r="L184" s="1681">
        <f>SUM(L180, L182:L183)</f>
        <v>946621</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4000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4000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4000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1651</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50000</v>
      </c>
    </row>
    <row r="210" spans="1:14" ht="12.75" customHeight="1" thickTop="1" thickBot="1" x14ac:dyDescent="0.25">
      <c r="A210" s="1394" t="s">
        <v>275</v>
      </c>
      <c r="B210" s="1395"/>
      <c r="C210" s="1674">
        <f>SUM(C184,C185)</f>
        <v>508291</v>
      </c>
      <c r="D210" s="1674">
        <f>SUM(D184,D185)</f>
        <v>19878</v>
      </c>
      <c r="E210" s="1674">
        <f>SUM(E184,E185,E196)</f>
        <v>223240</v>
      </c>
      <c r="F210" s="1674">
        <f>SUM(F184,F185)</f>
        <v>97427</v>
      </c>
      <c r="G210" s="1674">
        <f>SUM(G184,G185)</f>
        <v>3950</v>
      </c>
      <c r="H210" s="1674">
        <f>SUM(H184,H185,H196,H208,H209)</f>
        <v>3739</v>
      </c>
      <c r="I210" s="1674">
        <f>SUM(I184,I185)</f>
        <v>0</v>
      </c>
      <c r="J210" s="1674">
        <f>SUM(J184,J185)</f>
        <v>0</v>
      </c>
      <c r="K210" s="1672">
        <f>SUM(K184,K185,K196,K208,K209)</f>
        <v>856525</v>
      </c>
      <c r="L210" s="1674">
        <f>SUM(L184,L185,L196,L208,L209)</f>
        <v>1000621</v>
      </c>
    </row>
    <row r="211" spans="1:14" ht="13.5" thickTop="1" x14ac:dyDescent="0.2">
      <c r="A211" s="2372" t="s">
        <v>989</v>
      </c>
      <c r="B211" s="2373"/>
      <c r="C211" s="1675"/>
      <c r="D211" s="1675"/>
      <c r="E211" s="1675"/>
      <c r="F211" s="1675"/>
      <c r="G211" s="1675"/>
      <c r="H211" s="1675"/>
      <c r="I211" s="1673"/>
      <c r="J211" s="1673"/>
      <c r="K211" s="1689">
        <f>'Revenues 9-14'!F268-'Expenditures 15-22'!K210</f>
        <v>121771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94" t="s">
        <v>959</v>
      </c>
      <c r="B213" s="239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71109</v>
      </c>
      <c r="E215" s="1673"/>
      <c r="F215" s="1673"/>
      <c r="G215" s="1673"/>
      <c r="H215" s="1673"/>
      <c r="I215" s="1673"/>
      <c r="J215" s="1673"/>
      <c r="K215" s="1672">
        <f>D215</f>
        <v>71109</v>
      </c>
      <c r="L215" s="1573">
        <v>99775</v>
      </c>
    </row>
    <row r="216" spans="1:14" x14ac:dyDescent="0.2">
      <c r="A216" s="1274" t="s">
        <v>162</v>
      </c>
      <c r="B216" s="503" t="s">
        <v>961</v>
      </c>
      <c r="C216" s="1673"/>
      <c r="D216" s="1574">
        <v>18130</v>
      </c>
      <c r="E216" s="1673"/>
      <c r="F216" s="1673"/>
      <c r="G216" s="1673"/>
      <c r="H216" s="1673"/>
      <c r="I216" s="1673"/>
      <c r="J216" s="1673"/>
      <c r="K216" s="1672">
        <f t="shared" ref="K216:K228" si="19">D216</f>
        <v>18130</v>
      </c>
      <c r="L216" s="1573">
        <v>57070</v>
      </c>
    </row>
    <row r="217" spans="1:14" x14ac:dyDescent="0.2">
      <c r="A217" s="1274" t="s">
        <v>163</v>
      </c>
      <c r="B217" s="503">
        <v>1200</v>
      </c>
      <c r="C217" s="1673"/>
      <c r="D217" s="1573">
        <v>62141</v>
      </c>
      <c r="E217" s="1673"/>
      <c r="F217" s="1673"/>
      <c r="G217" s="1673"/>
      <c r="H217" s="1673"/>
      <c r="I217" s="1673"/>
      <c r="J217" s="1673"/>
      <c r="K217" s="1672">
        <f t="shared" si="19"/>
        <v>62141</v>
      </c>
      <c r="L217" s="1573">
        <v>67713</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55503</v>
      </c>
      <c r="E219" s="1673"/>
      <c r="F219" s="1673"/>
      <c r="G219" s="1673"/>
      <c r="H219" s="1673"/>
      <c r="I219" s="1673"/>
      <c r="J219" s="1673"/>
      <c r="K219" s="1672">
        <f t="shared" si="19"/>
        <v>55503</v>
      </c>
      <c r="L219" s="1573">
        <v>56485</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4886</v>
      </c>
      <c r="E222" s="1673"/>
      <c r="F222" s="1673"/>
      <c r="G222" s="1673"/>
      <c r="H222" s="1673"/>
      <c r="I222" s="1673"/>
      <c r="J222" s="1673"/>
      <c r="K222" s="1672">
        <f t="shared" si="19"/>
        <v>4886</v>
      </c>
      <c r="L222" s="1573">
        <v>5350</v>
      </c>
    </row>
    <row r="223" spans="1:14" x14ac:dyDescent="0.2">
      <c r="A223" s="1274" t="s">
        <v>957</v>
      </c>
      <c r="B223" s="503">
        <v>1500</v>
      </c>
      <c r="C223" s="1673"/>
      <c r="D223" s="1573">
        <v>16387</v>
      </c>
      <c r="E223" s="1673"/>
      <c r="F223" s="1673"/>
      <c r="G223" s="1673"/>
      <c r="H223" s="1673"/>
      <c r="I223" s="1673"/>
      <c r="J223" s="1673"/>
      <c r="K223" s="1672">
        <f t="shared" si="19"/>
        <v>16387</v>
      </c>
      <c r="L223" s="1573">
        <v>18595</v>
      </c>
    </row>
    <row r="224" spans="1:14" x14ac:dyDescent="0.2">
      <c r="A224" s="1274" t="s">
        <v>958</v>
      </c>
      <c r="B224" s="503">
        <v>1600</v>
      </c>
      <c r="C224" s="1673"/>
      <c r="D224" s="1573">
        <v>256</v>
      </c>
      <c r="E224" s="1673"/>
      <c r="F224" s="1673"/>
      <c r="G224" s="1673"/>
      <c r="H224" s="1673"/>
      <c r="I224" s="1673"/>
      <c r="J224" s="1673"/>
      <c r="K224" s="1672">
        <f t="shared" si="19"/>
        <v>256</v>
      </c>
      <c r="L224" s="1573">
        <v>250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1449</v>
      </c>
      <c r="E226" s="1673"/>
      <c r="F226" s="1673"/>
      <c r="G226" s="1673"/>
      <c r="H226" s="1673"/>
      <c r="I226" s="1673"/>
      <c r="J226" s="1673"/>
      <c r="K226" s="1672">
        <f t="shared" si="19"/>
        <v>1449</v>
      </c>
      <c r="L226" s="1573">
        <v>1450</v>
      </c>
    </row>
    <row r="227" spans="1:12" x14ac:dyDescent="0.2">
      <c r="A227" s="1274" t="s">
        <v>1078</v>
      </c>
      <c r="B227" s="503">
        <v>1800</v>
      </c>
      <c r="C227" s="1673"/>
      <c r="D227" s="1573">
        <v>870</v>
      </c>
      <c r="E227" s="1673"/>
      <c r="F227" s="1673"/>
      <c r="G227" s="1673"/>
      <c r="H227" s="1673"/>
      <c r="I227" s="1673"/>
      <c r="J227" s="1673"/>
      <c r="K227" s="1672">
        <f t="shared" si="19"/>
        <v>870</v>
      </c>
      <c r="L227" s="1573">
        <v>1125</v>
      </c>
    </row>
    <row r="228" spans="1:12" x14ac:dyDescent="0.2">
      <c r="A228" s="1274" t="s">
        <v>1079</v>
      </c>
      <c r="B228" s="503">
        <v>1900</v>
      </c>
      <c r="C228" s="1673"/>
      <c r="D228" s="1573">
        <v>3884</v>
      </c>
      <c r="E228" s="1673"/>
      <c r="F228" s="1673"/>
      <c r="G228" s="1673"/>
      <c r="H228" s="1673"/>
      <c r="I228" s="1673"/>
      <c r="J228" s="1673"/>
      <c r="K228" s="1672">
        <f t="shared" si="19"/>
        <v>3884</v>
      </c>
      <c r="L228" s="1573">
        <v>4500</v>
      </c>
    </row>
    <row r="229" spans="1:12" ht="12.75" customHeight="1" thickBot="1" x14ac:dyDescent="0.25">
      <c r="A229" s="1380" t="s">
        <v>710</v>
      </c>
      <c r="B229" s="1383" t="s">
        <v>566</v>
      </c>
      <c r="C229" s="1673"/>
      <c r="D229" s="1674">
        <f>SUM(D215:D228)</f>
        <v>234615</v>
      </c>
      <c r="E229" s="1673"/>
      <c r="F229" s="1673"/>
      <c r="G229" s="1673"/>
      <c r="H229" s="1673"/>
      <c r="I229" s="1673"/>
      <c r="J229" s="1673"/>
      <c r="K229" s="1674">
        <f>SUM(K215:K228)</f>
        <v>234615</v>
      </c>
      <c r="L229" s="1674">
        <f>SUM(L215:L228)</f>
        <v>312313</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3988</v>
      </c>
      <c r="E233" s="1673"/>
      <c r="F233" s="1673"/>
      <c r="G233" s="1673"/>
      <c r="H233" s="1673"/>
      <c r="I233" s="1673"/>
      <c r="J233" s="1673"/>
      <c r="K233" s="1672">
        <f t="shared" si="20"/>
        <v>3988</v>
      </c>
      <c r="L233" s="1573">
        <v>3460</v>
      </c>
    </row>
    <row r="234" spans="1:12" x14ac:dyDescent="0.2">
      <c r="A234" s="1274" t="s">
        <v>196</v>
      </c>
      <c r="B234" s="503">
        <v>2130</v>
      </c>
      <c r="C234" s="1673"/>
      <c r="D234" s="1573">
        <v>23563</v>
      </c>
      <c r="E234" s="1673"/>
      <c r="F234" s="1673"/>
      <c r="G234" s="1673"/>
      <c r="H234" s="1673"/>
      <c r="I234" s="1673"/>
      <c r="J234" s="1673"/>
      <c r="K234" s="1672">
        <f t="shared" si="20"/>
        <v>23563</v>
      </c>
      <c r="L234" s="1573">
        <v>27827</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27551</v>
      </c>
      <c r="E238" s="1673"/>
      <c r="F238" s="1673"/>
      <c r="G238" s="1673"/>
      <c r="H238" s="1673"/>
      <c r="I238" s="1673"/>
      <c r="J238" s="1673"/>
      <c r="K238" s="1674">
        <f>SUM(K232:K237)</f>
        <v>27551</v>
      </c>
      <c r="L238" s="1674">
        <f>SUM(L232:L237)</f>
        <v>31287</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1459</v>
      </c>
      <c r="E240" s="1673"/>
      <c r="F240" s="1673"/>
      <c r="G240" s="1673"/>
      <c r="H240" s="1673"/>
      <c r="I240" s="1673"/>
      <c r="J240" s="1673"/>
      <c r="K240" s="1678">
        <f>D240</f>
        <v>1459</v>
      </c>
      <c r="L240" s="1586">
        <v>965</v>
      </c>
    </row>
    <row r="241" spans="1:12" x14ac:dyDescent="0.2">
      <c r="A241" s="1274" t="s">
        <v>810</v>
      </c>
      <c r="B241" s="503">
        <v>2220</v>
      </c>
      <c r="C241" s="1673"/>
      <c r="D241" s="1573">
        <v>8850</v>
      </c>
      <c r="E241" s="1673"/>
      <c r="F241" s="1673"/>
      <c r="G241" s="1673"/>
      <c r="H241" s="1673"/>
      <c r="I241" s="1673"/>
      <c r="J241" s="1673"/>
      <c r="K241" s="1678">
        <f>D241</f>
        <v>8850</v>
      </c>
      <c r="L241" s="1573">
        <v>10475</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10309</v>
      </c>
      <c r="E243" s="1673"/>
      <c r="F243" s="1673"/>
      <c r="G243" s="1673"/>
      <c r="H243" s="1673"/>
      <c r="I243" s="1673"/>
      <c r="J243" s="1673"/>
      <c r="K243" s="1674">
        <f>SUM(K240:K242)</f>
        <v>10309</v>
      </c>
      <c r="L243" s="1674">
        <f>SUM(L240:L242)</f>
        <v>11440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722</v>
      </c>
      <c r="E245" s="1673"/>
      <c r="F245" s="1673"/>
      <c r="G245" s="1673"/>
      <c r="H245" s="1673"/>
      <c r="I245" s="1673"/>
      <c r="J245" s="1673"/>
      <c r="K245" s="1678">
        <f>D245</f>
        <v>722</v>
      </c>
      <c r="L245" s="1586">
        <v>250</v>
      </c>
    </row>
    <row r="246" spans="1:12" x14ac:dyDescent="0.2">
      <c r="A246" s="1274" t="s">
        <v>813</v>
      </c>
      <c r="B246" s="503">
        <v>2320</v>
      </c>
      <c r="C246" s="1673"/>
      <c r="D246" s="1573">
        <v>2864</v>
      </c>
      <c r="E246" s="1673"/>
      <c r="F246" s="1673"/>
      <c r="G246" s="1673"/>
      <c r="H246" s="1673"/>
      <c r="I246" s="1673"/>
      <c r="J246" s="1673"/>
      <c r="K246" s="1678">
        <f t="shared" ref="K246:K256" si="21">D246</f>
        <v>2864</v>
      </c>
      <c r="L246" s="1573">
        <v>3230</v>
      </c>
    </row>
    <row r="247" spans="1:12" x14ac:dyDescent="0.2">
      <c r="A247" s="1274" t="s">
        <v>814</v>
      </c>
      <c r="B247" s="503">
        <v>2330</v>
      </c>
      <c r="C247" s="1673"/>
      <c r="D247" s="1573">
        <v>4132</v>
      </c>
      <c r="E247" s="1673"/>
      <c r="F247" s="1673"/>
      <c r="G247" s="1673"/>
      <c r="H247" s="1673"/>
      <c r="I247" s="1673"/>
      <c r="J247" s="1673"/>
      <c r="K247" s="1678">
        <f t="shared" si="21"/>
        <v>4132</v>
      </c>
      <c r="L247" s="1573">
        <v>4000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1777</v>
      </c>
      <c r="B249" s="557" t="s">
        <v>280</v>
      </c>
      <c r="C249" s="1673"/>
      <c r="D249" s="1579">
        <v>0</v>
      </c>
      <c r="E249" s="1673"/>
      <c r="F249" s="1673"/>
      <c r="G249" s="1673"/>
      <c r="H249" s="1673"/>
      <c r="I249" s="1673"/>
      <c r="J249" s="1673"/>
      <c r="K249" s="1678">
        <f t="shared" si="21"/>
        <v>0</v>
      </c>
      <c r="L249" s="1573">
        <v>0</v>
      </c>
    </row>
    <row r="250" spans="1:12" x14ac:dyDescent="0.2">
      <c r="A250" s="1275" t="s">
        <v>1778</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32606</v>
      </c>
      <c r="E252" s="1673"/>
      <c r="F252" s="1673"/>
      <c r="G252" s="1673"/>
      <c r="H252" s="1673"/>
      <c r="I252" s="1673"/>
      <c r="J252" s="1673"/>
      <c r="K252" s="1678">
        <f t="shared" si="21"/>
        <v>32606</v>
      </c>
      <c r="L252" s="1573">
        <v>33360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40324</v>
      </c>
      <c r="E257" s="1673"/>
      <c r="F257" s="1673"/>
      <c r="G257" s="1673"/>
      <c r="H257" s="1673"/>
      <c r="I257" s="1673"/>
      <c r="J257" s="1673"/>
      <c r="K257" s="1674">
        <f>SUM(K245:K256)</f>
        <v>40324</v>
      </c>
      <c r="L257" s="1674">
        <f>SUM(L245:L256)</f>
        <v>40840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56733</v>
      </c>
      <c r="E259" s="1673"/>
      <c r="F259" s="1673"/>
      <c r="G259" s="1673"/>
      <c r="H259" s="1673"/>
      <c r="I259" s="1673"/>
      <c r="J259" s="1673"/>
      <c r="K259" s="1678">
        <f>D259</f>
        <v>56733</v>
      </c>
      <c r="L259" s="1586">
        <v>65000</v>
      </c>
    </row>
    <row r="260" spans="1:14" s="493" customFormat="1" x14ac:dyDescent="0.2">
      <c r="A260" s="1292" t="s">
        <v>1776</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56733</v>
      </c>
      <c r="E261" s="1673"/>
      <c r="F261" s="1673"/>
      <c r="G261" s="1673"/>
      <c r="H261" s="1673"/>
      <c r="I261" s="1673"/>
      <c r="J261" s="1673"/>
      <c r="K261" s="1674">
        <f>SUM(K259:K260)</f>
        <v>56733</v>
      </c>
      <c r="L261" s="1674">
        <f>SUM(L259:L260)</f>
        <v>65000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43447</v>
      </c>
      <c r="E264" s="1673"/>
      <c r="F264" s="1673"/>
      <c r="G264" s="1673"/>
      <c r="H264" s="1673"/>
      <c r="I264" s="1673"/>
      <c r="J264" s="1673"/>
      <c r="K264" s="1678">
        <f t="shared" ref="K264:K269" si="22">D264</f>
        <v>43447</v>
      </c>
      <c r="L264" s="1573">
        <v>44450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112045</v>
      </c>
      <c r="E266" s="1673"/>
      <c r="F266" s="1673"/>
      <c r="G266" s="1673"/>
      <c r="H266" s="1673"/>
      <c r="I266" s="1673"/>
      <c r="J266" s="1673"/>
      <c r="K266" s="1678">
        <f t="shared" si="22"/>
        <v>112045</v>
      </c>
      <c r="L266" s="1573">
        <v>115740</v>
      </c>
    </row>
    <row r="267" spans="1:14" x14ac:dyDescent="0.2">
      <c r="A267" s="1274" t="s">
        <v>947</v>
      </c>
      <c r="B267" s="503">
        <v>2550</v>
      </c>
      <c r="C267" s="1673"/>
      <c r="D267" s="1573">
        <v>93460</v>
      </c>
      <c r="E267" s="1673"/>
      <c r="F267" s="1673"/>
      <c r="G267" s="1673"/>
      <c r="H267" s="1673"/>
      <c r="I267" s="1673"/>
      <c r="J267" s="1673"/>
      <c r="K267" s="1678">
        <f t="shared" si="22"/>
        <v>93460</v>
      </c>
      <c r="L267" s="1573">
        <v>101670</v>
      </c>
    </row>
    <row r="268" spans="1:14" x14ac:dyDescent="0.2">
      <c r="A268" s="1274" t="s">
        <v>100</v>
      </c>
      <c r="B268" s="503">
        <v>2560</v>
      </c>
      <c r="C268" s="1673"/>
      <c r="D268" s="1573">
        <v>69686</v>
      </c>
      <c r="E268" s="1673"/>
      <c r="F268" s="1673"/>
      <c r="G268" s="1673"/>
      <c r="H268" s="1673"/>
      <c r="I268" s="1673"/>
      <c r="J268" s="1673"/>
      <c r="K268" s="1678">
        <f t="shared" si="22"/>
        <v>69686</v>
      </c>
      <c r="L268" s="1573">
        <v>66472</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318638</v>
      </c>
      <c r="E270" s="1673"/>
      <c r="F270" s="1673"/>
      <c r="G270" s="1673"/>
      <c r="H270" s="1673"/>
      <c r="I270" s="1673"/>
      <c r="J270" s="1673"/>
      <c r="K270" s="1674">
        <f>SUM(K263:K269)</f>
        <v>318638</v>
      </c>
      <c r="L270" s="1674">
        <f>SUM(L263:L269)</f>
        <v>328332</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6657</v>
      </c>
      <c r="E274" s="1673"/>
      <c r="F274" s="1673"/>
      <c r="G274" s="1673"/>
      <c r="H274" s="1673"/>
      <c r="I274" s="1673"/>
      <c r="J274" s="1673"/>
      <c r="K274" s="1678">
        <f>D274</f>
        <v>6657</v>
      </c>
      <c r="L274" s="1573">
        <v>6850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6657</v>
      </c>
      <c r="E277" s="1673"/>
      <c r="F277" s="1673"/>
      <c r="G277" s="1673"/>
      <c r="H277" s="1673"/>
      <c r="I277" s="1673"/>
      <c r="J277" s="1673"/>
      <c r="K277" s="1674">
        <f>SUM(K272:K276)</f>
        <v>6657</v>
      </c>
      <c r="L277" s="1674">
        <f>SUM(L272:L276)</f>
        <v>6850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460212</v>
      </c>
      <c r="E279" s="1673"/>
      <c r="F279" s="1673"/>
      <c r="G279" s="1673"/>
      <c r="H279" s="1673"/>
      <c r="I279" s="1673"/>
      <c r="J279" s="1673"/>
      <c r="K279" s="1681">
        <f>SUM(K238,K243,K257,K261,K270,K277,K278)</f>
        <v>460212</v>
      </c>
      <c r="L279" s="1681">
        <f>SUM(L238,L243,L257,L261,L270,L277,L278)</f>
        <v>483749</v>
      </c>
    </row>
    <row r="280" spans="1:12" ht="15.75" customHeight="1" thickTop="1" thickBot="1" x14ac:dyDescent="0.25">
      <c r="A280" s="1362" t="s">
        <v>870</v>
      </c>
      <c r="B280" s="1351">
        <v>3000</v>
      </c>
      <c r="C280" s="1673"/>
      <c r="D280" s="1651">
        <v>7487</v>
      </c>
      <c r="E280" s="1673"/>
      <c r="F280" s="1673"/>
      <c r="G280" s="1673"/>
      <c r="H280" s="1673"/>
      <c r="I280" s="1673"/>
      <c r="J280" s="1673"/>
      <c r="K280" s="1687">
        <f>D280</f>
        <v>7487</v>
      </c>
      <c r="L280" s="1651">
        <v>7592</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1811</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56788</v>
      </c>
      <c r="E283" s="1673"/>
      <c r="F283" s="1673"/>
      <c r="G283" s="1673"/>
      <c r="H283" s="1673"/>
      <c r="I283" s="1673"/>
      <c r="J283" s="1673"/>
      <c r="K283" s="1672">
        <f>D283</f>
        <v>56788</v>
      </c>
      <c r="L283" s="1573">
        <v>2940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56788</v>
      </c>
      <c r="E285" s="1673"/>
      <c r="F285" s="1673"/>
      <c r="G285" s="1673"/>
      <c r="H285" s="1673"/>
      <c r="I285" s="1673"/>
      <c r="J285" s="1673"/>
      <c r="K285" s="1674">
        <f>SUM(K282:K284)</f>
        <v>56788</v>
      </c>
      <c r="L285" s="1674">
        <f>SUM(L282:L284)</f>
        <v>2940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90" t="s">
        <v>502</v>
      </c>
      <c r="B295" s="2391"/>
      <c r="C295" s="1673"/>
      <c r="D295" s="1674">
        <f>SUM(D229,D279,D280,D285)</f>
        <v>759102</v>
      </c>
      <c r="E295" s="1673"/>
      <c r="F295" s="1673"/>
      <c r="G295" s="1673"/>
      <c r="H295" s="1674">
        <f>H293</f>
        <v>0</v>
      </c>
      <c r="I295" s="1673"/>
      <c r="J295" s="1673"/>
      <c r="K295" s="1674">
        <f>SUM(K229,K279,K280,K285,K293,K294)</f>
        <v>759102</v>
      </c>
      <c r="L295" s="1674">
        <f>SUM(L229,L279,L280,L285,L293,L294)</f>
        <v>806594</v>
      </c>
    </row>
    <row r="296" spans="1:14" ht="13.5" thickTop="1" x14ac:dyDescent="0.2">
      <c r="A296" s="2372" t="s">
        <v>989</v>
      </c>
      <c r="B296" s="2373"/>
      <c r="C296" s="1673"/>
      <c r="D296" s="1675"/>
      <c r="E296" s="1673"/>
      <c r="F296" s="1673"/>
      <c r="G296" s="1673"/>
      <c r="H296" s="1707"/>
      <c r="I296" s="1673"/>
      <c r="J296" s="1673"/>
      <c r="K296" s="1689">
        <f>'Revenues 9-14'!G268-'Expenditures 15-22'!K295</f>
        <v>31201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82" t="s">
        <v>142</v>
      </c>
      <c r="B298" s="237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38100</v>
      </c>
      <c r="F301" s="1573">
        <v>0</v>
      </c>
      <c r="G301" s="1573">
        <v>1026668</v>
      </c>
      <c r="H301" s="1573">
        <v>0</v>
      </c>
      <c r="I301" s="1574">
        <v>0</v>
      </c>
      <c r="J301" s="1574">
        <v>0</v>
      </c>
      <c r="K301" s="1672">
        <f>SUM(C301:J301)</f>
        <v>1064768</v>
      </c>
      <c r="L301" s="1574">
        <v>1077000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38100</v>
      </c>
      <c r="F303" s="1681">
        <f t="shared" si="23"/>
        <v>0</v>
      </c>
      <c r="G303" s="1681">
        <f t="shared" si="23"/>
        <v>1026668</v>
      </c>
      <c r="H303" s="1681">
        <f t="shared" si="23"/>
        <v>0</v>
      </c>
      <c r="I303" s="1681">
        <f t="shared" si="23"/>
        <v>0</v>
      </c>
      <c r="J303" s="1681">
        <f t="shared" si="23"/>
        <v>0</v>
      </c>
      <c r="K303" s="1681">
        <f t="shared" si="23"/>
        <v>1064768</v>
      </c>
      <c r="L303" s="1681">
        <f t="shared" si="23"/>
        <v>1077000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1816</v>
      </c>
      <c r="B306" s="562" t="s">
        <v>1811</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87" t="s">
        <v>275</v>
      </c>
      <c r="B312" s="2388"/>
      <c r="C312" s="1674">
        <f>SUM(C303)</f>
        <v>0</v>
      </c>
      <c r="D312" s="1674">
        <f>SUM(D303)</f>
        <v>0</v>
      </c>
      <c r="E312" s="1674">
        <f>SUM(E303,E310)</f>
        <v>38100</v>
      </c>
      <c r="F312" s="1674">
        <f>SUM(F303)</f>
        <v>0</v>
      </c>
      <c r="G312" s="1674">
        <f>SUM(G303)</f>
        <v>1026668</v>
      </c>
      <c r="H312" s="1674">
        <f>SUM(H303,H310)</f>
        <v>0</v>
      </c>
      <c r="I312" s="1674">
        <f>SUM(I303)</f>
        <v>0</v>
      </c>
      <c r="J312" s="1674">
        <f>SUM(J303)</f>
        <v>0</v>
      </c>
      <c r="K312" s="1674">
        <f>SUM(K303,K310,K311)</f>
        <v>1064768</v>
      </c>
      <c r="L312" s="1674">
        <f>SUM(L303,L310,L311)</f>
        <v>1077000</v>
      </c>
      <c r="M312" s="539"/>
      <c r="N312" s="539"/>
    </row>
    <row r="313" spans="1:14" ht="13.5" thickTop="1" x14ac:dyDescent="0.2">
      <c r="A313" s="2383" t="s">
        <v>989</v>
      </c>
      <c r="B313" s="2384"/>
      <c r="C313" s="1677"/>
      <c r="D313" s="1677"/>
      <c r="E313" s="1677"/>
      <c r="F313" s="1677"/>
      <c r="G313" s="1677"/>
      <c r="H313" s="1677"/>
      <c r="I313" s="1677"/>
      <c r="J313" s="1677"/>
      <c r="K313" s="1696">
        <f>'Revenues 9-14'!H268-'Expenditures 15-22'!K312</f>
        <v>-6201</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96" t="s">
        <v>148</v>
      </c>
      <c r="B315" s="239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98" t="s">
        <v>892</v>
      </c>
      <c r="B317" s="239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1777</v>
      </c>
      <c r="B320" s="568" t="s">
        <v>280</v>
      </c>
      <c r="C320" s="1574">
        <v>0</v>
      </c>
      <c r="D320" s="1574">
        <v>0</v>
      </c>
      <c r="E320" s="1574">
        <v>115741</v>
      </c>
      <c r="F320" s="1574">
        <v>0</v>
      </c>
      <c r="G320" s="1574">
        <v>0</v>
      </c>
      <c r="H320" s="1574">
        <v>0</v>
      </c>
      <c r="I320" s="1574">
        <v>0</v>
      </c>
      <c r="J320" s="1574">
        <v>0</v>
      </c>
      <c r="K320" s="1672">
        <f t="shared" ref="K320:K327" si="24">SUM(C320:J320)</f>
        <v>115741</v>
      </c>
      <c r="L320" s="1574">
        <v>128225</v>
      </c>
      <c r="M320" s="539"/>
      <c r="N320" s="539"/>
    </row>
    <row r="321" spans="1:14" s="548" customFormat="1" x14ac:dyDescent="0.2">
      <c r="A321" s="1289" t="s">
        <v>297</v>
      </c>
      <c r="B321" s="567" t="s">
        <v>281</v>
      </c>
      <c r="C321" s="1574">
        <v>0</v>
      </c>
      <c r="D321" s="1574">
        <v>0</v>
      </c>
      <c r="E321" s="1574">
        <v>628</v>
      </c>
      <c r="F321" s="1574">
        <v>0</v>
      </c>
      <c r="G321" s="1574">
        <v>0</v>
      </c>
      <c r="H321" s="1574">
        <v>0</v>
      </c>
      <c r="I321" s="1574">
        <v>0</v>
      </c>
      <c r="J321" s="1574">
        <v>0</v>
      </c>
      <c r="K321" s="1672">
        <f t="shared" si="24"/>
        <v>628</v>
      </c>
      <c r="L321" s="1574">
        <v>5000</v>
      </c>
      <c r="M321" s="539"/>
      <c r="N321" s="539"/>
    </row>
    <row r="322" spans="1:14" s="548" customFormat="1" x14ac:dyDescent="0.2">
      <c r="A322" s="1289" t="s">
        <v>236</v>
      </c>
      <c r="B322" s="567" t="s">
        <v>282</v>
      </c>
      <c r="C322" s="1574">
        <v>0</v>
      </c>
      <c r="D322" s="1574">
        <v>0</v>
      </c>
      <c r="E322" s="1574">
        <v>25923</v>
      </c>
      <c r="F322" s="1574">
        <v>0</v>
      </c>
      <c r="G322" s="1574">
        <v>0</v>
      </c>
      <c r="H322" s="1574">
        <v>0</v>
      </c>
      <c r="I322" s="1574">
        <v>0</v>
      </c>
      <c r="J322" s="1574">
        <v>0</v>
      </c>
      <c r="K322" s="1672">
        <f t="shared" si="24"/>
        <v>25923</v>
      </c>
      <c r="L322" s="1574">
        <v>43125</v>
      </c>
      <c r="M322" s="539"/>
      <c r="N322" s="539"/>
    </row>
    <row r="323" spans="1:14" s="548" customFormat="1" x14ac:dyDescent="0.2">
      <c r="A323" s="1289" t="s">
        <v>697</v>
      </c>
      <c r="B323" s="567" t="s">
        <v>283</v>
      </c>
      <c r="C323" s="1574">
        <v>196811</v>
      </c>
      <c r="D323" s="1574">
        <v>20544</v>
      </c>
      <c r="E323" s="1574">
        <v>3000</v>
      </c>
      <c r="F323" s="1574">
        <v>0</v>
      </c>
      <c r="G323" s="1574">
        <v>0</v>
      </c>
      <c r="H323" s="1574">
        <v>0</v>
      </c>
      <c r="I323" s="1574">
        <v>0</v>
      </c>
      <c r="J323" s="1574">
        <v>0</v>
      </c>
      <c r="K323" s="1672">
        <f t="shared" si="24"/>
        <v>220355</v>
      </c>
      <c r="L323" s="1574">
        <v>245965</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222317</v>
      </c>
      <c r="F328" s="1579">
        <v>0</v>
      </c>
      <c r="G328" s="1579">
        <v>0</v>
      </c>
      <c r="H328" s="1579">
        <v>0</v>
      </c>
      <c r="I328" s="1579">
        <v>0</v>
      </c>
      <c r="J328" s="1579">
        <v>0</v>
      </c>
      <c r="K328" s="1713">
        <f>SUM(C328:J328)</f>
        <v>222317</v>
      </c>
      <c r="L328" s="1579">
        <v>245000</v>
      </c>
      <c r="M328" s="539"/>
      <c r="N328" s="539"/>
    </row>
    <row r="329" spans="1:14" s="548" customFormat="1" x14ac:dyDescent="0.2">
      <c r="A329" s="1290" t="s">
        <v>1123</v>
      </c>
      <c r="B329" s="562" t="s">
        <v>1124</v>
      </c>
      <c r="C329" s="1579">
        <v>0</v>
      </c>
      <c r="D329" s="1579">
        <v>0</v>
      </c>
      <c r="E329" s="1579">
        <v>34626</v>
      </c>
      <c r="F329" s="1579">
        <v>0</v>
      </c>
      <c r="G329" s="1579">
        <v>0</v>
      </c>
      <c r="H329" s="1579">
        <v>0</v>
      </c>
      <c r="I329" s="1579">
        <v>0</v>
      </c>
      <c r="J329" s="1579">
        <v>0</v>
      </c>
      <c r="K329" s="1713">
        <f>SUM(C329:J329)</f>
        <v>34626</v>
      </c>
      <c r="L329" s="1579">
        <v>40000</v>
      </c>
      <c r="M329" s="539"/>
      <c r="N329" s="539"/>
    </row>
    <row r="330" spans="1:14" s="548" customFormat="1" ht="12.75" customHeight="1" thickBot="1" x14ac:dyDescent="0.25">
      <c r="A330" s="1401" t="s">
        <v>712</v>
      </c>
      <c r="B330" s="1381" t="s">
        <v>565</v>
      </c>
      <c r="C330" s="1674">
        <f>SUM(C319:C329)</f>
        <v>196811</v>
      </c>
      <c r="D330" s="1674">
        <f t="shared" ref="D330:J330" si="25">SUM(D319:D329)</f>
        <v>20544</v>
      </c>
      <c r="E330" s="1674">
        <f t="shared" si="25"/>
        <v>402235</v>
      </c>
      <c r="F330" s="1674">
        <f t="shared" si="25"/>
        <v>0</v>
      </c>
      <c r="G330" s="1674">
        <f t="shared" si="25"/>
        <v>0</v>
      </c>
      <c r="H330" s="1674">
        <f t="shared" si="25"/>
        <v>0</v>
      </c>
      <c r="I330" s="1674">
        <f t="shared" si="25"/>
        <v>0</v>
      </c>
      <c r="J330" s="1674">
        <f t="shared" si="25"/>
        <v>0</v>
      </c>
      <c r="K330" s="1674">
        <f>SUM(K319:K329)</f>
        <v>619590</v>
      </c>
      <c r="L330" s="1674">
        <f>SUM(L319:L329)</f>
        <v>707315</v>
      </c>
      <c r="M330" s="539"/>
      <c r="N330" s="539"/>
    </row>
    <row r="331" spans="1:14" s="548" customFormat="1" ht="12.75" customHeight="1" thickTop="1" x14ac:dyDescent="0.2">
      <c r="A331" s="1467" t="s">
        <v>1817</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1811</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1813</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1818</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196811</v>
      </c>
      <c r="D342" s="1674">
        <f>SUM(D330)</f>
        <v>20544</v>
      </c>
      <c r="E342" s="1674">
        <f>SUM(E330)</f>
        <v>402235</v>
      </c>
      <c r="F342" s="1674">
        <f>SUM(F330)</f>
        <v>0</v>
      </c>
      <c r="G342" s="1674">
        <f>SUM(G330)</f>
        <v>0</v>
      </c>
      <c r="H342" s="1674">
        <f>SUM(H330,H334,H340)</f>
        <v>0</v>
      </c>
      <c r="I342" s="1674">
        <f>SUM(I330)</f>
        <v>0</v>
      </c>
      <c r="J342" s="1674">
        <f>SUM(J330)</f>
        <v>0</v>
      </c>
      <c r="K342" s="1674">
        <f>SUM(K330,K334,K340)</f>
        <v>619590</v>
      </c>
      <c r="L342" s="1681">
        <f>SUM(L330,L334,L340,L341)</f>
        <v>707315</v>
      </c>
    </row>
    <row r="343" spans="1:14" ht="12.75" customHeight="1" thickTop="1" x14ac:dyDescent="0.2">
      <c r="A343" s="2385" t="s">
        <v>989</v>
      </c>
      <c r="B343" s="2386"/>
      <c r="C343" s="1673"/>
      <c r="D343" s="1673"/>
      <c r="E343" s="1673"/>
      <c r="F343" s="1673"/>
      <c r="G343" s="1673"/>
      <c r="H343" s="1673"/>
      <c r="I343" s="1673"/>
      <c r="J343" s="1673"/>
      <c r="K343" s="1689">
        <f>'Revenues 9-14'!J268-'Expenditures 15-22'!K342</f>
        <v>-21230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75" t="s">
        <v>960</v>
      </c>
      <c r="B345" s="237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51503</v>
      </c>
      <c r="H348" s="1573">
        <v>0</v>
      </c>
      <c r="I348" s="1574">
        <v>0</v>
      </c>
      <c r="J348" s="1574">
        <v>0</v>
      </c>
      <c r="K348" s="1672">
        <f>SUM(C348:J348)</f>
        <v>51503</v>
      </c>
      <c r="L348" s="1573">
        <v>51600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51503</v>
      </c>
      <c r="H350" s="1674">
        <f t="shared" si="26"/>
        <v>0</v>
      </c>
      <c r="I350" s="1674">
        <f t="shared" si="26"/>
        <v>0</v>
      </c>
      <c r="J350" s="1674">
        <f t="shared" si="26"/>
        <v>0</v>
      </c>
      <c r="K350" s="1674">
        <f t="shared" si="26"/>
        <v>51503</v>
      </c>
      <c r="L350" s="1674">
        <f t="shared" si="26"/>
        <v>51600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51503</v>
      </c>
      <c r="H352" s="1674">
        <f t="shared" si="27"/>
        <v>0</v>
      </c>
      <c r="I352" s="1674">
        <f t="shared" si="27"/>
        <v>0</v>
      </c>
      <c r="J352" s="1674">
        <f t="shared" si="27"/>
        <v>0</v>
      </c>
      <c r="K352" s="1674">
        <f t="shared" si="27"/>
        <v>51503</v>
      </c>
      <c r="L352" s="1674">
        <f t="shared" si="27"/>
        <v>51600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1819</v>
      </c>
      <c r="B354" s="557" t="s">
        <v>1811</v>
      </c>
      <c r="C354" s="1673"/>
      <c r="D354" s="1673"/>
      <c r="E354" s="1673"/>
      <c r="F354" s="1673"/>
      <c r="G354" s="1673"/>
      <c r="H354" s="1579">
        <v>0</v>
      </c>
      <c r="I354" s="1716"/>
      <c r="J354" s="1673"/>
      <c r="K354" s="1713">
        <f>H354</f>
        <v>0</v>
      </c>
      <c r="L354" s="1577">
        <v>0</v>
      </c>
    </row>
    <row r="355" spans="1:14" ht="12.75" customHeight="1" x14ac:dyDescent="0.2">
      <c r="A355" s="1283" t="s">
        <v>1820</v>
      </c>
      <c r="B355" s="562" t="s">
        <v>1813</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1652</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51503</v>
      </c>
      <c r="H367" s="1674">
        <f t="shared" si="28"/>
        <v>0</v>
      </c>
      <c r="I367" s="1674">
        <f t="shared" si="28"/>
        <v>0</v>
      </c>
      <c r="J367" s="1674">
        <f t="shared" si="28"/>
        <v>0</v>
      </c>
      <c r="K367" s="1674">
        <f t="shared" si="28"/>
        <v>51503</v>
      </c>
      <c r="L367" s="1674">
        <f t="shared" si="28"/>
        <v>51600</v>
      </c>
    </row>
    <row r="368" spans="1:14" ht="13.5" thickTop="1" x14ac:dyDescent="0.2">
      <c r="A368" s="2372" t="s">
        <v>989</v>
      </c>
      <c r="B368" s="2373"/>
      <c r="C368" s="1694"/>
      <c r="D368" s="1694"/>
      <c r="E368" s="1677"/>
      <c r="F368" s="1677"/>
      <c r="G368" s="1677"/>
      <c r="H368" s="1677"/>
      <c r="I368" s="1677"/>
      <c r="J368" s="1676"/>
      <c r="K368" s="1672">
        <f>'Revenues 9-14'!K268-'Expenditures 15-22'!K367</f>
        <v>-9785</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25" right="0.25"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http://purl.org/dc/dcmitype/"/>
    <ds:schemaRef ds:uri="32161f05-83f6-4fea-b805-ba1f5854d304"/>
    <ds:schemaRef ds:uri="bea92097-1ed7-4821-b721-f1cc4a6e9d01"/>
    <ds:schemaRef ds:uri="http://www.w3.org/XML/1998/namespace"/>
    <ds:schemaRef ds:uri="d21dc803-237d-4c68-8692-8d731fd29118"/>
    <ds:schemaRef ds:uri="6ce3111e-7420-4802-b50a-75d4e9a0b980"/>
    <ds:schemaRef ds:uri="http://schemas.microsoft.com/sharepoint/v3"/>
    <ds:schemaRef ds:uri="4d435f69-8686-490b-bd6d-b153bf22ab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 20</vt:lpstr>
      <vt:lpstr> SEFA</vt:lpstr>
      <vt:lpstr>SEFA NOTES</vt:lpstr>
      <vt:lpstr>SF&amp;QC Sec-1</vt:lpstr>
      <vt:lpstr>SF&amp;QC Sec-2</vt:lpstr>
      <vt:lpstr>SF&amp;QC Sec-3</vt:lpstr>
      <vt:lpstr>SSPAF</vt:lpstr>
      <vt:lpstr>CAP 2020-001</vt:lpstr>
      <vt:lpstr>CAP 2020-002</vt:lpstr>
      <vt:lpstr>' SEFA'!Print_Area</vt:lpstr>
      <vt:lpstr>'SEFA 20'!Print_Area</vt:lpstr>
      <vt:lpstr>'SEFA NOTES'!Print_Area</vt:lpstr>
      <vt:lpstr>'SEFA Reconcile'!Print_Area</vt:lpstr>
      <vt:lpstr>'SF&amp;QC Sec-1'!Print_Area</vt:lpstr>
      <vt:lpstr>'SF&amp;QC Sec-3'!Print_Area</vt:lpstr>
      <vt:lpstr>'Single Audit Checklist'!Print_Area</vt:lpstr>
      <vt:lpstr>'Single Audit Cover'!Print_Area</vt:lpstr>
      <vt:lpstr>'SEFA 20'!Print_Area_MI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2021-01-13T15:19:29Z</cp:lastPrinted>
  <dcterms:created xsi:type="dcterms:W3CDTF">2003-10-29T19:06:34Z</dcterms:created>
  <dcterms:modified xsi:type="dcterms:W3CDTF">2021-01-20T02:18:46Z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