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0E9FAAA8-FE51-4029-817C-BC5B1B787DE8}"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85" r:id="rId29"/>
    <sheet name="SEFA NOTES (2)" sheetId="186" r:id="rId30"/>
    <sheet name="SEFA NOTES" sheetId="173" state="hidden" r:id="rId31"/>
    <sheet name="SF&amp;QC Sec-1" sheetId="174" r:id="rId32"/>
    <sheet name="Finding 2020-001" sheetId="175" r:id="rId33"/>
    <sheet name="SF&amp;QC Sec-3" sheetId="176" r:id="rId34"/>
    <sheet name="SSPAF" sheetId="177" r:id="rId35"/>
    <sheet name="CAP 2020-001" sheetId="187" r:id="rId36"/>
  </sheets>
  <externalReferences>
    <externalReference r:id="rId37"/>
    <externalReference r:id="rId38"/>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goof" localSheetId="29">#REF!</definedName>
    <definedName name="goof">#REF!</definedName>
    <definedName name="oops" localSheetId="29">#REF!</definedName>
    <definedName name="oops">#REF!</definedName>
    <definedName name="pass" localSheetId="35">#REF!</definedName>
    <definedName name="pass">#REF!</definedName>
    <definedName name="pass1" localSheetId="35">#REF!</definedName>
    <definedName name="pass1">#REF!</definedName>
    <definedName name="pass2" localSheetId="35">#REF!</definedName>
    <definedName name="pass2">#REF!</definedName>
    <definedName name="pass3" localSheetId="35">#REF!</definedName>
    <definedName name="pass3">#REF!</definedName>
    <definedName name="pass4" localSheetId="35">#REF!</definedName>
    <definedName name="pass4">#REF!</definedName>
    <definedName name="_xlnm.Print_Area" localSheetId="27">' SEFA'!$B$1:$M$46</definedName>
    <definedName name="_xlnm.Print_Area" localSheetId="30">'SEFA NOTES'!$A$1:$F$52</definedName>
    <definedName name="_xlnm.Print_Area" localSheetId="29">'SEFA NOTES (2)'!$A$1:$F$61</definedName>
    <definedName name="_xlnm.Print_Area" localSheetId="26">'SEFA Reconcile'!$A$1:$E$49</definedName>
    <definedName name="_xlnm.Print_Area" localSheetId="28">SEFA20!$A$11:$S$134</definedName>
    <definedName name="_xlnm.Print_Area" localSheetId="31">'SF&amp;QC Sec-1'!$A$1:$J$63</definedName>
    <definedName name="_xlnm.Print_Area" localSheetId="33">'SF&amp;QC Sec-3'!$A$1:$K$48</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Print_Area_MI" localSheetId="28">SEFA20!$B$14:$S$94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SEFA20!$A:$B,SEFA20!$1:$11</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5">#REF!</definedName>
    <definedName name="SCHADDRS" localSheetId="14">#REF!</definedName>
    <definedName name="SCHADDRS" localSheetId="21">#REF!</definedName>
    <definedName name="SCHADDRS" localSheetId="4">#REF!</definedName>
    <definedName name="SCHADDRS" localSheetId="32">#REF!</definedName>
    <definedName name="SCHADDRS" localSheetId="30">#REF!</definedName>
    <definedName name="SCHADDRS" localSheetId="29">#REF!</definedName>
    <definedName name="SCHADDRS" localSheetId="26">#REF!</definedName>
    <definedName name="SCHADDRS" localSheetId="28">#REF!</definedName>
    <definedName name="SCHADDRS" localSheetId="31">#REF!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14">#REF!</definedName>
    <definedName name="SCHCTY" localSheetId="21">#REF!</definedName>
    <definedName name="SCHCTY" localSheetId="4">#REF!</definedName>
    <definedName name="SCHCTY" localSheetId="32">#REF!</definedName>
    <definedName name="SCHCTY" localSheetId="30">#REF!</definedName>
    <definedName name="SCHCTY" localSheetId="29">#REF!</definedName>
    <definedName name="SCHCTY" localSheetId="26">#REF!</definedName>
    <definedName name="SCHCTY" localSheetId="28">#REF!</definedName>
    <definedName name="SCHCTY" localSheetId="31">#REF!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14">#REF!</definedName>
    <definedName name="SCHNMBR" localSheetId="21">#REF!</definedName>
    <definedName name="SCHNMBR" localSheetId="4">#REF!</definedName>
    <definedName name="SCHNMBR" localSheetId="32">#REF!</definedName>
    <definedName name="SCHNMBR" localSheetId="30">#REF!</definedName>
    <definedName name="SCHNMBR" localSheetId="29">#REF!</definedName>
    <definedName name="SCHNMBR" localSheetId="26">#REF!</definedName>
    <definedName name="SCHNMBR" localSheetId="28">#REF!</definedName>
    <definedName name="SCHNMBR" localSheetId="31">#REF!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14">#REF!</definedName>
    <definedName name="SCHNME" localSheetId="21">#REF!</definedName>
    <definedName name="SCHNME" localSheetId="4">#REF!</definedName>
    <definedName name="SCHNME" localSheetId="32">#REF!</definedName>
    <definedName name="SCHNME" localSheetId="30">#REF!</definedName>
    <definedName name="SCHNME" localSheetId="29">#REF!</definedName>
    <definedName name="SCHNME" localSheetId="26">#REF!</definedName>
    <definedName name="SCHNME" localSheetId="28">#REF!</definedName>
    <definedName name="SCHNME" localSheetId="31">#REF!</definedName>
    <definedName name="SCHNME" localSheetId="33">#REF!</definedName>
    <definedName name="SCHNME" localSheetId="25">#REF!</definedName>
    <definedName name="SCHNME" localSheetId="24">#REF!</definedName>
    <definedName name="SCHNME" localSheetId="34">#REF!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5">#REF!</definedName>
    <definedName name="SUPT" localSheetId="14">#REF!</definedName>
    <definedName name="SUPT" localSheetId="21">#REF!</definedName>
    <definedName name="SUPT" localSheetId="4">#REF!</definedName>
    <definedName name="SUPT" localSheetId="32">#REF!</definedName>
    <definedName name="SUPT" localSheetId="30">#REF!</definedName>
    <definedName name="SUPT" localSheetId="29">#REF!</definedName>
    <definedName name="SUPT" localSheetId="26">#REF!</definedName>
    <definedName name="SUPT" localSheetId="28">#REF!</definedName>
    <definedName name="SUPT" localSheetId="31">#REF!</definedName>
    <definedName name="SUPT" localSheetId="33">#REF!</definedName>
    <definedName name="SUPT" localSheetId="25">#REF!</definedName>
    <definedName name="SUPT" localSheetId="24">#REF!</definedName>
    <definedName name="SUPT" localSheetId="34">#REF!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2" i="183" l="1"/>
  <c r="E18" i="183"/>
  <c r="D142" i="183"/>
  <c r="J34" i="8" l="1"/>
  <c r="J33" i="8"/>
  <c r="J32" i="8"/>
  <c r="J31" i="8"/>
  <c r="I36" i="185" l="1"/>
  <c r="B3" i="187" l="1"/>
  <c r="B2" i="187"/>
  <c r="G39" i="174" l="1"/>
  <c r="E34" i="186"/>
  <c r="O116" i="185" l="1"/>
  <c r="O118" i="185" s="1"/>
  <c r="O126" i="185" s="1"/>
  <c r="M116" i="185"/>
  <c r="K116" i="185"/>
  <c r="I116" i="185"/>
  <c r="G116" i="185"/>
  <c r="Q115" i="185"/>
  <c r="Q114" i="185"/>
  <c r="Q116" i="185" s="1"/>
  <c r="M110" i="185"/>
  <c r="K110" i="185"/>
  <c r="I110" i="185"/>
  <c r="G110" i="185"/>
  <c r="G118" i="185" s="1"/>
  <c r="Q109" i="185"/>
  <c r="Q110" i="185" s="1"/>
  <c r="Q108" i="185"/>
  <c r="Q101" i="185"/>
  <c r="M94" i="185"/>
  <c r="K94" i="185"/>
  <c r="I94" i="185"/>
  <c r="G94" i="185"/>
  <c r="Q93" i="185"/>
  <c r="Q92" i="185"/>
  <c r="Q88" i="185"/>
  <c r="Q87" i="185"/>
  <c r="O83" i="185"/>
  <c r="M83" i="185"/>
  <c r="K83" i="185"/>
  <c r="I83" i="185"/>
  <c r="G83" i="185"/>
  <c r="Q82" i="185"/>
  <c r="Q81" i="185"/>
  <c r="Q75" i="185"/>
  <c r="O73" i="185"/>
  <c r="M73" i="185"/>
  <c r="K73" i="185"/>
  <c r="G73" i="185"/>
  <c r="Q72" i="185"/>
  <c r="Q73" i="185" s="1"/>
  <c r="Q71" i="185"/>
  <c r="I71" i="185"/>
  <c r="I73" i="185" s="1"/>
  <c r="O68" i="185"/>
  <c r="M68" i="185"/>
  <c r="K68" i="185"/>
  <c r="I68" i="185"/>
  <c r="G68" i="185"/>
  <c r="Q67" i="185"/>
  <c r="Q68" i="185" s="1"/>
  <c r="O64" i="185"/>
  <c r="M64" i="185"/>
  <c r="K64" i="185"/>
  <c r="I64" i="185"/>
  <c r="G64" i="185"/>
  <c r="Q63" i="185"/>
  <c r="Q60" i="185"/>
  <c r="Q59" i="185"/>
  <c r="O57" i="185"/>
  <c r="M57" i="185"/>
  <c r="K57" i="185"/>
  <c r="I57" i="185"/>
  <c r="G57" i="185"/>
  <c r="Q56" i="185"/>
  <c r="Q55" i="185"/>
  <c r="Q57" i="185" s="1"/>
  <c r="O53" i="185"/>
  <c r="M53" i="185"/>
  <c r="K53" i="185"/>
  <c r="I53" i="185"/>
  <c r="G53" i="185"/>
  <c r="Q52" i="185"/>
  <c r="Q50" i="185"/>
  <c r="Q49" i="185"/>
  <c r="Q53" i="185" s="1"/>
  <c r="I49" i="185"/>
  <c r="O40" i="185"/>
  <c r="M40" i="185"/>
  <c r="K40" i="185"/>
  <c r="I40" i="185"/>
  <c r="G40" i="185"/>
  <c r="Q39" i="185"/>
  <c r="Q40" i="185" s="1"/>
  <c r="O36" i="185"/>
  <c r="M36" i="185"/>
  <c r="K36" i="185"/>
  <c r="G36" i="185"/>
  <c r="Q35" i="185"/>
  <c r="Q33" i="185"/>
  <c r="Q27" i="185"/>
  <c r="Q26" i="185"/>
  <c r="Q24" i="185"/>
  <c r="Q23" i="185"/>
  <c r="Q21" i="185"/>
  <c r="Q20" i="185"/>
  <c r="M18" i="185"/>
  <c r="K18" i="185"/>
  <c r="I18" i="185"/>
  <c r="G18" i="185"/>
  <c r="Q17" i="185"/>
  <c r="Q16" i="185"/>
  <c r="M9" i="185"/>
  <c r="K9" i="185"/>
  <c r="M8" i="185"/>
  <c r="K8" i="185"/>
  <c r="Q77" i="185" l="1"/>
  <c r="Q103" i="185" s="1"/>
  <c r="Q83" i="185"/>
  <c r="K43" i="185"/>
  <c r="Q64" i="185"/>
  <c r="Q69" i="185" s="1"/>
  <c r="Q94" i="185"/>
  <c r="I43" i="185"/>
  <c r="G126" i="185"/>
  <c r="Q36" i="185"/>
  <c r="M118" i="185"/>
  <c r="M126" i="185" s="1"/>
  <c r="G69" i="185"/>
  <c r="G77" i="185" s="1"/>
  <c r="Q18" i="185"/>
  <c r="Q43" i="185" s="1"/>
  <c r="I69" i="185"/>
  <c r="G43" i="185"/>
  <c r="M69" i="185"/>
  <c r="K69" i="185"/>
  <c r="K77" i="185" s="1"/>
  <c r="O69" i="185"/>
  <c r="O77" i="185" s="1"/>
  <c r="Q118" i="185"/>
  <c r="Q126" i="185" s="1"/>
  <c r="M43" i="185"/>
  <c r="I118" i="185"/>
  <c r="I126" i="185" s="1"/>
  <c r="O43" i="185"/>
  <c r="K118" i="185"/>
  <c r="K126" i="185" s="1"/>
  <c r="I77" i="185"/>
  <c r="I103" i="185" s="1"/>
  <c r="M77" i="185"/>
  <c r="M103" i="185" s="1"/>
  <c r="M120" i="185" s="1"/>
  <c r="I120" i="185" l="1"/>
  <c r="G103" i="185"/>
  <c r="G120" i="185" s="1"/>
  <c r="G124" i="185"/>
  <c r="G128" i="185" s="1"/>
  <c r="I124" i="185"/>
  <c r="I128" i="185" s="1"/>
  <c r="O103" i="185"/>
  <c r="O120" i="185" s="1"/>
  <c r="O124" i="185"/>
  <c r="O128" i="185" s="1"/>
  <c r="K103" i="185"/>
  <c r="K120" i="185" s="1"/>
  <c r="K124" i="185"/>
  <c r="K128" i="185" s="1"/>
  <c r="M124" i="185"/>
  <c r="M128" i="185" s="1"/>
  <c r="Q124" i="185"/>
  <c r="Q128" i="185" s="1"/>
  <c r="Q120" i="185"/>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7" i="183"/>
  <c r="F17" i="183" s="1"/>
  <c r="F18" i="183" l="1"/>
  <c r="F142" i="183" s="1"/>
  <c r="B7883" i="106"/>
  <c r="D7883" i="106" s="1"/>
  <c r="D7836" i="106" l="1"/>
  <c r="J88" i="28" l="1"/>
  <c r="J85" i="28"/>
  <c r="J90" i="28" s="1"/>
  <c r="B7819" i="106" l="1"/>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5"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33" i="118"/>
  <c r="L22" i="37"/>
  <c r="D24" i="37" l="1"/>
  <c r="B4270" i="106" s="1"/>
  <c r="D4270" i="106" s="1"/>
  <c r="D22" i="37"/>
  <c r="H28" i="118"/>
  <c r="J22" i="37"/>
  <c r="F19" i="7"/>
  <c r="B1807" i="106" s="1"/>
  <c r="D1807" i="106" s="1"/>
  <c r="D54" i="36"/>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I7" i="4" l="1"/>
  <c r="B4444" i="106" s="1"/>
  <c r="D4444" i="106" s="1"/>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7" i="34" l="1"/>
  <c r="B7812" i="106"/>
  <c r="D7812" i="106" s="1"/>
  <c r="F168" i="34"/>
  <c r="B7816" i="106"/>
  <c r="D7816" i="106" s="1"/>
  <c r="L334" i="29" l="1"/>
  <c r="K133" i="29" l="1"/>
  <c r="B7774" i="106"/>
  <c r="D7774" i="106" s="1"/>
  <c r="B7775" i="106"/>
  <c r="D7775" i="106" s="1"/>
  <c r="K158" i="29"/>
  <c r="B7780" i="106" s="1"/>
  <c r="D7780" i="106" s="1"/>
  <c r="B7779" i="106"/>
  <c r="D7779" i="106" s="1"/>
  <c r="B7781" i="106"/>
  <c r="D7781" i="106" s="1"/>
  <c r="K159" i="29"/>
  <c r="B7782" i="106" s="1"/>
  <c r="D7782" i="106" s="1"/>
  <c r="K282" i="29"/>
  <c r="B7783" i="106"/>
  <c r="D7783" i="106" s="1"/>
  <c r="B7785" i="106"/>
  <c r="D7785" i="106" s="1"/>
  <c r="H334" i="29"/>
  <c r="B7789" i="106" s="1"/>
  <c r="D7789" i="106" s="1"/>
  <c r="K332" i="29"/>
  <c r="K333" i="29"/>
  <c r="B7788" i="106" s="1"/>
  <c r="D7788" i="106" s="1"/>
  <c r="B7787" i="106"/>
  <c r="D7787" i="106" s="1"/>
  <c r="K354" i="29"/>
  <c r="B7791" i="106"/>
  <c r="D7791" i="106" s="1"/>
  <c r="K355" i="29"/>
  <c r="B7794" i="106" s="1"/>
  <c r="D7794" i="106" s="1"/>
  <c r="B7793" i="106"/>
  <c r="D7793" i="106" s="1"/>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0" i="106"/>
  <c r="D6300"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4" i="106"/>
  <c r="D5724"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3" i="106"/>
  <c r="D5063"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70" i="29" l="1"/>
  <c r="L285" i="29"/>
  <c r="D34" i="36"/>
  <c r="B3411" i="106"/>
  <c r="D3411" i="106" s="1"/>
  <c r="B2792" i="106"/>
  <c r="D2792" i="106" s="1"/>
  <c r="K108" i="29"/>
  <c r="B2796" i="106" s="1"/>
  <c r="D2796" i="106" s="1"/>
  <c r="B6998" i="106"/>
  <c r="D6998" i="106" s="1"/>
  <c r="K94" i="29"/>
  <c r="B6999" i="106" s="1"/>
  <c r="D6999" i="106" s="1"/>
  <c r="K82" i="29"/>
  <c r="B2977" i="106" s="1"/>
  <c r="D2977" i="106" s="1"/>
  <c r="B2953" i="106"/>
  <c r="D2953" i="106" s="1"/>
  <c r="B988" i="106"/>
  <c r="D988" i="106" s="1"/>
  <c r="K73" i="29"/>
  <c r="B1142" i="106" s="1"/>
  <c r="D1142" i="106" s="1"/>
  <c r="B754" i="106"/>
  <c r="D754" i="106" s="1"/>
  <c r="B748" i="106"/>
  <c r="D748" i="106" s="1"/>
  <c r="K69" i="29"/>
  <c r="B1136" i="106" s="1"/>
  <c r="D1136" i="106" s="1"/>
  <c r="B978" i="106"/>
  <c r="D978" i="106" s="1"/>
  <c r="B743" i="106"/>
  <c r="D743" i="106" s="1"/>
  <c r="B973" i="106"/>
  <c r="D973" i="106" s="1"/>
  <c r="B740" i="106"/>
  <c r="D740" i="106" s="1"/>
  <c r="B970" i="106"/>
  <c r="D970" i="106" s="1"/>
  <c r="B736" i="106"/>
  <c r="D736" i="106" s="1"/>
  <c r="B6936" i="106"/>
  <c r="D6936" i="106" s="1"/>
  <c r="K51" i="29"/>
  <c r="B2718" i="106"/>
  <c r="D2718" i="106" s="1"/>
  <c r="B964" i="106"/>
  <c r="D964" i="106" s="1"/>
  <c r="K46" i="29"/>
  <c r="B1118" i="106" s="1"/>
  <c r="D1118" i="106" s="1"/>
  <c r="B730" i="106"/>
  <c r="D730" i="106" s="1"/>
  <c r="B960" i="106"/>
  <c r="D960" i="106" s="1"/>
  <c r="G47" i="29"/>
  <c r="B963" i="106" s="1"/>
  <c r="D963" i="106" s="1"/>
  <c r="B726" i="106"/>
  <c r="D726" i="106" s="1"/>
  <c r="K38" i="29"/>
  <c r="B1111" i="106" s="1"/>
  <c r="D1111" i="106" s="1"/>
  <c r="B723" i="106"/>
  <c r="D723" i="106" s="1"/>
  <c r="B953" i="106"/>
  <c r="D953" i="106" s="1"/>
  <c r="G42" i="29"/>
  <c r="K25" i="29"/>
  <c r="B6886" i="106"/>
  <c r="D6886" i="106" s="1"/>
  <c r="L100" i="29"/>
  <c r="B2791" i="106"/>
  <c r="D2791" i="106" s="1"/>
  <c r="K107" i="29"/>
  <c r="B2795" i="106" s="1"/>
  <c r="D2795" i="106" s="1"/>
  <c r="B6996" i="106"/>
  <c r="D6996" i="106" s="1"/>
  <c r="H100" i="29"/>
  <c r="B7012" i="106" s="1"/>
  <c r="D7012" i="106" s="1"/>
  <c r="K93" i="29"/>
  <c r="F72" i="29"/>
  <c r="B927" i="106" s="1"/>
  <c r="D927" i="106" s="1"/>
  <c r="B920" i="106"/>
  <c r="D920" i="106" s="1"/>
  <c r="F65" i="29"/>
  <c r="B919" i="106" s="1"/>
  <c r="D919" i="106" s="1"/>
  <c r="B912" i="106"/>
  <c r="D912" i="106" s="1"/>
  <c r="B6945" i="106"/>
  <c r="D6945" i="106" s="1"/>
  <c r="J57" i="29"/>
  <c r="B6949" i="106" s="1"/>
  <c r="D6949" i="106" s="1"/>
  <c r="B906" i="106"/>
  <c r="D906" i="106" s="1"/>
  <c r="F53" i="29"/>
  <c r="B908" i="106" s="1"/>
  <c r="D908" i="106" s="1"/>
  <c r="B902" i="106"/>
  <c r="D902" i="106" s="1"/>
  <c r="F47" i="29"/>
  <c r="B905" i="106" s="1"/>
  <c r="D905" i="106" s="1"/>
  <c r="F42" i="29"/>
  <c r="B895" i="106"/>
  <c r="D895" i="106" s="1"/>
  <c r="B6884" i="106"/>
  <c r="D6884" i="106" s="1"/>
  <c r="K24" i="29"/>
  <c r="B3367" i="106"/>
  <c r="D3367" i="106" s="1"/>
  <c r="K19" i="29"/>
  <c r="B3381" i="106" s="1"/>
  <c r="D3381" i="106" s="1"/>
  <c r="B706" i="106"/>
  <c r="D706" i="106" s="1"/>
  <c r="B717" i="106"/>
  <c r="D717" i="106" s="1"/>
  <c r="K13" i="29"/>
  <c r="B1105" i="106" s="1"/>
  <c r="D1105" i="106" s="1"/>
  <c r="K10" i="29"/>
  <c r="B3062" i="106" s="1"/>
  <c r="D3062" i="106" s="1"/>
  <c r="B3055" i="106"/>
  <c r="D3055" i="106" s="1"/>
  <c r="K7" i="29"/>
  <c r="B6727" i="106"/>
  <c r="D6727" i="106" s="1"/>
  <c r="B6031" i="106"/>
  <c r="D6031" i="106" s="1"/>
  <c r="B5080" i="106"/>
  <c r="D5080" i="106" s="1"/>
  <c r="B5107" i="106"/>
  <c r="D5107" i="106" s="1"/>
  <c r="F99" i="34"/>
  <c r="L92" i="29"/>
  <c r="K106" i="29"/>
  <c r="B1147" i="106" s="1"/>
  <c r="D1147" i="106" s="1"/>
  <c r="B1049" i="106"/>
  <c r="D1049" i="106" s="1"/>
  <c r="B6993" i="106"/>
  <c r="D6993" i="106" s="1"/>
  <c r="K91" i="29"/>
  <c r="B6994" i="106" s="1"/>
  <c r="D6994" i="106" s="1"/>
  <c r="K81" i="29"/>
  <c r="B2976" i="106" s="1"/>
  <c r="D2976" i="106" s="1"/>
  <c r="B2952" i="106"/>
  <c r="D2952" i="106" s="1"/>
  <c r="E72" i="29"/>
  <c r="B869" i="106" s="1"/>
  <c r="D869" i="106" s="1"/>
  <c r="B862" i="106"/>
  <c r="D862" i="106" s="1"/>
  <c r="B854" i="106"/>
  <c r="D854" i="106" s="1"/>
  <c r="E65" i="29"/>
  <c r="B861" i="106" s="1"/>
  <c r="D861" i="106" s="1"/>
  <c r="B6944" i="106"/>
  <c r="D6944" i="106" s="1"/>
  <c r="I57" i="29"/>
  <c r="B6948" i="106" s="1"/>
  <c r="D6948" i="106" s="1"/>
  <c r="B848" i="106"/>
  <c r="D848" i="106" s="1"/>
  <c r="E53" i="29"/>
  <c r="B850" i="106" s="1"/>
  <c r="D850" i="106" s="1"/>
  <c r="B844" i="106"/>
  <c r="D844" i="106" s="1"/>
  <c r="E47" i="29"/>
  <c r="B847" i="106" s="1"/>
  <c r="D847" i="106" s="1"/>
  <c r="E42" i="29"/>
  <c r="B837" i="106"/>
  <c r="D837" i="106" s="1"/>
  <c r="B6882" i="106"/>
  <c r="D6882" i="106" s="1"/>
  <c r="K23" i="29"/>
  <c r="J33" i="29"/>
  <c r="B6845" i="106"/>
  <c r="D6845" i="106" s="1"/>
  <c r="H110" i="29"/>
  <c r="K105" i="29"/>
  <c r="B1048" i="106"/>
  <c r="D1048" i="106" s="1"/>
  <c r="B6991" i="106"/>
  <c r="D6991" i="106" s="1"/>
  <c r="K90" i="29"/>
  <c r="B6992" i="106" s="1"/>
  <c r="D6992" i="106" s="1"/>
  <c r="B804" i="106"/>
  <c r="D804" i="106" s="1"/>
  <c r="D72" i="29"/>
  <c r="B811" i="106" s="1"/>
  <c r="D811" i="106" s="1"/>
  <c r="D65" i="29"/>
  <c r="B803" i="106" s="1"/>
  <c r="D803" i="106" s="1"/>
  <c r="B796" i="106"/>
  <c r="D796" i="106" s="1"/>
  <c r="H57" i="29"/>
  <c r="B1027" i="106" s="1"/>
  <c r="D1027" i="106" s="1"/>
  <c r="B1025" i="106"/>
  <c r="D1025" i="106" s="1"/>
  <c r="K49" i="29"/>
  <c r="B786" i="106"/>
  <c r="D786" i="106" s="1"/>
  <c r="D47" i="29"/>
  <c r="B789" i="106" s="1"/>
  <c r="D789" i="106" s="1"/>
  <c r="B779" i="106"/>
  <c r="D779" i="106" s="1"/>
  <c r="B6880" i="106"/>
  <c r="D6880" i="106" s="1"/>
  <c r="K22" i="29"/>
  <c r="B6859" i="106"/>
  <c r="D6859" i="106" s="1"/>
  <c r="B6851" i="106"/>
  <c r="D6851" i="106" s="1"/>
  <c r="B6844" i="106"/>
  <c r="D6844" i="106" s="1"/>
  <c r="B5088" i="106"/>
  <c r="D5088" i="106" s="1"/>
  <c r="C18" i="5"/>
  <c r="B5071" i="106" s="1"/>
  <c r="D5071" i="106" s="1"/>
  <c r="B5067" i="106"/>
  <c r="D5067" i="106" s="1"/>
  <c r="B6989" i="106"/>
  <c r="D6989" i="106" s="1"/>
  <c r="K89" i="29"/>
  <c r="B6990" i="106" s="1"/>
  <c r="D6990" i="106" s="1"/>
  <c r="K80" i="29"/>
  <c r="B2975" i="106" s="1"/>
  <c r="D2975" i="106" s="1"/>
  <c r="B2951" i="106"/>
  <c r="D2951" i="106" s="1"/>
  <c r="B756" i="106"/>
  <c r="D756" i="106" s="1"/>
  <c r="K75" i="29"/>
  <c r="B983" i="106"/>
  <c r="D983" i="106" s="1"/>
  <c r="B749" i="106"/>
  <c r="D749" i="106" s="1"/>
  <c r="K70" i="29"/>
  <c r="B1137" i="106" s="1"/>
  <c r="D1137" i="106" s="1"/>
  <c r="C72" i="29"/>
  <c r="B753" i="106" s="1"/>
  <c r="D753" i="106" s="1"/>
  <c r="B746" i="106"/>
  <c r="D746" i="106" s="1"/>
  <c r="B741" i="106"/>
  <c r="D741" i="106" s="1"/>
  <c r="C65" i="29"/>
  <c r="B745" i="106" s="1"/>
  <c r="D745" i="106" s="1"/>
  <c r="B738" i="106"/>
  <c r="D738" i="106" s="1"/>
  <c r="B967" i="106"/>
  <c r="D967" i="106" s="1"/>
  <c r="G57" i="29"/>
  <c r="B969" i="106" s="1"/>
  <c r="D969" i="106" s="1"/>
  <c r="B6932" i="106"/>
  <c r="D6932" i="106" s="1"/>
  <c r="B732" i="106"/>
  <c r="D732" i="106" s="1"/>
  <c r="C53" i="29"/>
  <c r="B734" i="106" s="1"/>
  <c r="D734" i="106" s="1"/>
  <c r="B728" i="106"/>
  <c r="D728" i="106" s="1"/>
  <c r="K44" i="29"/>
  <c r="C47" i="29"/>
  <c r="B731" i="106" s="1"/>
  <c r="D731" i="106" s="1"/>
  <c r="K39" i="29"/>
  <c r="B1112" i="106" s="1"/>
  <c r="D1112" i="106" s="1"/>
  <c r="B724" i="106"/>
  <c r="D724" i="106" s="1"/>
  <c r="C42" i="29"/>
  <c r="B721" i="106"/>
  <c r="D721" i="106" s="1"/>
  <c r="K36" i="29"/>
  <c r="K21" i="29"/>
  <c r="B6878" i="106"/>
  <c r="D6878" i="106" s="1"/>
  <c r="B995" i="106"/>
  <c r="D995" i="106" s="1"/>
  <c r="H33" i="29"/>
  <c r="B5163" i="106"/>
  <c r="D5163" i="106" s="1"/>
  <c r="K101" i="29"/>
  <c r="B7015" i="106" s="1"/>
  <c r="D7015" i="106" s="1"/>
  <c r="B2947" i="106"/>
  <c r="D2947" i="106" s="1"/>
  <c r="B6987" i="106"/>
  <c r="D6987" i="106" s="1"/>
  <c r="K88" i="29"/>
  <c r="B6988" i="106" s="1"/>
  <c r="D6988" i="106" s="1"/>
  <c r="B909" i="106"/>
  <c r="D909" i="106" s="1"/>
  <c r="F57" i="29"/>
  <c r="B911" i="106" s="1"/>
  <c r="D911" i="106" s="1"/>
  <c r="B6900" i="106"/>
  <c r="D6900" i="106" s="1"/>
  <c r="K32" i="29"/>
  <c r="B6876" i="106"/>
  <c r="D6876" i="106" s="1"/>
  <c r="K20" i="29"/>
  <c r="B7263" i="106"/>
  <c r="D7263" i="106" s="1"/>
  <c r="K17" i="29"/>
  <c r="B6871" i="106" s="1"/>
  <c r="D6871" i="106" s="1"/>
  <c r="K14" i="29"/>
  <c r="B1106" i="106" s="1"/>
  <c r="D1106" i="106" s="1"/>
  <c r="B718" i="106"/>
  <c r="D718" i="106" s="1"/>
  <c r="K11" i="29"/>
  <c r="B7257" i="106"/>
  <c r="D7257" i="106" s="1"/>
  <c r="B3366" i="106"/>
  <c r="D3366" i="106" s="1"/>
  <c r="K8" i="29"/>
  <c r="B3380" i="106" s="1"/>
  <c r="D3380" i="106" s="1"/>
  <c r="B5086" i="106"/>
  <c r="D5086" i="106" s="1"/>
  <c r="B6985" i="106"/>
  <c r="D6985" i="106" s="1"/>
  <c r="K87" i="29"/>
  <c r="B6986" i="106" s="1"/>
  <c r="D6986" i="106" s="1"/>
  <c r="K79" i="29"/>
  <c r="B2974" i="106" s="1"/>
  <c r="D2974" i="106" s="1"/>
  <c r="B2950" i="106"/>
  <c r="D2950" i="106" s="1"/>
  <c r="E57" i="29"/>
  <c r="B853" i="106" s="1"/>
  <c r="D853" i="106" s="1"/>
  <c r="B851" i="106"/>
  <c r="D851" i="106" s="1"/>
  <c r="K31" i="29"/>
  <c r="B6898" i="106"/>
  <c r="D6898" i="106" s="1"/>
  <c r="B879" i="106"/>
  <c r="D879" i="106" s="1"/>
  <c r="F33" i="29"/>
  <c r="B5065" i="106"/>
  <c r="D5065" i="106" s="1"/>
  <c r="B4" i="7"/>
  <c r="B5061" i="106"/>
  <c r="D5061" i="106" s="1"/>
  <c r="L110" i="29"/>
  <c r="L112" i="29" s="1"/>
  <c r="B7008" i="106"/>
  <c r="D7008" i="106" s="1"/>
  <c r="K99" i="29"/>
  <c r="B7010" i="106" s="1"/>
  <c r="D7010" i="106" s="1"/>
  <c r="E100" i="29"/>
  <c r="B7011" i="106" s="1"/>
  <c r="D7011" i="106" s="1"/>
  <c r="B6983" i="106"/>
  <c r="D6983" i="106" s="1"/>
  <c r="K86" i="29"/>
  <c r="B6984" i="106" s="1"/>
  <c r="D6984" i="106" s="1"/>
  <c r="B2955" i="106"/>
  <c r="D2955" i="106" s="1"/>
  <c r="H84" i="29"/>
  <c r="B1033" i="106"/>
  <c r="D1033" i="106" s="1"/>
  <c r="B1030" i="106"/>
  <c r="D1030" i="106" s="1"/>
  <c r="B793" i="106"/>
  <c r="D793" i="106" s="1"/>
  <c r="B6896" i="106"/>
  <c r="D6896" i="106" s="1"/>
  <c r="K30" i="29"/>
  <c r="B6867" i="106"/>
  <c r="D6867" i="106" s="1"/>
  <c r="B7253" i="106"/>
  <c r="D7253" i="106" s="1"/>
  <c r="B821" i="106"/>
  <c r="D821" i="106" s="1"/>
  <c r="B7748" i="106"/>
  <c r="D7748" i="106" s="1"/>
  <c r="K98" i="29"/>
  <c r="B7007" i="106" s="1"/>
  <c r="D7007" i="106" s="1"/>
  <c r="B7006" i="106"/>
  <c r="D7006" i="106" s="1"/>
  <c r="B6981" i="106"/>
  <c r="D6981" i="106" s="1"/>
  <c r="K85" i="29"/>
  <c r="B6982" i="106" s="1"/>
  <c r="D6982" i="106" s="1"/>
  <c r="H92" i="29"/>
  <c r="E84" i="29"/>
  <c r="K78" i="29"/>
  <c r="B2949" i="106"/>
  <c r="D2949" i="106" s="1"/>
  <c r="B751" i="106"/>
  <c r="D751" i="106" s="1"/>
  <c r="K71" i="29"/>
  <c r="B1139" i="106" s="1"/>
  <c r="D1139" i="106" s="1"/>
  <c r="B747" i="106"/>
  <c r="D747" i="106" s="1"/>
  <c r="K68" i="29"/>
  <c r="B1135" i="106" s="1"/>
  <c r="D1135" i="106" s="1"/>
  <c r="B742" i="106"/>
  <c r="D742" i="106" s="1"/>
  <c r="K63" i="29"/>
  <c r="B1130" i="106" s="1"/>
  <c r="D1130" i="106" s="1"/>
  <c r="B739" i="106"/>
  <c r="D739" i="106" s="1"/>
  <c r="K60" i="29"/>
  <c r="B1127" i="106" s="1"/>
  <c r="D1127" i="106" s="1"/>
  <c r="K55" i="29"/>
  <c r="B735" i="106"/>
  <c r="D735" i="106" s="1"/>
  <c r="C57" i="29"/>
  <c r="B737" i="106" s="1"/>
  <c r="D737" i="106" s="1"/>
  <c r="B733" i="106"/>
  <c r="D733" i="106" s="1"/>
  <c r="K50" i="29"/>
  <c r="B729" i="106"/>
  <c r="D729" i="106" s="1"/>
  <c r="K45" i="29"/>
  <c r="B1117" i="106" s="1"/>
  <c r="D1117" i="106" s="1"/>
  <c r="B725" i="106"/>
  <c r="D725" i="106" s="1"/>
  <c r="K40" i="29"/>
  <c r="B1113" i="106" s="1"/>
  <c r="D1113" i="106" s="1"/>
  <c r="K37" i="29"/>
  <c r="B1110" i="106" s="1"/>
  <c r="D1110" i="106" s="1"/>
  <c r="B722" i="106"/>
  <c r="D722" i="106" s="1"/>
  <c r="B6894" i="106"/>
  <c r="D6894" i="106" s="1"/>
  <c r="K29" i="29"/>
  <c r="D33" i="29"/>
  <c r="B763" i="106"/>
  <c r="D763" i="106" s="1"/>
  <c r="B7761" i="106"/>
  <c r="D7761" i="106" s="1"/>
  <c r="F159" i="34"/>
  <c r="C34" i="3"/>
  <c r="B91" i="106" s="1"/>
  <c r="D91" i="106" s="1"/>
  <c r="B6125" i="106"/>
  <c r="D6125" i="106" s="1"/>
  <c r="K97" i="29"/>
  <c r="B7005" i="106" s="1"/>
  <c r="D7005" i="106" s="1"/>
  <c r="B7004" i="106"/>
  <c r="D7004" i="106" s="1"/>
  <c r="J72" i="29"/>
  <c r="B6974" i="106" s="1"/>
  <c r="D6974" i="106" s="1"/>
  <c r="B6964" i="106"/>
  <c r="D6964" i="106" s="1"/>
  <c r="J65" i="29"/>
  <c r="B6962" i="106" s="1"/>
  <c r="D6962" i="106" s="1"/>
  <c r="B6951" i="106"/>
  <c r="D6951" i="106" s="1"/>
  <c r="J53" i="29"/>
  <c r="B6943" i="106" s="1"/>
  <c r="D6943" i="106" s="1"/>
  <c r="B6927" i="106"/>
  <c r="D6927" i="106" s="1"/>
  <c r="B6919" i="106"/>
  <c r="D6919" i="106" s="1"/>
  <c r="J47" i="29"/>
  <c r="B6925" i="106" s="1"/>
  <c r="D6925" i="106" s="1"/>
  <c r="B6905" i="106"/>
  <c r="D6905" i="106" s="1"/>
  <c r="J42" i="29"/>
  <c r="B6892" i="106"/>
  <c r="D6892" i="106" s="1"/>
  <c r="K28" i="29"/>
  <c r="B712" i="106"/>
  <c r="D712" i="106" s="1"/>
  <c r="K18" i="29"/>
  <c r="B1100" i="106" s="1"/>
  <c r="D1100" i="106" s="1"/>
  <c r="K15" i="29"/>
  <c r="B719" i="106"/>
  <c r="D719" i="106" s="1"/>
  <c r="K12" i="29"/>
  <c r="B716" i="106"/>
  <c r="D716" i="106" s="1"/>
  <c r="B7251" i="106"/>
  <c r="D7251" i="106" s="1"/>
  <c r="B705" i="106"/>
  <c r="D705" i="106" s="1"/>
  <c r="C33" i="29"/>
  <c r="B6825" i="106"/>
  <c r="D6825" i="106" s="1"/>
  <c r="B17" i="7"/>
  <c r="B5064" i="106"/>
  <c r="D5064" i="106" s="1"/>
  <c r="C76" i="4"/>
  <c r="B3231" i="106" s="1"/>
  <c r="D3231" i="106" s="1"/>
  <c r="B5022" i="106"/>
  <c r="D5022" i="106" s="1"/>
  <c r="B7016" i="106"/>
  <c r="D7016" i="106" s="1"/>
  <c r="K111" i="29"/>
  <c r="B7017" i="106" s="1"/>
  <c r="D7017" i="106" s="1"/>
  <c r="K96" i="29"/>
  <c r="B7003" i="106" s="1"/>
  <c r="D7003" i="106" s="1"/>
  <c r="B7002" i="106"/>
  <c r="D7002" i="106" s="1"/>
  <c r="K83" i="29"/>
  <c r="B2978" i="106" s="1"/>
  <c r="D2978" i="106" s="1"/>
  <c r="B2954" i="106"/>
  <c r="D2954" i="106" s="1"/>
  <c r="I72" i="29"/>
  <c r="B6973" i="106" s="1"/>
  <c r="D6973" i="106" s="1"/>
  <c r="B6963" i="106"/>
  <c r="D6963" i="106" s="1"/>
  <c r="B6950" i="106"/>
  <c r="D6950" i="106" s="1"/>
  <c r="I65" i="29"/>
  <c r="B6961" i="106" s="1"/>
  <c r="D6961" i="106" s="1"/>
  <c r="I53" i="29"/>
  <c r="B6942" i="106" s="1"/>
  <c r="D6942" i="106" s="1"/>
  <c r="B6926" i="106"/>
  <c r="D6926" i="106" s="1"/>
  <c r="B6918" i="106"/>
  <c r="D6918" i="106" s="1"/>
  <c r="I47" i="29"/>
  <c r="B6924" i="106" s="1"/>
  <c r="D6924" i="106" s="1"/>
  <c r="B6904" i="106"/>
  <c r="D6904" i="106" s="1"/>
  <c r="I42" i="29"/>
  <c r="K27" i="29"/>
  <c r="B6890" i="106"/>
  <c r="D6890" i="106" s="1"/>
  <c r="D78" i="36"/>
  <c r="C18" i="4"/>
  <c r="B4131" i="106" s="1"/>
  <c r="D4131" i="106" s="1"/>
  <c r="B4113" i="106"/>
  <c r="D4113" i="106" s="1"/>
  <c r="B5110" i="106"/>
  <c r="D5110" i="106" s="1"/>
  <c r="F100" i="34"/>
  <c r="F105" i="34"/>
  <c r="B5118" i="106"/>
  <c r="D5118" i="106" s="1"/>
  <c r="B1051" i="106"/>
  <c r="D1051" i="106" s="1"/>
  <c r="K109" i="29"/>
  <c r="B1149" i="106" s="1"/>
  <c r="D1149" i="106" s="1"/>
  <c r="B7000" i="106"/>
  <c r="D7000" i="106" s="1"/>
  <c r="K95" i="29"/>
  <c r="B7001" i="106" s="1"/>
  <c r="D7001" i="106" s="1"/>
  <c r="B1031" i="106"/>
  <c r="D1031" i="106" s="1"/>
  <c r="K59" i="29"/>
  <c r="B794" i="106"/>
  <c r="D794" i="106" s="1"/>
  <c r="B1022" i="106"/>
  <c r="D1022" i="106" s="1"/>
  <c r="H53" i="29"/>
  <c r="B1024" i="106" s="1"/>
  <c r="D1024" i="106" s="1"/>
  <c r="B1018" i="106"/>
  <c r="D1018" i="106" s="1"/>
  <c r="H47" i="29"/>
  <c r="B1021" i="106" s="1"/>
  <c r="D1021" i="106" s="1"/>
  <c r="B784" i="106"/>
  <c r="D784" i="106" s="1"/>
  <c r="B1011" i="106"/>
  <c r="D1011" i="106" s="1"/>
  <c r="H42" i="29"/>
  <c r="B6888" i="106"/>
  <c r="D6888" i="106" s="1"/>
  <c r="K26" i="29"/>
  <c r="B5072" i="106"/>
  <c r="D5072" i="106" s="1"/>
  <c r="C40" i="5"/>
  <c r="B5087" i="106" s="1"/>
  <c r="D5087" i="106" s="1"/>
  <c r="F160" i="34"/>
  <c r="B7867" i="106" s="1"/>
  <c r="D7867" i="106" s="1"/>
  <c r="B5023" i="106"/>
  <c r="D5023" i="106" s="1"/>
  <c r="D76" i="4"/>
  <c r="B3237" i="106" s="1"/>
  <c r="D3237" i="106" s="1"/>
  <c r="B7749" i="106"/>
  <c r="D7749" i="106" s="1"/>
  <c r="D44" i="4"/>
  <c r="B2979" i="106"/>
  <c r="D2979" i="106" s="1"/>
  <c r="H137" i="29"/>
  <c r="B1243" i="106"/>
  <c r="D1243" i="106" s="1"/>
  <c r="F127" i="29"/>
  <c r="B1247" i="106" s="1"/>
  <c r="D1247" i="106" s="1"/>
  <c r="F33" i="34"/>
  <c r="B5494" i="106"/>
  <c r="D5494" i="106" s="1"/>
  <c r="B5357" i="106"/>
  <c r="D5357" i="106" s="1"/>
  <c r="D114" i="5"/>
  <c r="L137" i="29"/>
  <c r="L139" i="29" s="1"/>
  <c r="B6247" i="106"/>
  <c r="D6247" i="106" s="1"/>
  <c r="E39" i="4"/>
  <c r="B6287" i="106" s="1"/>
  <c r="D6287" i="106" s="1"/>
  <c r="K146" i="29"/>
  <c r="B1285" i="106" s="1"/>
  <c r="D1285" i="106" s="1"/>
  <c r="B1270" i="106"/>
  <c r="D1270" i="106" s="1"/>
  <c r="B1227" i="106"/>
  <c r="D1227" i="106" s="1"/>
  <c r="D127" i="29"/>
  <c r="B1231" i="106" s="1"/>
  <c r="D1231" i="106" s="1"/>
  <c r="B5333" i="106"/>
  <c r="D5333" i="106" s="1"/>
  <c r="B4199" i="106"/>
  <c r="D4199" i="106" s="1"/>
  <c r="K134" i="29"/>
  <c r="E137" i="29"/>
  <c r="K145" i="29"/>
  <c r="B2811" i="106" s="1"/>
  <c r="D2811" i="106" s="1"/>
  <c r="B2808" i="106"/>
  <c r="D2808" i="106" s="1"/>
  <c r="B3482" i="106"/>
  <c r="D3482" i="106" s="1"/>
  <c r="K125" i="29"/>
  <c r="B3488" i="106" s="1"/>
  <c r="D3488" i="106" s="1"/>
  <c r="C127" i="29"/>
  <c r="B1223" i="106" s="1"/>
  <c r="D1223" i="106" s="1"/>
  <c r="B1219" i="106"/>
  <c r="D1219" i="106" s="1"/>
  <c r="B5370" i="106"/>
  <c r="D5370" i="106" s="1"/>
  <c r="D141" i="5"/>
  <c r="B5383" i="106" s="1"/>
  <c r="D5383" i="106" s="1"/>
  <c r="K144" i="29"/>
  <c r="B2810" i="106" s="1"/>
  <c r="D2810" i="106" s="1"/>
  <c r="B2807" i="106"/>
  <c r="D2807" i="106" s="1"/>
  <c r="B7023" i="106"/>
  <c r="D7023" i="106" s="1"/>
  <c r="B5424" i="106"/>
  <c r="D5424" i="106" s="1"/>
  <c r="D181" i="5"/>
  <c r="B5425" i="106" s="1"/>
  <c r="D5425" i="106" s="1"/>
  <c r="D155" i="5"/>
  <c r="B5394" i="106" s="1"/>
  <c r="D5394" i="106" s="1"/>
  <c r="B5391" i="106"/>
  <c r="D5391" i="106" s="1"/>
  <c r="L147" i="29"/>
  <c r="L149" i="29"/>
  <c r="K143" i="29"/>
  <c r="B1284" i="106" s="1"/>
  <c r="D1284" i="106" s="1"/>
  <c r="B1269" i="106"/>
  <c r="D1269" i="106" s="1"/>
  <c r="B1224" i="106"/>
  <c r="D1224" i="106" s="1"/>
  <c r="K128" i="29"/>
  <c r="B1280" i="106" s="1"/>
  <c r="D1280" i="106" s="1"/>
  <c r="B7022" i="106"/>
  <c r="D7022" i="106" s="1"/>
  <c r="B5440" i="106"/>
  <c r="D5440" i="106" s="1"/>
  <c r="D209" i="5"/>
  <c r="B4412" i="106" s="1"/>
  <c r="D4412" i="106" s="1"/>
  <c r="B5368" i="106"/>
  <c r="D5368" i="106" s="1"/>
  <c r="D132" i="5"/>
  <c r="B5343" i="106"/>
  <c r="D5343" i="106" s="1"/>
  <c r="D82" i="5"/>
  <c r="B5332" i="106"/>
  <c r="D5332" i="106" s="1"/>
  <c r="B5426" i="106"/>
  <c r="D5426" i="106" s="1"/>
  <c r="D188" i="5"/>
  <c r="H41" i="4"/>
  <c r="B6289" i="106" s="1"/>
  <c r="D6289" i="106" s="1"/>
  <c r="B6251" i="106"/>
  <c r="D6251" i="106" s="1"/>
  <c r="H147" i="29"/>
  <c r="K142" i="29"/>
  <c r="B1268" i="106"/>
  <c r="D1268" i="106" s="1"/>
  <c r="B4079" i="106"/>
  <c r="D4079" i="106" s="1"/>
  <c r="D175" i="5"/>
  <c r="B5422" i="106"/>
  <c r="D5422" i="106" s="1"/>
  <c r="K52" i="4"/>
  <c r="B3702" i="106" s="1"/>
  <c r="D3702" i="106" s="1"/>
  <c r="B3698" i="106"/>
  <c r="D3698" i="106" s="1"/>
  <c r="K138" i="29"/>
  <c r="B2094" i="106" s="1"/>
  <c r="D2094" i="106" s="1"/>
  <c r="B2092" i="106"/>
  <c r="D2092" i="106" s="1"/>
  <c r="K126" i="29"/>
  <c r="B1277" i="106" s="1"/>
  <c r="D1277" i="106" s="1"/>
  <c r="B1254" i="106"/>
  <c r="D1254" i="106" s="1"/>
  <c r="K123" i="29"/>
  <c r="B1275" i="106" s="1"/>
  <c r="D1275" i="106" s="1"/>
  <c r="B1220" i="106"/>
  <c r="D1220" i="106" s="1"/>
  <c r="B4078" i="106"/>
  <c r="D4078" i="106" s="1"/>
  <c r="B5384" i="106"/>
  <c r="D5384" i="106" s="1"/>
  <c r="F111" i="34"/>
  <c r="B7846" i="106" s="1"/>
  <c r="D7846" i="106" s="1"/>
  <c r="B5340" i="106"/>
  <c r="D5340" i="106" s="1"/>
  <c r="B3161" i="106"/>
  <c r="D3161" i="106" s="1"/>
  <c r="H51" i="4"/>
  <c r="B3170" i="106" s="1"/>
  <c r="D3170" i="106" s="1"/>
  <c r="J127" i="29"/>
  <c r="B7034" i="106" s="1"/>
  <c r="D7034" i="106" s="1"/>
  <c r="B7025" i="106"/>
  <c r="D7025" i="106" s="1"/>
  <c r="B4077" i="106"/>
  <c r="D4077" i="106" s="1"/>
  <c r="F121" i="34"/>
  <c r="B4329" i="106"/>
  <c r="D4329" i="106" s="1"/>
  <c r="B5331" i="106"/>
  <c r="D5331" i="106" s="1"/>
  <c r="B5349" i="106"/>
  <c r="D5349" i="106" s="1"/>
  <c r="D108" i="5"/>
  <c r="B5355" i="106" s="1"/>
  <c r="D5355" i="106" s="1"/>
  <c r="B4201" i="106"/>
  <c r="D4201" i="106" s="1"/>
  <c r="K136" i="29"/>
  <c r="B2988" i="106" s="1"/>
  <c r="D2988" i="106" s="1"/>
  <c r="K130" i="29"/>
  <c r="B2797" i="106"/>
  <c r="D2797" i="106" s="1"/>
  <c r="I127" i="29"/>
  <c r="B7033" i="106" s="1"/>
  <c r="D7033" i="106" s="1"/>
  <c r="B7024" i="106"/>
  <c r="D7024" i="106" s="1"/>
  <c r="B4076" i="106"/>
  <c r="D4076" i="106" s="1"/>
  <c r="D204" i="5"/>
  <c r="B5444" i="106" s="1"/>
  <c r="D5444" i="106" s="1"/>
  <c r="B5431" i="106"/>
  <c r="D5431" i="106" s="1"/>
  <c r="D122" i="5"/>
  <c r="B5361" i="106"/>
  <c r="D5361" i="106" s="1"/>
  <c r="D217" i="5"/>
  <c r="B5470" i="106" s="1"/>
  <c r="D5470" i="106" s="1"/>
  <c r="B5458" i="106"/>
  <c r="D5458" i="106" s="1"/>
  <c r="K148" i="29"/>
  <c r="B7050" i="106" s="1"/>
  <c r="D7050" i="106" s="1"/>
  <c r="B7049" i="106"/>
  <c r="D7049" i="106" s="1"/>
  <c r="B6249" i="106"/>
  <c r="D6249" i="106" s="1"/>
  <c r="E40" i="4"/>
  <c r="B6288" i="106" s="1"/>
  <c r="D6288" i="106" s="1"/>
  <c r="H14" i="118"/>
  <c r="H19" i="118"/>
  <c r="B6241" i="106"/>
  <c r="D6241" i="106" s="1"/>
  <c r="B1260" i="106"/>
  <c r="D1260" i="106" s="1"/>
  <c r="H127" i="29"/>
  <c r="B1264" i="106" s="1"/>
  <c r="D1264" i="106" s="1"/>
  <c r="B4075" i="106"/>
  <c r="D4075" i="106" s="1"/>
  <c r="K122" i="29"/>
  <c r="B4200" i="106"/>
  <c r="D4200" i="106" s="1"/>
  <c r="K135" i="29"/>
  <c r="B2987" i="106" s="1"/>
  <c r="D2987" i="106" s="1"/>
  <c r="K124" i="29"/>
  <c r="B1276" i="106" s="1"/>
  <c r="D1276" i="106" s="1"/>
  <c r="B1221" i="106"/>
  <c r="D1221" i="106" s="1"/>
  <c r="G127" i="29"/>
  <c r="B1256" i="106" s="1"/>
  <c r="D1256" i="106" s="1"/>
  <c r="B1251" i="106"/>
  <c r="D1251" i="106" s="1"/>
  <c r="B4074" i="106"/>
  <c r="D4074" i="106" s="1"/>
  <c r="K120" i="29"/>
  <c r="B6615" i="106"/>
  <c r="D6615" i="106" s="1"/>
  <c r="D252" i="5"/>
  <c r="B6834" i="106" s="1"/>
  <c r="D6834" i="106" s="1"/>
  <c r="D18" i="5"/>
  <c r="B5339" i="106" s="1"/>
  <c r="D5339" i="106" s="1"/>
  <c r="B5335" i="106"/>
  <c r="D5335" i="106" s="1"/>
  <c r="B5511" i="106"/>
  <c r="D5511" i="106" s="1"/>
  <c r="L168" i="29"/>
  <c r="L172" i="29" s="1"/>
  <c r="L174" i="29" s="1"/>
  <c r="K165" i="29"/>
  <c r="B2818" i="106" s="1"/>
  <c r="D2818" i="106" s="1"/>
  <c r="B2812" i="106"/>
  <c r="D2812" i="106" s="1"/>
  <c r="B1311" i="106"/>
  <c r="D1311" i="106" s="1"/>
  <c r="K164" i="29"/>
  <c r="B1325" i="106" s="1"/>
  <c r="D1325" i="106" s="1"/>
  <c r="B5514" i="106"/>
  <c r="D5514" i="106" s="1"/>
  <c r="E18" i="5"/>
  <c r="B5518" i="106" s="1"/>
  <c r="D5518" i="106" s="1"/>
  <c r="B3699" i="106"/>
  <c r="D3699" i="106" s="1"/>
  <c r="K53" i="4"/>
  <c r="B3703" i="106" s="1"/>
  <c r="D3703" i="106" s="1"/>
  <c r="H168" i="29"/>
  <c r="B1310" i="106"/>
  <c r="D1310" i="106" s="1"/>
  <c r="K163" i="29"/>
  <c r="B6368" i="106"/>
  <c r="D6368" i="106" s="1"/>
  <c r="E169" i="5"/>
  <c r="B5537" i="106" s="1"/>
  <c r="D5537" i="106" s="1"/>
  <c r="B2817" i="106"/>
  <c r="D2817" i="106" s="1"/>
  <c r="E76" i="4"/>
  <c r="B3276" i="106" s="1"/>
  <c r="D3276" i="106" s="1"/>
  <c r="H160" i="29"/>
  <c r="B7053" i="106" s="1"/>
  <c r="D7053" i="106" s="1"/>
  <c r="B7777" i="106"/>
  <c r="D7777" i="106" s="1"/>
  <c r="K157" i="29"/>
  <c r="E34" i="3"/>
  <c r="B6127" i="106"/>
  <c r="D6127" i="106" s="1"/>
  <c r="B5512" i="106"/>
  <c r="D5512" i="106" s="1"/>
  <c r="E108" i="5"/>
  <c r="B5526" i="106" s="1"/>
  <c r="D5526" i="106" s="1"/>
  <c r="B5522" i="106"/>
  <c r="D5522" i="106" s="1"/>
  <c r="B3417" i="106"/>
  <c r="D3417" i="106" s="1"/>
  <c r="D36" i="36"/>
  <c r="E13" i="3"/>
  <c r="B5528" i="106"/>
  <c r="D5528" i="106" s="1"/>
  <c r="E122" i="5"/>
  <c r="K171" i="29"/>
  <c r="B1330" i="106" s="1"/>
  <c r="D1330" i="106" s="1"/>
  <c r="B1307" i="106"/>
  <c r="D1307" i="106" s="1"/>
  <c r="E172" i="29"/>
  <c r="B6714" i="106"/>
  <c r="D6714" i="106" s="1"/>
  <c r="E252" i="5"/>
  <c r="B1315" i="106"/>
  <c r="D1315" i="106" s="1"/>
  <c r="K170" i="29"/>
  <c r="D69" i="36"/>
  <c r="B1312" i="106"/>
  <c r="D1312" i="106" s="1"/>
  <c r="K169" i="29"/>
  <c r="B1326" i="106" s="1"/>
  <c r="D1326" i="106" s="1"/>
  <c r="E175" i="5"/>
  <c r="B4364" i="106"/>
  <c r="D4364" i="106" s="1"/>
  <c r="B5519" i="106"/>
  <c r="D5519" i="106" s="1"/>
  <c r="B1313" i="106"/>
  <c r="D1313" i="106" s="1"/>
  <c r="K167" i="29"/>
  <c r="B1327" i="106" s="1"/>
  <c r="D1327" i="106" s="1"/>
  <c r="K166" i="29"/>
  <c r="B2819" i="106" s="1"/>
  <c r="D2819" i="106" s="1"/>
  <c r="B2813" i="106"/>
  <c r="D2813" i="106" s="1"/>
  <c r="B5024" i="106"/>
  <c r="D5024" i="106" s="1"/>
  <c r="B4210" i="106"/>
  <c r="D4210" i="106" s="1"/>
  <c r="K206" i="29"/>
  <c r="K192" i="29"/>
  <c r="B3011" i="106" s="1"/>
  <c r="D3011" i="106" s="1"/>
  <c r="B2993" i="106"/>
  <c r="D2993" i="106" s="1"/>
  <c r="B1338" i="106"/>
  <c r="D1338" i="106" s="1"/>
  <c r="B4085" i="106"/>
  <c r="D4085" i="106" s="1"/>
  <c r="F204" i="5"/>
  <c r="B5677" i="106" s="1"/>
  <c r="D5677" i="106" s="1"/>
  <c r="B5664" i="106"/>
  <c r="D5664" i="106" s="1"/>
  <c r="B5571" i="106"/>
  <c r="D5571" i="106" s="1"/>
  <c r="F23" i="34"/>
  <c r="K202" i="29"/>
  <c r="B2842" i="106" s="1"/>
  <c r="D2842" i="106" s="1"/>
  <c r="B2832" i="106"/>
  <c r="D2832" i="106" s="1"/>
  <c r="B4082" i="106"/>
  <c r="D4082" i="106" s="1"/>
  <c r="D184" i="29"/>
  <c r="B5578" i="106"/>
  <c r="D5578" i="106" s="1"/>
  <c r="F27" i="34"/>
  <c r="F21" i="34"/>
  <c r="B5569" i="106"/>
  <c r="D5569" i="106" s="1"/>
  <c r="B1373" i="106"/>
  <c r="D1373" i="106" s="1"/>
  <c r="K203" i="29"/>
  <c r="B1385" i="106" s="1"/>
  <c r="D1385" i="106" s="1"/>
  <c r="B4083" i="106"/>
  <c r="D4083" i="106" s="1"/>
  <c r="E184" i="29"/>
  <c r="B6313" i="106"/>
  <c r="D6313" i="106" s="1"/>
  <c r="F22" i="34"/>
  <c r="K201" i="29"/>
  <c r="B2841" i="106" s="1"/>
  <c r="D2841" i="106" s="1"/>
  <c r="B2831" i="106"/>
  <c r="D2831" i="106" s="1"/>
  <c r="K190" i="29"/>
  <c r="B3009" i="106" s="1"/>
  <c r="D3009" i="106" s="1"/>
  <c r="B2991" i="106"/>
  <c r="D2991" i="106" s="1"/>
  <c r="K185" i="29"/>
  <c r="B2820" i="106"/>
  <c r="D2820" i="106" s="1"/>
  <c r="B5659" i="106"/>
  <c r="D5659" i="106" s="1"/>
  <c r="F188" i="5"/>
  <c r="B5600" i="106"/>
  <c r="D5600" i="106" s="1"/>
  <c r="F132" i="5"/>
  <c r="B5577" i="106"/>
  <c r="D5577" i="106" s="1"/>
  <c r="F26" i="34"/>
  <c r="B5568" i="106"/>
  <c r="D5568" i="106" s="1"/>
  <c r="F20" i="34"/>
  <c r="F108" i="5"/>
  <c r="B5587" i="106" s="1"/>
  <c r="D5587" i="106" s="1"/>
  <c r="B5583" i="106"/>
  <c r="D5583" i="106" s="1"/>
  <c r="F89" i="34"/>
  <c r="B5570" i="106"/>
  <c r="D5570" i="106" s="1"/>
  <c r="K191" i="29"/>
  <c r="B3010" i="106" s="1"/>
  <c r="D3010" i="106" s="1"/>
  <c r="B2992" i="106"/>
  <c r="D2992" i="106" s="1"/>
  <c r="B1372" i="106"/>
  <c r="D1372" i="106" s="1"/>
  <c r="K200" i="29"/>
  <c r="B1384" i="106" s="1"/>
  <c r="D1384" i="106" s="1"/>
  <c r="F252" i="5"/>
  <c r="B6836" i="106" s="1"/>
  <c r="D6836" i="106" s="1"/>
  <c r="B6617" i="106"/>
  <c r="D6617" i="106" s="1"/>
  <c r="B5576" i="106"/>
  <c r="D5576" i="106" s="1"/>
  <c r="F25" i="34"/>
  <c r="B5567" i="106"/>
  <c r="D5567" i="106" s="1"/>
  <c r="F19" i="34"/>
  <c r="B5556" i="106"/>
  <c r="D5556" i="106" s="1"/>
  <c r="D37" i="36"/>
  <c r="B3419" i="106"/>
  <c r="D3419" i="106" s="1"/>
  <c r="B1371" i="106"/>
  <c r="D1371" i="106" s="1"/>
  <c r="H204" i="29"/>
  <c r="K199" i="29"/>
  <c r="K189" i="29"/>
  <c r="B3008" i="106" s="1"/>
  <c r="D3008" i="106" s="1"/>
  <c r="B2990" i="106"/>
  <c r="D2990" i="106" s="1"/>
  <c r="F181" i="5"/>
  <c r="B5658" i="106" s="1"/>
  <c r="D5658" i="106" s="1"/>
  <c r="B4804" i="106"/>
  <c r="D4804" i="106" s="1"/>
  <c r="B7764" i="106"/>
  <c r="D7764" i="106" s="1"/>
  <c r="F94" i="34"/>
  <c r="F63" i="5"/>
  <c r="B5579" i="106" s="1"/>
  <c r="D5579" i="106" s="1"/>
  <c r="B5692" i="106"/>
  <c r="D5692" i="106" s="1"/>
  <c r="F32" i="34"/>
  <c r="B7825" i="106" s="1"/>
  <c r="D7825" i="106" s="1"/>
  <c r="F18" i="5"/>
  <c r="B5562" i="106" s="1"/>
  <c r="D5562" i="106" s="1"/>
  <c r="B5558" i="106"/>
  <c r="D5558" i="106" s="1"/>
  <c r="L204" i="29"/>
  <c r="L208" i="29" s="1"/>
  <c r="H194" i="29"/>
  <c r="B2995" i="106"/>
  <c r="D2995" i="106" s="1"/>
  <c r="B1369" i="106"/>
  <c r="D1369" i="106" s="1"/>
  <c r="B5615" i="106"/>
  <c r="D5615" i="106" s="1"/>
  <c r="F155" i="5"/>
  <c r="B5618" i="106" s="1"/>
  <c r="D5618" i="106" s="1"/>
  <c r="B5575" i="106"/>
  <c r="D5575" i="106" s="1"/>
  <c r="F93" i="34"/>
  <c r="B5566" i="106"/>
  <c r="D5566" i="106" s="1"/>
  <c r="F87" i="34"/>
  <c r="F184" i="29"/>
  <c r="B4084" i="106"/>
  <c r="D4084" i="106" s="1"/>
  <c r="B5580" i="106"/>
  <c r="D5580" i="106" s="1"/>
  <c r="D71" i="36"/>
  <c r="B5014" i="106"/>
  <c r="D5014" i="106" s="1"/>
  <c r="K195" i="29"/>
  <c r="B2839" i="106" s="1"/>
  <c r="D2839" i="106" s="1"/>
  <c r="B2824" i="106"/>
  <c r="D2824" i="106" s="1"/>
  <c r="K188" i="29"/>
  <c r="B2989" i="106"/>
  <c r="D2989" i="106" s="1"/>
  <c r="E194" i="29"/>
  <c r="B1335" i="106"/>
  <c r="D1335" i="106" s="1"/>
  <c r="B5673" i="106"/>
  <c r="D5673" i="106" s="1"/>
  <c r="F209" i="5"/>
  <c r="B4413" i="106" s="1"/>
  <c r="D4413" i="106" s="1"/>
  <c r="B5654" i="106"/>
  <c r="D5654" i="106" s="1"/>
  <c r="F175" i="5"/>
  <c r="F30" i="34"/>
  <c r="B7823" i="106" s="1"/>
  <c r="B4354" i="106"/>
  <c r="D4354" i="106" s="1"/>
  <c r="B5593" i="106"/>
  <c r="D5593" i="106" s="1"/>
  <c r="F122" i="5"/>
  <c r="B5574" i="106"/>
  <c r="D5574" i="106" s="1"/>
  <c r="F24" i="34"/>
  <c r="B5565" i="106"/>
  <c r="D5565" i="106" s="1"/>
  <c r="F86" i="34"/>
  <c r="B5555" i="106"/>
  <c r="D5555" i="106" s="1"/>
  <c r="J184" i="29"/>
  <c r="B7058" i="106"/>
  <c r="D7058" i="106" s="1"/>
  <c r="B4795" i="106"/>
  <c r="D4795" i="106" s="1"/>
  <c r="F29" i="34"/>
  <c r="B7881" i="106" s="1"/>
  <c r="D7881" i="106" s="1"/>
  <c r="B6369" i="106"/>
  <c r="D6369" i="106" s="1"/>
  <c r="F92" i="34"/>
  <c r="B5573" i="106"/>
  <c r="D5573" i="106" s="1"/>
  <c r="B5564" i="106"/>
  <c r="D5564" i="106" s="1"/>
  <c r="F18" i="34"/>
  <c r="B6315" i="106"/>
  <c r="D6315" i="106" s="1"/>
  <c r="F28" i="34"/>
  <c r="B7751" i="106"/>
  <c r="D7751" i="106" s="1"/>
  <c r="K193" i="29"/>
  <c r="B3012" i="106" s="1"/>
  <c r="D3012" i="106" s="1"/>
  <c r="B2994" i="106"/>
  <c r="D2994" i="106" s="1"/>
  <c r="I184" i="29"/>
  <c r="B7057" i="106"/>
  <c r="D7057" i="106" s="1"/>
  <c r="B6314" i="106"/>
  <c r="D6314" i="106" s="1"/>
  <c r="F91" i="34"/>
  <c r="B5563" i="106"/>
  <c r="D5563" i="106" s="1"/>
  <c r="F85" i="34"/>
  <c r="B5691" i="106"/>
  <c r="D5691" i="106" s="1"/>
  <c r="F31" i="34"/>
  <c r="B7824" i="106" s="1"/>
  <c r="F217" i="5"/>
  <c r="B5703" i="106" s="1"/>
  <c r="D5703" i="106" s="1"/>
  <c r="K205" i="29"/>
  <c r="B7068" i="106" s="1"/>
  <c r="D7068" i="106" s="1"/>
  <c r="B7067" i="106"/>
  <c r="D7067" i="106" s="1"/>
  <c r="K207" i="29"/>
  <c r="B7070" i="106" s="1"/>
  <c r="D7070" i="106" s="1"/>
  <c r="B7069" i="106"/>
  <c r="D7069" i="106" s="1"/>
  <c r="B4086" i="106"/>
  <c r="D4086" i="106" s="1"/>
  <c r="B4318" i="106"/>
  <c r="D4318" i="106" s="1"/>
  <c r="F114" i="5"/>
  <c r="B5589" i="106"/>
  <c r="D5589" i="106" s="1"/>
  <c r="F90" i="34"/>
  <c r="B5572" i="106"/>
  <c r="D5572" i="106" s="1"/>
  <c r="B5553" i="106"/>
  <c r="D5553" i="106" s="1"/>
  <c r="B7" i="7"/>
  <c r="B5584" i="106"/>
  <c r="D5584" i="106" s="1"/>
  <c r="F103" i="34"/>
  <c r="B7840" i="106" s="1"/>
  <c r="D7840" i="106" s="1"/>
  <c r="B1402" i="106"/>
  <c r="D1402" i="106" s="1"/>
  <c r="K227" i="29"/>
  <c r="B1466" i="106" s="1"/>
  <c r="D1466" i="106" s="1"/>
  <c r="B1445" i="106"/>
  <c r="D1445" i="106" s="1"/>
  <c r="K278" i="29"/>
  <c r="B1509" i="106" s="1"/>
  <c r="D1509" i="106" s="1"/>
  <c r="D270" i="29"/>
  <c r="B1436" i="106" s="1"/>
  <c r="D1436" i="106" s="1"/>
  <c r="K263" i="29"/>
  <c r="B1428" i="106"/>
  <c r="D1428" i="106" s="1"/>
  <c r="B2725" i="106"/>
  <c r="D2725" i="106" s="1"/>
  <c r="K247" i="29"/>
  <c r="B2726" i="106" s="1"/>
  <c r="D2726" i="106" s="1"/>
  <c r="B3389" i="106"/>
  <c r="D3389" i="106" s="1"/>
  <c r="K228" i="29"/>
  <c r="B3392" i="106" s="1"/>
  <c r="D3392" i="106" s="1"/>
  <c r="K216" i="29"/>
  <c r="B7073" i="106"/>
  <c r="D7073" i="106" s="1"/>
  <c r="F156" i="34"/>
  <c r="B6821" i="106"/>
  <c r="D6821" i="106" s="1"/>
  <c r="F145" i="34"/>
  <c r="B6724" i="106"/>
  <c r="D6724" i="106" s="1"/>
  <c r="B6630" i="106"/>
  <c r="D6630" i="106" s="1"/>
  <c r="B5790" i="106"/>
  <c r="D5790" i="106" s="1"/>
  <c r="B5738" i="106"/>
  <c r="D5738" i="106" s="1"/>
  <c r="B3387" i="106"/>
  <c r="D3387" i="106" s="1"/>
  <c r="K215" i="29"/>
  <c r="D229" i="29"/>
  <c r="B1440" i="106"/>
  <c r="D1440" i="106" s="1"/>
  <c r="K275" i="29"/>
  <c r="B1504" i="106" s="1"/>
  <c r="D1504" i="106" s="1"/>
  <c r="B1425" i="106"/>
  <c r="D1425" i="106" s="1"/>
  <c r="K259" i="29"/>
  <c r="D257" i="29"/>
  <c r="B1424" i="106" s="1"/>
  <c r="D1424" i="106" s="1"/>
  <c r="K245" i="29"/>
  <c r="B1422" i="106"/>
  <c r="D1422" i="106" s="1"/>
  <c r="B7079" i="106"/>
  <c r="D7079" i="106" s="1"/>
  <c r="K226" i="29"/>
  <c r="B7080" i="106" s="1"/>
  <c r="D7080" i="106" s="1"/>
  <c r="B4864" i="106"/>
  <c r="D4864" i="106" s="1"/>
  <c r="B6805" i="106"/>
  <c r="D6805" i="106" s="1"/>
  <c r="G252" i="5"/>
  <c r="B6837" i="106" s="1"/>
  <c r="D6837" i="106" s="1"/>
  <c r="B6618" i="106"/>
  <c r="D6618" i="106" s="1"/>
  <c r="B5757" i="106"/>
  <c r="D5757" i="106" s="1"/>
  <c r="B5731" i="106"/>
  <c r="D5731" i="106" s="1"/>
  <c r="B6129" i="106"/>
  <c r="D6129" i="106" s="1"/>
  <c r="G34" i="3"/>
  <c r="B7752" i="106"/>
  <c r="D7752" i="106" s="1"/>
  <c r="G44" i="4"/>
  <c r="B1439" i="106"/>
  <c r="D1439" i="106" s="1"/>
  <c r="K274" i="29"/>
  <c r="B1503" i="106" s="1"/>
  <c r="D1503" i="106" s="1"/>
  <c r="G35" i="108"/>
  <c r="E35" i="108"/>
  <c r="B7097" i="106"/>
  <c r="D7097" i="106" s="1"/>
  <c r="K256" i="29"/>
  <c r="B7098" i="106" s="1"/>
  <c r="D7098" i="106" s="1"/>
  <c r="K242" i="29"/>
  <c r="B1484" i="106" s="1"/>
  <c r="D1484" i="106" s="1"/>
  <c r="B1420" i="106"/>
  <c r="D1420" i="106" s="1"/>
  <c r="B1396" i="106"/>
  <c r="D1396" i="106" s="1"/>
  <c r="K225" i="29"/>
  <c r="B1460" i="106" s="1"/>
  <c r="D1460" i="106" s="1"/>
  <c r="D17" i="171"/>
  <c r="F170" i="34"/>
  <c r="B7875" i="106" s="1"/>
  <c r="D7875" i="106" s="1"/>
  <c r="B4448" i="106"/>
  <c r="D4448" i="106" s="1"/>
  <c r="B6797" i="106"/>
  <c r="D6797" i="106" s="1"/>
  <c r="F153" i="34"/>
  <c r="B5722" i="106"/>
  <c r="D5722" i="106" s="1"/>
  <c r="G108" i="5"/>
  <c r="B5737" i="106" s="1"/>
  <c r="D5737" i="106" s="1"/>
  <c r="B5734" i="106"/>
  <c r="D5734" i="106" s="1"/>
  <c r="F132" i="34"/>
  <c r="B7864" i="106" s="1"/>
  <c r="D7864" i="106" s="1"/>
  <c r="B4343" i="106"/>
  <c r="D4343" i="106" s="1"/>
  <c r="B5821" i="106"/>
  <c r="D5821" i="106" s="1"/>
  <c r="F129" i="34"/>
  <c r="B7861" i="106" s="1"/>
  <c r="D7861" i="106" s="1"/>
  <c r="B6716" i="106"/>
  <c r="D6716" i="106" s="1"/>
  <c r="F144" i="34"/>
  <c r="B179" i="106"/>
  <c r="D179" i="106" s="1"/>
  <c r="B1451" i="106"/>
  <c r="D1451" i="106" s="1"/>
  <c r="K292" i="29"/>
  <c r="B1514" i="106" s="1"/>
  <c r="D1514" i="106" s="1"/>
  <c r="B1438" i="106"/>
  <c r="D1438" i="106" s="1"/>
  <c r="K273" i="29"/>
  <c r="B1502" i="106" s="1"/>
  <c r="D1502" i="106" s="1"/>
  <c r="E34" i="108"/>
  <c r="G34" i="108"/>
  <c r="B7095" i="106"/>
  <c r="D7095" i="106" s="1"/>
  <c r="K255" i="29"/>
  <c r="B7096" i="106" s="1"/>
  <c r="D7096" i="106" s="1"/>
  <c r="K241" i="29"/>
  <c r="B1483" i="106" s="1"/>
  <c r="D1483" i="106" s="1"/>
  <c r="B1419" i="106"/>
  <c r="D1419" i="106" s="1"/>
  <c r="K224" i="29"/>
  <c r="B1409" i="106"/>
  <c r="D1409" i="106" s="1"/>
  <c r="B4361" i="106"/>
  <c r="D4361" i="106" s="1"/>
  <c r="F169" i="34"/>
  <c r="B7874" i="106" s="1"/>
  <c r="D7874" i="106" s="1"/>
  <c r="B6693" i="106"/>
  <c r="D6693" i="106" s="1"/>
  <c r="G188" i="5"/>
  <c r="B5785" i="106"/>
  <c r="D5785" i="106" s="1"/>
  <c r="L243" i="29"/>
  <c r="B6117" i="106"/>
  <c r="D6117" i="106" s="1"/>
  <c r="K291" i="29"/>
  <c r="B2846" i="106" s="1"/>
  <c r="D2846" i="106" s="1"/>
  <c r="B2844" i="106"/>
  <c r="D2844" i="106" s="1"/>
  <c r="B1437" i="106"/>
  <c r="D1437" i="106" s="1"/>
  <c r="K272" i="29"/>
  <c r="K254" i="29"/>
  <c r="B7094" i="106" s="1"/>
  <c r="D7094" i="106" s="1"/>
  <c r="B7093" i="106"/>
  <c r="D7093" i="106" s="1"/>
  <c r="K240" i="29"/>
  <c r="B1418" i="106"/>
  <c r="D1418" i="106" s="1"/>
  <c r="D243" i="29"/>
  <c r="B1408" i="106"/>
  <c r="D1408" i="106" s="1"/>
  <c r="K223" i="29"/>
  <c r="B1472" i="106" s="1"/>
  <c r="D1472" i="106" s="1"/>
  <c r="B4192" i="106"/>
  <c r="D4192" i="106" s="1"/>
  <c r="B6781" i="106"/>
  <c r="D6781" i="106" s="1"/>
  <c r="B6686" i="106"/>
  <c r="D6686" i="106" s="1"/>
  <c r="B5844" i="106"/>
  <c r="D5844" i="106" s="1"/>
  <c r="G221" i="5"/>
  <c r="G155" i="5"/>
  <c r="B6380" i="106"/>
  <c r="D6380" i="106" s="1"/>
  <c r="G141" i="5"/>
  <c r="B5749" i="106"/>
  <c r="D5749" i="106" s="1"/>
  <c r="B5763" i="106"/>
  <c r="D5763" i="106" s="1"/>
  <c r="K290" i="29"/>
  <c r="B2845" i="106" s="1"/>
  <c r="D2845" i="106" s="1"/>
  <c r="B2843" i="106"/>
  <c r="D2843" i="106" s="1"/>
  <c r="K269" i="29"/>
  <c r="B1498" i="106" s="1"/>
  <c r="D1498" i="106" s="1"/>
  <c r="B1434" i="106"/>
  <c r="D1434" i="106" s="1"/>
  <c r="K253" i="29"/>
  <c r="B7092" i="106" s="1"/>
  <c r="D7092" i="106" s="1"/>
  <c r="B7091" i="106"/>
  <c r="D7091" i="106" s="1"/>
  <c r="K237" i="29"/>
  <c r="B1480" i="106" s="1"/>
  <c r="D1480" i="106" s="1"/>
  <c r="B1416" i="106"/>
  <c r="D1416" i="106" s="1"/>
  <c r="B1407" i="106"/>
  <c r="D1407" i="106" s="1"/>
  <c r="K222" i="29"/>
  <c r="B1471" i="106" s="1"/>
  <c r="D1471" i="106" s="1"/>
  <c r="B4421" i="106"/>
  <c r="D4421" i="106" s="1"/>
  <c r="B6773" i="106"/>
  <c r="D6773" i="106" s="1"/>
  <c r="B6678" i="106"/>
  <c r="D6678" i="106" s="1"/>
  <c r="B4810" i="106"/>
  <c r="D4810" i="106" s="1"/>
  <c r="G181" i="5"/>
  <c r="B5726" i="106"/>
  <c r="D5726" i="106" s="1"/>
  <c r="G18" i="5"/>
  <c r="B5730" i="106" s="1"/>
  <c r="D5730" i="106" s="1"/>
  <c r="B8" i="7"/>
  <c r="B5721" i="106"/>
  <c r="D5721" i="106" s="1"/>
  <c r="B1423" i="106"/>
  <c r="D1423" i="106" s="1"/>
  <c r="K246" i="29"/>
  <c r="B1487" i="106" s="1"/>
  <c r="D1487" i="106" s="1"/>
  <c r="B6349" i="106"/>
  <c r="D6349" i="106" s="1"/>
  <c r="L277" i="29"/>
  <c r="B1450" i="106"/>
  <c r="D1450" i="106" s="1"/>
  <c r="K289" i="29"/>
  <c r="B1513" i="106" s="1"/>
  <c r="D1513" i="106" s="1"/>
  <c r="K268" i="29"/>
  <c r="B1497" i="106" s="1"/>
  <c r="D1497" i="106" s="1"/>
  <c r="B1433" i="106"/>
  <c r="D1433" i="106" s="1"/>
  <c r="E30" i="108"/>
  <c r="K252" i="29"/>
  <c r="B7090" i="106" s="1"/>
  <c r="D7090" i="106" s="1"/>
  <c r="B7089" i="106"/>
  <c r="D7089" i="106" s="1"/>
  <c r="B1415" i="106"/>
  <c r="D1415" i="106" s="1"/>
  <c r="K236" i="29"/>
  <c r="B1479" i="106" s="1"/>
  <c r="D1479" i="106" s="1"/>
  <c r="B1406" i="106"/>
  <c r="D1406" i="106" s="1"/>
  <c r="K221" i="29"/>
  <c r="B5860" i="106"/>
  <c r="D5860" i="106" s="1"/>
  <c r="B6765" i="106"/>
  <c r="D6765" i="106" s="1"/>
  <c r="B6670" i="106"/>
  <c r="D6670" i="106" s="1"/>
  <c r="F140" i="34"/>
  <c r="B5823" i="106"/>
  <c r="D5823" i="106" s="1"/>
  <c r="B6625" i="106"/>
  <c r="D6625" i="106" s="1"/>
  <c r="F134" i="34"/>
  <c r="L257" i="29"/>
  <c r="H293" i="29"/>
  <c r="K288" i="29"/>
  <c r="B1449" i="106"/>
  <c r="D1449" i="106" s="1"/>
  <c r="B1432" i="106"/>
  <c r="D1432" i="106" s="1"/>
  <c r="K267" i="29"/>
  <c r="B1496" i="106" s="1"/>
  <c r="D1496" i="106" s="1"/>
  <c r="K251" i="29"/>
  <c r="B7088" i="106" s="1"/>
  <c r="D7088" i="106" s="1"/>
  <c r="B7087" i="106"/>
  <c r="D7087" i="106" s="1"/>
  <c r="B1414" i="106"/>
  <c r="D1414" i="106" s="1"/>
  <c r="K235" i="29"/>
  <c r="B1478" i="106" s="1"/>
  <c r="D1478" i="106" s="1"/>
  <c r="B7077" i="106"/>
  <c r="D7077" i="106" s="1"/>
  <c r="K220" i="29"/>
  <c r="B5858" i="106"/>
  <c r="D5858" i="106" s="1"/>
  <c r="F163" i="34"/>
  <c r="B7870" i="106" s="1"/>
  <c r="D7870" i="106" s="1"/>
  <c r="B6757" i="106"/>
  <c r="D6757" i="106" s="1"/>
  <c r="F148" i="34"/>
  <c r="B5799" i="106"/>
  <c r="D5799" i="106" s="1"/>
  <c r="G209" i="5"/>
  <c r="B5779" i="106"/>
  <c r="D5779" i="106" s="1"/>
  <c r="G175" i="5"/>
  <c r="B4353" i="106"/>
  <c r="D4353" i="106" s="1"/>
  <c r="F110" i="34"/>
  <c r="B7845" i="106" s="1"/>
  <c r="D7845" i="106" s="1"/>
  <c r="B6813" i="106"/>
  <c r="D6813" i="106" s="1"/>
  <c r="F155" i="34"/>
  <c r="G76" i="4"/>
  <c r="B3260" i="106" s="1"/>
  <c r="D3260" i="106" s="1"/>
  <c r="B3259" i="106"/>
  <c r="D3259" i="106" s="1"/>
  <c r="B4165" i="106"/>
  <c r="D4165" i="106" s="1"/>
  <c r="K284" i="29"/>
  <c r="B4166" i="106" s="1"/>
  <c r="D4166" i="106" s="1"/>
  <c r="B1431" i="106"/>
  <c r="D1431" i="106" s="1"/>
  <c r="K266" i="29"/>
  <c r="B1495" i="106" s="1"/>
  <c r="D1495" i="106" s="1"/>
  <c r="B7085" i="106"/>
  <c r="D7085" i="106" s="1"/>
  <c r="K250" i="29"/>
  <c r="B7086" i="106" s="1"/>
  <c r="D7086" i="106" s="1"/>
  <c r="B1413" i="106"/>
  <c r="D1413" i="106" s="1"/>
  <c r="K234" i="29"/>
  <c r="B1477" i="106" s="1"/>
  <c r="D1477" i="106" s="1"/>
  <c r="K219" i="29"/>
  <c r="B3065" i="106" s="1"/>
  <c r="D3065" i="106" s="1"/>
  <c r="B3064" i="106"/>
  <c r="D3064" i="106" s="1"/>
  <c r="B4417" i="106"/>
  <c r="D4417" i="106" s="1"/>
  <c r="B6654" i="106"/>
  <c r="D6654" i="106" s="1"/>
  <c r="F138" i="34"/>
  <c r="G122" i="5"/>
  <c r="B5748" i="106" s="1"/>
  <c r="D5748" i="106" s="1"/>
  <c r="B5742" i="106"/>
  <c r="D5742" i="106" s="1"/>
  <c r="L293" i="29"/>
  <c r="K283" i="29"/>
  <c r="B3721" i="106"/>
  <c r="D3721" i="106" s="1"/>
  <c r="D285" i="29"/>
  <c r="B3722" i="106" s="1"/>
  <c r="D3722" i="106" s="1"/>
  <c r="B1430" i="106"/>
  <c r="D1430" i="106" s="1"/>
  <c r="K265" i="29"/>
  <c r="B1494" i="106" s="1"/>
  <c r="D1494" i="106" s="1"/>
  <c r="B7083" i="106"/>
  <c r="D7083" i="106" s="1"/>
  <c r="K249" i="29"/>
  <c r="B7084" i="106" s="1"/>
  <c r="D7084" i="106" s="1"/>
  <c r="B1412" i="106"/>
  <c r="D1412" i="106" s="1"/>
  <c r="K233" i="29"/>
  <c r="B1476" i="106" s="1"/>
  <c r="D1476" i="106" s="1"/>
  <c r="K218" i="29"/>
  <c r="B7075" i="106"/>
  <c r="D7075" i="106" s="1"/>
  <c r="B5855" i="106"/>
  <c r="D5855" i="106" s="1"/>
  <c r="B6741" i="106"/>
  <c r="D6741" i="106" s="1"/>
  <c r="B6646" i="106"/>
  <c r="D6646" i="106" s="1"/>
  <c r="B6392" i="106"/>
  <c r="D6392" i="106" s="1"/>
  <c r="B5754" i="106"/>
  <c r="D5754" i="106" s="1"/>
  <c r="G145" i="5"/>
  <c r="D277" i="29"/>
  <c r="B1444" i="106" s="1"/>
  <c r="D1444" i="106" s="1"/>
  <c r="L238" i="29"/>
  <c r="L261" i="29"/>
  <c r="K280" i="29"/>
  <c r="B1447" i="106"/>
  <c r="D1447" i="106" s="1"/>
  <c r="B1429" i="106"/>
  <c r="D1429" i="106" s="1"/>
  <c r="K264" i="29"/>
  <c r="B1493" i="106" s="1"/>
  <c r="D1493" i="106" s="1"/>
  <c r="B7081" i="106"/>
  <c r="D7081" i="106" s="1"/>
  <c r="K248" i="29"/>
  <c r="B7082" i="106" s="1"/>
  <c r="D7082" i="106" s="1"/>
  <c r="B1411" i="106"/>
  <c r="D1411" i="106" s="1"/>
  <c r="D238" i="29"/>
  <c r="K232" i="29"/>
  <c r="K217" i="29"/>
  <c r="B3391" i="106" s="1"/>
  <c r="D3391" i="106" s="1"/>
  <c r="B3388" i="106"/>
  <c r="D3388" i="106" s="1"/>
  <c r="B6829" i="106"/>
  <c r="D6829" i="106" s="1"/>
  <c r="B6733" i="106"/>
  <c r="D6733" i="106" s="1"/>
  <c r="B6638" i="106"/>
  <c r="D6638" i="106" s="1"/>
  <c r="B5791" i="106"/>
  <c r="D5791" i="106" s="1"/>
  <c r="B4919" i="106"/>
  <c r="D4919" i="106" s="1"/>
  <c r="G198" i="5"/>
  <c r="B6409" i="106" s="1"/>
  <c r="D6409" i="106" s="1"/>
  <c r="B6402" i="106"/>
  <c r="D6402" i="106" s="1"/>
  <c r="F130" i="34"/>
  <c r="B7862" i="106" s="1"/>
  <c r="D7862" i="106" s="1"/>
  <c r="B5822" i="106"/>
  <c r="D5822" i="106" s="1"/>
  <c r="G217" i="5"/>
  <c r="B5829" i="106" s="1"/>
  <c r="D5829" i="106" s="1"/>
  <c r="B5817" i="106"/>
  <c r="D5817" i="106" s="1"/>
  <c r="B7043" i="106"/>
  <c r="D7043" i="106" s="1"/>
  <c r="B7100" i="106"/>
  <c r="D7100" i="106" s="1"/>
  <c r="J303" i="29"/>
  <c r="H310" i="29"/>
  <c r="B7115" i="106" s="1"/>
  <c r="D7115" i="106" s="1"/>
  <c r="B7106" i="106"/>
  <c r="D7106" i="106" s="1"/>
  <c r="B1549" i="106"/>
  <c r="D1549" i="106" s="1"/>
  <c r="H303" i="29"/>
  <c r="H181" i="5"/>
  <c r="B5908" i="106" s="1"/>
  <c r="D5908" i="106" s="1"/>
  <c r="B5907" i="106"/>
  <c r="D5907" i="106" s="1"/>
  <c r="B6245" i="106"/>
  <c r="D6245" i="106" s="1"/>
  <c r="E38" i="4"/>
  <c r="B6286" i="106" s="1"/>
  <c r="D6286" i="106" s="1"/>
  <c r="K306" i="29"/>
  <c r="B7105" i="106"/>
  <c r="D7105" i="106" s="1"/>
  <c r="E310" i="29"/>
  <c r="B7114" i="106" s="1"/>
  <c r="D7114" i="106" s="1"/>
  <c r="B1543" i="106"/>
  <c r="D1543" i="106" s="1"/>
  <c r="G303" i="29"/>
  <c r="B7882" i="106"/>
  <c r="D7882" i="106" s="1"/>
  <c r="H122" i="5"/>
  <c r="F303" i="29"/>
  <c r="B1537" i="106"/>
  <c r="D1537" i="106" s="1"/>
  <c r="H175" i="5"/>
  <c r="B4365" i="106"/>
  <c r="D4365" i="106" s="1"/>
  <c r="H108" i="5"/>
  <c r="B5886" i="106" s="1"/>
  <c r="D5886" i="106" s="1"/>
  <c r="B5882" i="106"/>
  <c r="D5882" i="106" s="1"/>
  <c r="B1531" i="106"/>
  <c r="D1531" i="106" s="1"/>
  <c r="E303" i="29"/>
  <c r="K307" i="29"/>
  <c r="B4099" i="106" s="1"/>
  <c r="D4099" i="106" s="1"/>
  <c r="B7108" i="106"/>
  <c r="D7108" i="106" s="1"/>
  <c r="D303" i="29"/>
  <c r="B1525" i="106"/>
  <c r="D1525" i="106" s="1"/>
  <c r="B5879" i="106"/>
  <c r="D5879" i="106" s="1"/>
  <c r="H34" i="3"/>
  <c r="B6130" i="106"/>
  <c r="D6130" i="106" s="1"/>
  <c r="B6242" i="106"/>
  <c r="D6242" i="106" s="1"/>
  <c r="E37" i="4"/>
  <c r="B7753" i="106"/>
  <c r="D7753" i="106" s="1"/>
  <c r="H44" i="4"/>
  <c r="K301" i="29"/>
  <c r="B1519" i="106"/>
  <c r="D1519" i="106" s="1"/>
  <c r="C303" i="29"/>
  <c r="B7099" i="106"/>
  <c r="D7099" i="106" s="1"/>
  <c r="I303" i="29"/>
  <c r="L310" i="29"/>
  <c r="H76" i="4"/>
  <c r="B3298" i="106" s="1"/>
  <c r="D3298" i="106" s="1"/>
  <c r="B2848" i="106"/>
  <c r="D2848" i="106" s="1"/>
  <c r="B7112" i="106"/>
  <c r="D7112" i="106" s="1"/>
  <c r="K309" i="29"/>
  <c r="B3717" i="106" s="1"/>
  <c r="D3717" i="106" s="1"/>
  <c r="B5874" i="106"/>
  <c r="D5874" i="106" s="1"/>
  <c r="H18" i="5"/>
  <c r="B5878" i="106" s="1"/>
  <c r="D5878" i="106" s="1"/>
  <c r="B5871" i="106"/>
  <c r="D5871" i="106" s="1"/>
  <c r="B9" i="7"/>
  <c r="K308" i="29"/>
  <c r="B4100" i="106" s="1"/>
  <c r="D4100" i="106" s="1"/>
  <c r="B7110" i="106"/>
  <c r="D7110" i="106" s="1"/>
  <c r="K302" i="29"/>
  <c r="B1558" i="106" s="1"/>
  <c r="D1558" i="106" s="1"/>
  <c r="B1522" i="106"/>
  <c r="D1522" i="106" s="1"/>
  <c r="H252" i="5"/>
  <c r="B6619" i="106"/>
  <c r="D6619" i="106" s="1"/>
  <c r="H169" i="5"/>
  <c r="B5899" i="106" s="1"/>
  <c r="D5899" i="106" s="1"/>
  <c r="B6371" i="106"/>
  <c r="D6371" i="106" s="1"/>
  <c r="I108" i="5"/>
  <c r="B5930" i="106" s="1"/>
  <c r="D5930" i="106" s="1"/>
  <c r="B5927" i="106"/>
  <c r="D5927" i="106" s="1"/>
  <c r="B5924" i="106"/>
  <c r="D5924" i="106" s="1"/>
  <c r="I18" i="5"/>
  <c r="B5923" i="106" s="1"/>
  <c r="D5923" i="106" s="1"/>
  <c r="B5919" i="106"/>
  <c r="D5919" i="106" s="1"/>
  <c r="I34" i="3"/>
  <c r="B6139" i="106"/>
  <c r="D6139" i="106" s="1"/>
  <c r="B2772" i="106"/>
  <c r="D2772" i="106" s="1"/>
  <c r="I44" i="4"/>
  <c r="B3317" i="106" s="1"/>
  <c r="D3317" i="106" s="1"/>
  <c r="B5917" i="106"/>
  <c r="D5917" i="106" s="1"/>
  <c r="B4215" i="106"/>
  <c r="D4215" i="106" s="1"/>
  <c r="I169" i="5"/>
  <c r="B6398" i="106"/>
  <c r="D6398" i="106" s="1"/>
  <c r="J175" i="5"/>
  <c r="B6395" i="106"/>
  <c r="D6395" i="106" s="1"/>
  <c r="B6319" i="106"/>
  <c r="D6319" i="106" s="1"/>
  <c r="J108" i="5"/>
  <c r="B6351" i="106" s="1"/>
  <c r="D6351" i="106" s="1"/>
  <c r="B7697" i="106"/>
  <c r="D7697" i="106" s="1"/>
  <c r="K329" i="29"/>
  <c r="K326" i="29"/>
  <c r="B7181" i="106"/>
  <c r="D7181" i="106" s="1"/>
  <c r="B7154" i="106"/>
  <c r="D7154" i="106" s="1"/>
  <c r="K323" i="29"/>
  <c r="B7127" i="106"/>
  <c r="D7127" i="106" s="1"/>
  <c r="K320" i="29"/>
  <c r="J18" i="5"/>
  <c r="B6306" i="106" s="1"/>
  <c r="D6306" i="106" s="1"/>
  <c r="B6302" i="106"/>
  <c r="D6302" i="106" s="1"/>
  <c r="J44" i="4"/>
  <c r="B7754" i="106"/>
  <c r="D7754" i="106" s="1"/>
  <c r="J330" i="29"/>
  <c r="B7125" i="106"/>
  <c r="D7125" i="106" s="1"/>
  <c r="J169" i="5"/>
  <c r="B6396" i="106" s="1"/>
  <c r="D6396" i="106" s="1"/>
  <c r="B6373" i="106"/>
  <c r="D6373" i="106" s="1"/>
  <c r="B6131" i="106"/>
  <c r="D6131" i="106" s="1"/>
  <c r="J34" i="3"/>
  <c r="B7212" i="106"/>
  <c r="D7212" i="106" s="1"/>
  <c r="K339" i="29"/>
  <c r="B7213" i="106" s="1"/>
  <c r="D7213" i="106" s="1"/>
  <c r="I330" i="29"/>
  <c r="B7124" i="106"/>
  <c r="D7124" i="106" s="1"/>
  <c r="B7210" i="106"/>
  <c r="D7210" i="106" s="1"/>
  <c r="K338" i="29"/>
  <c r="B7211" i="106" s="1"/>
  <c r="D7211" i="106" s="1"/>
  <c r="H330" i="29"/>
  <c r="B7123" i="106"/>
  <c r="D7123" i="106" s="1"/>
  <c r="L340" i="29"/>
  <c r="B6219" i="106"/>
  <c r="D6219" i="106" s="1"/>
  <c r="H340" i="29"/>
  <c r="B7214" i="106" s="1"/>
  <c r="D7214" i="106" s="1"/>
  <c r="K337" i="29"/>
  <c r="B7208" i="106"/>
  <c r="D7208" i="106" s="1"/>
  <c r="K327" i="29"/>
  <c r="B7190" i="106"/>
  <c r="D7190" i="106" s="1"/>
  <c r="B7163" i="106"/>
  <c r="D7163" i="106" s="1"/>
  <c r="K324" i="29"/>
  <c r="K321" i="29"/>
  <c r="B7136" i="106"/>
  <c r="D7136" i="106" s="1"/>
  <c r="G330" i="29"/>
  <c r="B7122" i="106"/>
  <c r="D7122" i="106" s="1"/>
  <c r="B6239" i="106"/>
  <c r="D6239" i="106" s="1"/>
  <c r="J76" i="4"/>
  <c r="B6261" i="106" s="1"/>
  <c r="D6261" i="106" s="1"/>
  <c r="F330" i="29"/>
  <c r="B7121" i="106"/>
  <c r="D7121" i="106" s="1"/>
  <c r="B6353" i="106"/>
  <c r="D6353" i="106" s="1"/>
  <c r="J122" i="5"/>
  <c r="E330" i="29"/>
  <c r="B7120" i="106"/>
  <c r="D7120" i="106" s="1"/>
  <c r="B11" i="7"/>
  <c r="B6298" i="106"/>
  <c r="D6298" i="106" s="1"/>
  <c r="J12" i="5"/>
  <c r="D330" i="29"/>
  <c r="B7119" i="106"/>
  <c r="D7119" i="106" s="1"/>
  <c r="B7688" i="106"/>
  <c r="D7688" i="106" s="1"/>
  <c r="K328" i="29"/>
  <c r="K325" i="29"/>
  <c r="B7172" i="106"/>
  <c r="D7172" i="106" s="1"/>
  <c r="K322" i="29"/>
  <c r="B7145" i="106"/>
  <c r="D7145" i="106" s="1"/>
  <c r="C330" i="29"/>
  <c r="B7118" i="106"/>
  <c r="D7118" i="106" s="1"/>
  <c r="K319" i="29"/>
  <c r="B6316" i="106"/>
  <c r="D6316" i="106" s="1"/>
  <c r="K12" i="5"/>
  <c r="L362" i="29"/>
  <c r="L365" i="29" s="1"/>
  <c r="K361" i="29"/>
  <c r="B7239" i="106" s="1"/>
  <c r="D7239" i="106" s="1"/>
  <c r="B7238" i="106"/>
  <c r="D7238" i="106" s="1"/>
  <c r="B3631" i="106"/>
  <c r="D3631" i="106" s="1"/>
  <c r="E350" i="29"/>
  <c r="K169" i="5"/>
  <c r="B5000" i="106" s="1"/>
  <c r="D5000" i="106" s="1"/>
  <c r="B6374" i="106"/>
  <c r="D6374" i="106" s="1"/>
  <c r="B5996" i="106"/>
  <c r="D5996" i="106" s="1"/>
  <c r="K108" i="5"/>
  <c r="B5999" i="106" s="1"/>
  <c r="D5999" i="106" s="1"/>
  <c r="K363" i="29"/>
  <c r="B7241" i="106" s="1"/>
  <c r="D7241" i="106" s="1"/>
  <c r="B7240" i="106"/>
  <c r="D7240" i="106" s="1"/>
  <c r="K360" i="29"/>
  <c r="B3657" i="106"/>
  <c r="D3657" i="106" s="1"/>
  <c r="H362" i="29"/>
  <c r="D350" i="29"/>
  <c r="B3624" i="106"/>
  <c r="D3624" i="106" s="1"/>
  <c r="K18" i="5"/>
  <c r="B5992" i="106" s="1"/>
  <c r="D5992" i="106" s="1"/>
  <c r="B5988" i="106"/>
  <c r="D5988" i="106" s="1"/>
  <c r="B7236" i="106"/>
  <c r="D7236" i="106" s="1"/>
  <c r="K356" i="29"/>
  <c r="H357" i="29"/>
  <c r="B7237" i="106" s="1"/>
  <c r="D7237" i="106" s="1"/>
  <c r="B3617" i="106"/>
  <c r="D3617" i="106" s="1"/>
  <c r="C350" i="29"/>
  <c r="K348" i="29"/>
  <c r="B6296" i="106"/>
  <c r="D6296" i="106" s="1"/>
  <c r="D73" i="36"/>
  <c r="B4868" i="106"/>
  <c r="D4868" i="106" s="1"/>
  <c r="K266" i="5"/>
  <c r="B4442" i="106" s="1"/>
  <c r="D4442" i="106" s="1"/>
  <c r="K181" i="5"/>
  <c r="B6016" i="106" s="1"/>
  <c r="D6016" i="106" s="1"/>
  <c r="B4816" i="106"/>
  <c r="D4816" i="106" s="1"/>
  <c r="B6000" i="106"/>
  <c r="D6000" i="106" s="1"/>
  <c r="K122" i="5"/>
  <c r="B5985" i="106"/>
  <c r="D5985" i="106" s="1"/>
  <c r="B12" i="7"/>
  <c r="F350" i="29"/>
  <c r="B3638" i="106"/>
  <c r="D3638" i="106" s="1"/>
  <c r="B3618" i="106"/>
  <c r="D3618" i="106" s="1"/>
  <c r="K349" i="29"/>
  <c r="B3669" i="106" s="1"/>
  <c r="D3669" i="106" s="1"/>
  <c r="B4368" i="106"/>
  <c r="D4368" i="106" s="1"/>
  <c r="K175" i="5"/>
  <c r="B3579" i="106"/>
  <c r="D3579" i="106" s="1"/>
  <c r="D68" i="36"/>
  <c r="J350" i="29"/>
  <c r="B7227" i="106"/>
  <c r="D7227" i="106" s="1"/>
  <c r="B5993" i="106"/>
  <c r="D5993" i="106" s="1"/>
  <c r="L350" i="29"/>
  <c r="L352" i="29" s="1"/>
  <c r="B3578" i="106"/>
  <c r="D3578" i="106" s="1"/>
  <c r="B7226" i="106"/>
  <c r="D7226" i="106" s="1"/>
  <c r="I350" i="29"/>
  <c r="B6257" i="106"/>
  <c r="D6257" i="106" s="1"/>
  <c r="B3577" i="106"/>
  <c r="D3577" i="106" s="1"/>
  <c r="I48" i="4"/>
  <c r="B2106" i="106" s="1"/>
  <c r="D2106" i="106" s="1"/>
  <c r="B3652" i="106"/>
  <c r="D3652" i="106" s="1"/>
  <c r="H350" i="29"/>
  <c r="B6132" i="106"/>
  <c r="D6132" i="106" s="1"/>
  <c r="B7755" i="106"/>
  <c r="D7755" i="106" s="1"/>
  <c r="K44" i="4"/>
  <c r="I47" i="4"/>
  <c r="B3620" i="106"/>
  <c r="D3620" i="106" s="1"/>
  <c r="K351" i="29"/>
  <c r="B3671" i="106" s="1"/>
  <c r="D3671" i="106" s="1"/>
  <c r="B3645" i="106"/>
  <c r="D3645" i="106" s="1"/>
  <c r="G350" i="29"/>
  <c r="B5241" i="106"/>
  <c r="D5241" i="106" s="1"/>
  <c r="B5581" i="106"/>
  <c r="D5581" i="106" s="1"/>
  <c r="B5520" i="106"/>
  <c r="D5520" i="106" s="1"/>
  <c r="B6317" i="106"/>
  <c r="D6317" i="106" s="1"/>
  <c r="B5994" i="106"/>
  <c r="D5994"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2" i="34"/>
  <c r="B7839" i="106" s="1"/>
  <c r="D7839"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401" i="106"/>
  <c r="D6401"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F36" i="108" l="1"/>
  <c r="D36" i="108"/>
  <c r="E33" i="29"/>
  <c r="C12" i="5"/>
  <c r="B5986" i="106"/>
  <c r="D5986" i="106" s="1"/>
  <c r="K76" i="4"/>
  <c r="B3586" i="106" s="1"/>
  <c r="D3586" i="106" s="1"/>
  <c r="E39" i="108"/>
  <c r="L367" i="29"/>
  <c r="G39" i="108"/>
  <c r="H12" i="5"/>
  <c r="B5873" i="106" s="1"/>
  <c r="D5873" i="106" s="1"/>
  <c r="F157" i="34"/>
  <c r="D27" i="108"/>
  <c r="L72" i="29"/>
  <c r="F27" i="108"/>
  <c r="L47" i="29"/>
  <c r="F129" i="29"/>
  <c r="B1249" i="106" s="1"/>
  <c r="D1249" i="106" s="1"/>
  <c r="L127" i="29"/>
  <c r="L129" i="29" s="1"/>
  <c r="L151" i="29" s="1"/>
  <c r="K9" i="29"/>
  <c r="B6853" i="106" s="1"/>
  <c r="D6853" i="106" s="1"/>
  <c r="K52" i="29"/>
  <c r="B6940" i="106" s="1"/>
  <c r="D6940" i="106" s="1"/>
  <c r="G12" i="5"/>
  <c r="B5725" i="106" s="1"/>
  <c r="D5725" i="106" s="1"/>
  <c r="L194" i="29"/>
  <c r="L196" i="29" s="1"/>
  <c r="G53" i="29"/>
  <c r="B966" i="106" s="1"/>
  <c r="D966" i="106" s="1"/>
  <c r="H129" i="29"/>
  <c r="B1266" i="106" s="1"/>
  <c r="D1266" i="106" s="1"/>
  <c r="F26" i="108"/>
  <c r="D26" i="108"/>
  <c r="D42" i="29"/>
  <c r="B785" i="106" s="1"/>
  <c r="D785" i="106" s="1"/>
  <c r="L42" i="29"/>
  <c r="B836" i="106"/>
  <c r="D836" i="106" s="1"/>
  <c r="B5097" i="106"/>
  <c r="D5097" i="106" s="1"/>
  <c r="C82" i="5"/>
  <c r="B5102" i="106" s="1"/>
  <c r="D5102" i="106" s="1"/>
  <c r="F122" i="34"/>
  <c r="B7855" i="106" s="1"/>
  <c r="D7855" i="106" s="1"/>
  <c r="F150" i="34"/>
  <c r="F142" i="34"/>
  <c r="F143" i="34"/>
  <c r="B6889" i="106"/>
  <c r="D6889" i="106" s="1"/>
  <c r="F45" i="34"/>
  <c r="B1028" i="106"/>
  <c r="D1028" i="106" s="1"/>
  <c r="H65" i="29"/>
  <c r="B1035" i="106" s="1"/>
  <c r="D1035" i="106" s="1"/>
  <c r="B1104" i="106"/>
  <c r="D1104" i="106" s="1"/>
  <c r="F37" i="34"/>
  <c r="B7829" i="106" s="1"/>
  <c r="D7829" i="106" s="1"/>
  <c r="C44" i="4"/>
  <c r="L33" i="29"/>
  <c r="K110" i="29"/>
  <c r="B1146" i="106"/>
  <c r="D1146" i="106" s="1"/>
  <c r="K16" i="29"/>
  <c r="B1094" i="106" s="1"/>
  <c r="D1094" i="106" s="1"/>
  <c r="K61" i="29"/>
  <c r="C114" i="5"/>
  <c r="B5122" i="106"/>
  <c r="D5122" i="106" s="1"/>
  <c r="C188" i="5"/>
  <c r="B4395" i="106" s="1"/>
  <c r="D4395" i="106" s="1"/>
  <c r="B5233" i="106"/>
  <c r="D5233" i="106" s="1"/>
  <c r="F136" i="34"/>
  <c r="F165" i="34"/>
  <c r="B7872" i="106" s="1"/>
  <c r="D7872" i="106" s="1"/>
  <c r="B727" i="106"/>
  <c r="D727" i="106" s="1"/>
  <c r="C74" i="29"/>
  <c r="B755" i="106" s="1"/>
  <c r="D755" i="106" s="1"/>
  <c r="B790" i="106"/>
  <c r="D790" i="106" s="1"/>
  <c r="D53" i="29"/>
  <c r="B792" i="106" s="1"/>
  <c r="D792" i="106" s="1"/>
  <c r="B1053" i="106"/>
  <c r="D1053" i="106" s="1"/>
  <c r="H112" i="29"/>
  <c r="B7018" i="106" s="1"/>
  <c r="D7018" i="106" s="1"/>
  <c r="B937" i="106"/>
  <c r="D937" i="106" s="1"/>
  <c r="G33" i="29"/>
  <c r="B6614" i="106"/>
  <c r="D6614" i="106" s="1"/>
  <c r="C252" i="5"/>
  <c r="B6833" i="106" s="1"/>
  <c r="D6833" i="106" s="1"/>
  <c r="F131" i="34"/>
  <c r="B7863" i="106" s="1"/>
  <c r="D7863" i="106" s="1"/>
  <c r="F151" i="34"/>
  <c r="B1017" i="106"/>
  <c r="D1017" i="106" s="1"/>
  <c r="B1107" i="106"/>
  <c r="D1107" i="106" s="1"/>
  <c r="F38" i="34"/>
  <c r="B7830" i="106" s="1"/>
  <c r="D7830" i="106" s="1"/>
  <c r="E12" i="184"/>
  <c r="B1121" i="106"/>
  <c r="D1121" i="106" s="1"/>
  <c r="F39" i="34"/>
  <c r="B6877" i="106"/>
  <c r="D6877" i="106" s="1"/>
  <c r="C14" i="4"/>
  <c r="B2558" i="106" s="1"/>
  <c r="D2558" i="106" s="1"/>
  <c r="F52" i="34"/>
  <c r="B7831" i="106" s="1"/>
  <c r="D7831" i="106" s="1"/>
  <c r="B1144" i="106"/>
  <c r="D1144" i="106" s="1"/>
  <c r="I33" i="29"/>
  <c r="B5274" i="106"/>
  <c r="D5274" i="106" s="1"/>
  <c r="C217" i="5"/>
  <c r="B5286" i="106" s="1"/>
  <c r="D5286" i="106" s="1"/>
  <c r="F146" i="34"/>
  <c r="F114" i="34"/>
  <c r="B7848" i="106" s="1"/>
  <c r="D7848" i="106" s="1"/>
  <c r="B4102" i="106"/>
  <c r="D4102" i="106" s="1"/>
  <c r="D17" i="7"/>
  <c r="B4104" i="106" s="1"/>
  <c r="D4104" i="106" s="1"/>
  <c r="B5066" i="106"/>
  <c r="D5066" i="106" s="1"/>
  <c r="E15" i="184"/>
  <c r="B1126" i="106"/>
  <c r="D1126" i="106" s="1"/>
  <c r="B6903" i="106"/>
  <c r="D6903" i="106" s="1"/>
  <c r="C75" i="5"/>
  <c r="B6885" i="106"/>
  <c r="D6885" i="106" s="1"/>
  <c r="F43" i="34"/>
  <c r="B6887" i="106"/>
  <c r="D6887" i="106" s="1"/>
  <c r="F44" i="34"/>
  <c r="B5148" i="106"/>
  <c r="D5148" i="106" s="1"/>
  <c r="C141" i="5"/>
  <c r="B5161" i="106" s="1"/>
  <c r="D5161" i="106" s="1"/>
  <c r="F98" i="34"/>
  <c r="B5106" i="106"/>
  <c r="D5106" i="106" s="1"/>
  <c r="F119" i="34"/>
  <c r="B7853" i="106" s="1"/>
  <c r="D7853" i="106" s="1"/>
  <c r="F115" i="34"/>
  <c r="B7849" i="106" s="1"/>
  <c r="D7849" i="106" s="1"/>
  <c r="F166" i="34"/>
  <c r="B7873" i="106" s="1"/>
  <c r="D7873" i="106" s="1"/>
  <c r="H72" i="29"/>
  <c r="B1043" i="106" s="1"/>
  <c r="D1043" i="106" s="1"/>
  <c r="B1036" i="106"/>
  <c r="D1036" i="106" s="1"/>
  <c r="B2973" i="106"/>
  <c r="D2973" i="106" s="1"/>
  <c r="K84" i="29"/>
  <c r="B6901" i="106"/>
  <c r="D6901" i="106" s="1"/>
  <c r="F51" i="34"/>
  <c r="B6883" i="106"/>
  <c r="D6883" i="106" s="1"/>
  <c r="F42" i="34"/>
  <c r="L57" i="29"/>
  <c r="B959" i="106"/>
  <c r="D959" i="106" s="1"/>
  <c r="K64" i="29"/>
  <c r="G30" i="108"/>
  <c r="F135" i="34"/>
  <c r="B6893" i="106"/>
  <c r="D6893" i="106" s="1"/>
  <c r="F47" i="34"/>
  <c r="B778" i="106"/>
  <c r="D778" i="106" s="1"/>
  <c r="B2789" i="106"/>
  <c r="D2789" i="106" s="1"/>
  <c r="E102" i="29"/>
  <c r="B2790" i="106" s="1"/>
  <c r="D2790" i="106" s="1"/>
  <c r="B2081" i="106"/>
  <c r="D2081" i="106" s="1"/>
  <c r="H102" i="29"/>
  <c r="B1047" i="106" s="1"/>
  <c r="D1047" i="106" s="1"/>
  <c r="B1744" i="106"/>
  <c r="D1744" i="106" s="1"/>
  <c r="D4" i="7"/>
  <c r="B1760" i="106" s="1"/>
  <c r="D1760" i="106" s="1"/>
  <c r="B1116" i="106"/>
  <c r="D1116" i="106" s="1"/>
  <c r="K47" i="29"/>
  <c r="B1119" i="106" s="1"/>
  <c r="D1119" i="106" s="1"/>
  <c r="K62" i="29"/>
  <c r="B1129" i="106" s="1"/>
  <c r="D1129" i="106" s="1"/>
  <c r="B6997" i="106"/>
  <c r="D6997" i="106" s="1"/>
  <c r="K100" i="29"/>
  <c r="B7013" i="106" s="1"/>
  <c r="D7013" i="106" s="1"/>
  <c r="E13" i="184"/>
  <c r="H13" i="184" s="1"/>
  <c r="B2724" i="106"/>
  <c r="D2724" i="106" s="1"/>
  <c r="F97" i="34"/>
  <c r="B5103" i="106"/>
  <c r="D5103" i="106" s="1"/>
  <c r="C93" i="5"/>
  <c r="B5112" i="106" s="1"/>
  <c r="D5112" i="106" s="1"/>
  <c r="B5111" i="106"/>
  <c r="D5111" i="106" s="1"/>
  <c r="F101" i="34"/>
  <c r="F137" i="34"/>
  <c r="F162" i="34"/>
  <c r="B7869" i="106" s="1"/>
  <c r="D7869" i="106" s="1"/>
  <c r="F149" i="34"/>
  <c r="F154" i="34"/>
  <c r="L53" i="29"/>
  <c r="B720" i="106"/>
  <c r="D720" i="106" s="1"/>
  <c r="B6895" i="106"/>
  <c r="D6895" i="106" s="1"/>
  <c r="F48" i="34"/>
  <c r="B1123" i="106"/>
  <c r="D1123" i="106" s="1"/>
  <c r="K92" i="29"/>
  <c r="B2089" i="106" s="1"/>
  <c r="D2089" i="106" s="1"/>
  <c r="B6995" i="106"/>
  <c r="D6995" i="106" s="1"/>
  <c r="C145" i="5"/>
  <c r="B5165" i="106" s="1"/>
  <c r="D5165" i="106" s="1"/>
  <c r="B6848" i="106"/>
  <c r="D6848" i="106" s="1"/>
  <c r="F34" i="34"/>
  <c r="B7826" i="106" s="1"/>
  <c r="D7826" i="106" s="1"/>
  <c r="B901" i="106"/>
  <c r="D901" i="106" s="1"/>
  <c r="F74" i="29"/>
  <c r="B929" i="106" s="1"/>
  <c r="D929" i="106" s="1"/>
  <c r="G72" i="29"/>
  <c r="B985" i="106" s="1"/>
  <c r="D985" i="106" s="1"/>
  <c r="B5230" i="106"/>
  <c r="D5230" i="106" s="1"/>
  <c r="F123" i="34"/>
  <c r="C181" i="5"/>
  <c r="B5232" i="106" s="1"/>
  <c r="D5232" i="106" s="1"/>
  <c r="C132" i="5"/>
  <c r="F106" i="34" s="1"/>
  <c r="B7842" i="106" s="1"/>
  <c r="D7842" i="106" s="1"/>
  <c r="B5133" i="106"/>
  <c r="D5133" i="106" s="1"/>
  <c r="F164" i="34"/>
  <c r="B7871" i="106" s="1"/>
  <c r="D7871" i="106" s="1"/>
  <c r="B6917" i="106"/>
  <c r="D6917" i="106" s="1"/>
  <c r="J74" i="29"/>
  <c r="B6978" i="106" s="1"/>
  <c r="D6978" i="106" s="1"/>
  <c r="B1010" i="106"/>
  <c r="D1010" i="106" s="1"/>
  <c r="K67" i="29"/>
  <c r="B6881" i="106"/>
  <c r="D6881" i="106" s="1"/>
  <c r="F41" i="34"/>
  <c r="B843" i="106"/>
  <c r="D843" i="106" s="1"/>
  <c r="E74" i="29"/>
  <c r="B871" i="106" s="1"/>
  <c r="D871" i="106" s="1"/>
  <c r="F147" i="34"/>
  <c r="F171" i="34"/>
  <c r="B7876" i="106" s="1"/>
  <c r="D7876" i="106" s="1"/>
  <c r="B6891" i="106"/>
  <c r="D6891" i="106" s="1"/>
  <c r="F46" i="34"/>
  <c r="L65" i="29"/>
  <c r="K5" i="29"/>
  <c r="B894" i="106"/>
  <c r="D894" i="106" s="1"/>
  <c r="K41" i="29"/>
  <c r="B1114" i="106" s="1"/>
  <c r="D1114" i="106" s="1"/>
  <c r="C209" i="5"/>
  <c r="B4411" i="106" s="1"/>
  <c r="D4411" i="106" s="1"/>
  <c r="B5256" i="106"/>
  <c r="D5256" i="106" s="1"/>
  <c r="B5167" i="106"/>
  <c r="D5167" i="106" s="1"/>
  <c r="F109" i="34"/>
  <c r="C221" i="5"/>
  <c r="B5304" i="106" s="1"/>
  <c r="D5304" i="106" s="1"/>
  <c r="B5301" i="106"/>
  <c r="D5301" i="106" s="1"/>
  <c r="B5126" i="106"/>
  <c r="D5126" i="106" s="1"/>
  <c r="C122" i="5"/>
  <c r="C198" i="5"/>
  <c r="F118" i="34"/>
  <c r="B7852" i="106" s="1"/>
  <c r="D7852" i="106" s="1"/>
  <c r="F141" i="34"/>
  <c r="B6916" i="106"/>
  <c r="D6916" i="106" s="1"/>
  <c r="I74" i="29"/>
  <c r="B6977" i="106" s="1"/>
  <c r="D6977" i="106" s="1"/>
  <c r="B6897" i="106"/>
  <c r="D6897" i="106" s="1"/>
  <c r="F49" i="34"/>
  <c r="B6858" i="106"/>
  <c r="D6858" i="106" s="1"/>
  <c r="F36" i="34"/>
  <c r="B7828" i="106" s="1"/>
  <c r="D7828" i="106" s="1"/>
  <c r="B1120" i="106"/>
  <c r="D1120" i="106" s="1"/>
  <c r="K53" i="29"/>
  <c r="B1122" i="106" s="1"/>
  <c r="D1122" i="106" s="1"/>
  <c r="L84" i="29"/>
  <c r="L102" i="29" s="1"/>
  <c r="K56" i="29"/>
  <c r="C13" i="3"/>
  <c r="B77" i="106" s="1"/>
  <c r="D77" i="106" s="1"/>
  <c r="C155" i="5"/>
  <c r="B5178" i="106" s="1"/>
  <c r="D5178" i="106" s="1"/>
  <c r="B5175" i="106"/>
  <c r="D5175" i="106" s="1"/>
  <c r="B5181" i="106"/>
  <c r="D5181" i="106" s="1"/>
  <c r="F113" i="34"/>
  <c r="F161" i="34"/>
  <c r="B7868" i="106" s="1"/>
  <c r="D7868" i="106" s="1"/>
  <c r="F104" i="34"/>
  <c r="B7841" i="106" s="1"/>
  <c r="D7841" i="106" s="1"/>
  <c r="K6" i="29"/>
  <c r="B7763" i="106" s="1"/>
  <c r="D7763" i="106" s="1"/>
  <c r="B7762" i="106"/>
  <c r="D7762" i="106" s="1"/>
  <c r="B6879" i="106"/>
  <c r="D6879" i="106" s="1"/>
  <c r="F40" i="34"/>
  <c r="B5224" i="106"/>
  <c r="D5224" i="106" s="1"/>
  <c r="C175" i="5"/>
  <c r="B5225" i="106" s="1"/>
  <c r="D5225" i="106" s="1"/>
  <c r="C108" i="5"/>
  <c r="B5120" i="106" s="1"/>
  <c r="D5120" i="106" s="1"/>
  <c r="B5113" i="106"/>
  <c r="D5113" i="106" s="1"/>
  <c r="F120" i="34"/>
  <c r="B7854" i="106" s="1"/>
  <c r="D7854" i="106" s="1"/>
  <c r="D57" i="29"/>
  <c r="B795" i="106" s="1"/>
  <c r="D795" i="106" s="1"/>
  <c r="B6899" i="106"/>
  <c r="D6899" i="106" s="1"/>
  <c r="F50" i="34"/>
  <c r="B1109" i="106"/>
  <c r="D1109" i="106" s="1"/>
  <c r="C67" i="5"/>
  <c r="B5090" i="106" s="1"/>
  <c r="D5090" i="106" s="1"/>
  <c r="G65" i="29"/>
  <c r="B977" i="106" s="1"/>
  <c r="D977" i="106" s="1"/>
  <c r="D129" i="29"/>
  <c r="D151" i="29" s="1"/>
  <c r="B1234" i="106" s="1"/>
  <c r="D1234" i="106" s="1"/>
  <c r="B15" i="7"/>
  <c r="B1756" i="106" s="1"/>
  <c r="D1756" i="106" s="1"/>
  <c r="F15" i="184"/>
  <c r="G26" i="108"/>
  <c r="E26" i="108"/>
  <c r="B1274" i="106"/>
  <c r="D1274" i="106" s="1"/>
  <c r="K127" i="29"/>
  <c r="B1279" i="106" s="1"/>
  <c r="D1279" i="106" s="1"/>
  <c r="B5369" i="106"/>
  <c r="D5369" i="106" s="1"/>
  <c r="D169" i="5"/>
  <c r="B5412" i="106" s="1"/>
  <c r="D5412" i="106" s="1"/>
  <c r="F151" i="29"/>
  <c r="B1250" i="106" s="1"/>
  <c r="D1250" i="106" s="1"/>
  <c r="G129" i="29"/>
  <c r="B5423" i="106"/>
  <c r="D5423" i="106" s="1"/>
  <c r="B5360" i="106"/>
  <c r="D5360" i="106" s="1"/>
  <c r="D5" i="4"/>
  <c r="B3406" i="106" s="1"/>
  <c r="D3406" i="106" s="1"/>
  <c r="B5485" i="106"/>
  <c r="D5485" i="106" s="1"/>
  <c r="D221" i="5"/>
  <c r="B5488" i="106" s="1"/>
  <c r="D5488" i="106" s="1"/>
  <c r="F56" i="34"/>
  <c r="B7832" i="106" s="1"/>
  <c r="D7832" i="106" s="1"/>
  <c r="B2805" i="106"/>
  <c r="D2805" i="106" s="1"/>
  <c r="D14" i="4"/>
  <c r="B2570" i="106" s="1"/>
  <c r="D2570" i="106" s="1"/>
  <c r="C129" i="29"/>
  <c r="B1283" i="106"/>
  <c r="D1283" i="106" s="1"/>
  <c r="K147" i="29"/>
  <c r="B4080" i="106"/>
  <c r="D4080" i="106" s="1"/>
  <c r="H149" i="29"/>
  <c r="B1272" i="106" s="1"/>
  <c r="D1272" i="106" s="1"/>
  <c r="B7047" i="106"/>
  <c r="D7047" i="106" s="1"/>
  <c r="I129" i="29"/>
  <c r="J129" i="29"/>
  <c r="D13" i="3"/>
  <c r="B3414" i="106"/>
  <c r="D3414" i="106" s="1"/>
  <c r="D35" i="36"/>
  <c r="H139" i="29"/>
  <c r="B1267" i="106" s="1"/>
  <c r="D1267" i="106" s="1"/>
  <c r="B2091" i="106"/>
  <c r="D2091" i="106" s="1"/>
  <c r="B5367" i="106"/>
  <c r="D5367" i="106" s="1"/>
  <c r="B4396" i="106"/>
  <c r="D4396" i="106" s="1"/>
  <c r="E139" i="29"/>
  <c r="B4203" i="106" s="1"/>
  <c r="D4203" i="106" s="1"/>
  <c r="B4202" i="106"/>
  <c r="D4202" i="106" s="1"/>
  <c r="B3235" i="106"/>
  <c r="D3235" i="106" s="1"/>
  <c r="D77" i="4"/>
  <c r="B3238" i="106" s="1"/>
  <c r="D3238" i="106" s="1"/>
  <c r="D34" i="3"/>
  <c r="B6126" i="106"/>
  <c r="D6126" i="106" s="1"/>
  <c r="B2986" i="106"/>
  <c r="D2986" i="106" s="1"/>
  <c r="K137" i="29"/>
  <c r="B1235" i="106"/>
  <c r="D1235" i="106" s="1"/>
  <c r="E127" i="29"/>
  <c r="B5330" i="106"/>
  <c r="D5330" i="106" s="1"/>
  <c r="B13" i="7"/>
  <c r="B5348" i="106"/>
  <c r="D5348" i="106" s="1"/>
  <c r="D12" i="5"/>
  <c r="B5328" i="106"/>
  <c r="D5328" i="106" s="1"/>
  <c r="B5" i="7"/>
  <c r="B1329" i="106"/>
  <c r="D1329" i="106" s="1"/>
  <c r="F61" i="34"/>
  <c r="B1324" i="106"/>
  <c r="D1324" i="106" s="1"/>
  <c r="K168" i="29"/>
  <c r="B5509" i="106"/>
  <c r="D5509" i="106" s="1"/>
  <c r="E12" i="5"/>
  <c r="B6" i="7"/>
  <c r="E266" i="5"/>
  <c r="B7747" i="106" s="1"/>
  <c r="D7747" i="106" s="1"/>
  <c r="B6835" i="106"/>
  <c r="D6835" i="106" s="1"/>
  <c r="B1314" i="106"/>
  <c r="D1314" i="106" s="1"/>
  <c r="H172" i="29"/>
  <c r="B1308" i="106"/>
  <c r="D1308" i="106" s="1"/>
  <c r="E174" i="29"/>
  <c r="B1309" i="106" s="1"/>
  <c r="D1309" i="106" s="1"/>
  <c r="B139" i="106"/>
  <c r="D139" i="106" s="1"/>
  <c r="E67" i="5"/>
  <c r="B5521" i="106" s="1"/>
  <c r="D5521" i="106" s="1"/>
  <c r="B7778" i="106"/>
  <c r="D7778" i="106" s="1"/>
  <c r="K160" i="29"/>
  <c r="B4372" i="106"/>
  <c r="D4372" i="106" s="1"/>
  <c r="B5534" i="106"/>
  <c r="D5534" i="106" s="1"/>
  <c r="E170" i="5"/>
  <c r="B131" i="106"/>
  <c r="D131" i="106" s="1"/>
  <c r="G184" i="29"/>
  <c r="B1364" i="106" s="1"/>
  <c r="D1364" i="106" s="1"/>
  <c r="K183" i="29"/>
  <c r="H184" i="29"/>
  <c r="B1370" i="106" s="1"/>
  <c r="D1370" i="106" s="1"/>
  <c r="D72" i="36"/>
  <c r="F34" i="3"/>
  <c r="B6128" i="106"/>
  <c r="D6128" i="106" s="1"/>
  <c r="B5655" i="106"/>
  <c r="D5655" i="106" s="1"/>
  <c r="K182" i="29"/>
  <c r="B1358" i="106"/>
  <c r="D1358" i="106" s="1"/>
  <c r="F210" i="29"/>
  <c r="B1359" i="106" s="1"/>
  <c r="D1359" i="106" s="1"/>
  <c r="F12" i="5"/>
  <c r="B1383" i="106"/>
  <c r="D1383" i="106" s="1"/>
  <c r="K204" i="29"/>
  <c r="B7064" i="106"/>
  <c r="D7064" i="106" s="1"/>
  <c r="J210" i="29"/>
  <c r="B7072" i="106" s="1"/>
  <c r="D7072" i="106" s="1"/>
  <c r="B1747" i="106"/>
  <c r="D1747" i="106" s="1"/>
  <c r="D7" i="7"/>
  <c r="B1763" i="106" s="1"/>
  <c r="D1763" i="106" s="1"/>
  <c r="B7063" i="106"/>
  <c r="D7063" i="106" s="1"/>
  <c r="I210" i="29"/>
  <c r="E196" i="29"/>
  <c r="B1352" i="106" s="1"/>
  <c r="D1352" i="106" s="1"/>
  <c r="B2823" i="106"/>
  <c r="D2823" i="106" s="1"/>
  <c r="H208" i="29"/>
  <c r="B1375" i="106" s="1"/>
  <c r="D1375" i="106" s="1"/>
  <c r="B4156" i="106"/>
  <c r="D4156" i="106" s="1"/>
  <c r="B5614" i="106"/>
  <c r="D5614" i="106" s="1"/>
  <c r="F169" i="5"/>
  <c r="B5644" i="106" s="1"/>
  <c r="D5644" i="106" s="1"/>
  <c r="B1351" i="106"/>
  <c r="D1351" i="106" s="1"/>
  <c r="L184" i="29"/>
  <c r="L210" i="29" s="1"/>
  <c r="B2828" i="106"/>
  <c r="D2828" i="106" s="1"/>
  <c r="H196" i="29"/>
  <c r="B2830" i="106" s="1"/>
  <c r="D2830" i="106" s="1"/>
  <c r="B4211" i="106"/>
  <c r="D4211" i="106" s="1"/>
  <c r="F64" i="34"/>
  <c r="B5599" i="106"/>
  <c r="D5599" i="106" s="1"/>
  <c r="B3007" i="106"/>
  <c r="D3007" i="106" s="1"/>
  <c r="K194" i="29"/>
  <c r="F266" i="5"/>
  <c r="B5713" i="106" s="1"/>
  <c r="D5713" i="106" s="1"/>
  <c r="B4397" i="106"/>
  <c r="D4397" i="106" s="1"/>
  <c r="F67" i="5"/>
  <c r="B5582" i="106" s="1"/>
  <c r="D5582" i="106" s="1"/>
  <c r="B6312" i="106"/>
  <c r="D6312" i="106" s="1"/>
  <c r="F88" i="34"/>
  <c r="F76" i="4"/>
  <c r="B3254" i="106" s="1"/>
  <c r="D3254" i="106" s="1"/>
  <c r="F44" i="4"/>
  <c r="F13" i="3"/>
  <c r="B1345" i="106"/>
  <c r="D1345" i="106" s="1"/>
  <c r="D210" i="29"/>
  <c r="B1346" i="106" s="1"/>
  <c r="D1346" i="106" s="1"/>
  <c r="K180" i="29"/>
  <c r="B4081" i="106"/>
  <c r="D4081" i="106" s="1"/>
  <c r="C184" i="29"/>
  <c r="B5592" i="106"/>
  <c r="D5592" i="106" s="1"/>
  <c r="F5" i="4"/>
  <c r="B3408" i="106" s="1"/>
  <c r="D3408" i="106" s="1"/>
  <c r="F62" i="34"/>
  <c r="B7833" i="106" s="1"/>
  <c r="D7833" i="106" s="1"/>
  <c r="B2836" i="106"/>
  <c r="D2836" i="106" s="1"/>
  <c r="F14" i="4"/>
  <c r="B2597" i="106" s="1"/>
  <c r="D2597" i="106" s="1"/>
  <c r="L229" i="29"/>
  <c r="B4414" i="106"/>
  <c r="D4414" i="106" s="1"/>
  <c r="B1426" i="106"/>
  <c r="D1426" i="106" s="1"/>
  <c r="K260" i="29"/>
  <c r="B1490" i="106" s="1"/>
  <c r="D1490" i="106" s="1"/>
  <c r="B1410" i="106"/>
  <c r="D1410" i="106" s="1"/>
  <c r="K270" i="29"/>
  <c r="B1500" i="106" s="1"/>
  <c r="D1500" i="106" s="1"/>
  <c r="B1492" i="106"/>
  <c r="D1492" i="106" s="1"/>
  <c r="B3390" i="106"/>
  <c r="D3390" i="106" s="1"/>
  <c r="K229" i="29"/>
  <c r="B1501" i="106"/>
  <c r="D1501" i="106" s="1"/>
  <c r="D12" i="171"/>
  <c r="B5739" i="106"/>
  <c r="D5739" i="106" s="1"/>
  <c r="B1748" i="106"/>
  <c r="D1748" i="106" s="1"/>
  <c r="D8" i="7"/>
  <c r="B1764" i="106" s="1"/>
  <c r="D1764" i="106" s="1"/>
  <c r="B1486" i="106"/>
  <c r="D1486" i="106" s="1"/>
  <c r="K257" i="29"/>
  <c r="B1488" i="106" s="1"/>
  <c r="D1488" i="106" s="1"/>
  <c r="B5723" i="106"/>
  <c r="D5723" i="106" s="1"/>
  <c r="B16" i="7"/>
  <c r="B1473" i="106"/>
  <c r="D1473" i="106" s="1"/>
  <c r="F71" i="34"/>
  <c r="F67" i="34"/>
  <c r="B7074" i="106"/>
  <c r="D7074" i="106" s="1"/>
  <c r="B1475" i="106"/>
  <c r="D1475" i="106" s="1"/>
  <c r="K238" i="29"/>
  <c r="B1511" i="106"/>
  <c r="D1511" i="106" s="1"/>
  <c r="F72" i="34"/>
  <c r="G14" i="4"/>
  <c r="B2609" i="106" s="1"/>
  <c r="D2609" i="106" s="1"/>
  <c r="B1512" i="106"/>
  <c r="D1512" i="106" s="1"/>
  <c r="K293" i="29"/>
  <c r="B5752" i="106"/>
  <c r="D5752" i="106" s="1"/>
  <c r="F107" i="34"/>
  <c r="B7843" i="106" s="1"/>
  <c r="D7843" i="106" s="1"/>
  <c r="G169" i="5"/>
  <c r="B1489" i="106"/>
  <c r="D1489" i="106" s="1"/>
  <c r="G114" i="5"/>
  <c r="B1417" i="106"/>
  <c r="D1417" i="106" s="1"/>
  <c r="B3723" i="106"/>
  <c r="D3723" i="106" s="1"/>
  <c r="K285" i="29"/>
  <c r="B7078" i="106"/>
  <c r="D7078" i="106" s="1"/>
  <c r="F69" i="34"/>
  <c r="B1452" i="106"/>
  <c r="D1452" i="106" s="1"/>
  <c r="H295" i="29"/>
  <c r="B1454" i="106" s="1"/>
  <c r="D1454" i="106" s="1"/>
  <c r="B5784" i="106"/>
  <c r="D5784" i="106" s="1"/>
  <c r="B1421" i="106"/>
  <c r="D1421" i="106" s="1"/>
  <c r="D261" i="29"/>
  <c r="L279" i="29"/>
  <c r="D38" i="36"/>
  <c r="G13" i="3"/>
  <c r="B3422" i="106"/>
  <c r="D3422" i="106" s="1"/>
  <c r="B4357" i="106"/>
  <c r="D4357" i="106" s="1"/>
  <c r="B1442" i="106"/>
  <c r="D1442" i="106" s="1"/>
  <c r="K276" i="29"/>
  <c r="B1506" i="106" s="1"/>
  <c r="D1506" i="106" s="1"/>
  <c r="D37" i="108"/>
  <c r="F37" i="108"/>
  <c r="B1470" i="106"/>
  <c r="D1470" i="106" s="1"/>
  <c r="F70" i="34"/>
  <c r="B5847" i="106"/>
  <c r="D5847" i="106" s="1"/>
  <c r="B1482" i="106"/>
  <c r="D1482" i="106" s="1"/>
  <c r="K243" i="29"/>
  <c r="B1485" i="106" s="1"/>
  <c r="D1485" i="106" s="1"/>
  <c r="B3258" i="106"/>
  <c r="D3258" i="106" s="1"/>
  <c r="G77" i="4"/>
  <c r="B3261" i="106" s="1"/>
  <c r="D3261" i="106" s="1"/>
  <c r="G204" i="5"/>
  <c r="B5803" i="106" s="1"/>
  <c r="D5803" i="106" s="1"/>
  <c r="B7076" i="106"/>
  <c r="D7076" i="106" s="1"/>
  <c r="F68" i="34"/>
  <c r="B5756" i="106"/>
  <c r="D5756" i="106" s="1"/>
  <c r="B5780" i="106"/>
  <c r="D5780" i="106" s="1"/>
  <c r="B4398" i="106"/>
  <c r="D4398" i="106" s="1"/>
  <c r="B188" i="106"/>
  <c r="D188" i="106" s="1"/>
  <c r="H67" i="5"/>
  <c r="B5881" i="106" s="1"/>
  <c r="D5881" i="106" s="1"/>
  <c r="B7107" i="106"/>
  <c r="D7107" i="106" s="1"/>
  <c r="K310" i="29"/>
  <c r="B1751" i="106"/>
  <c r="D1751" i="106" s="1"/>
  <c r="D9" i="7"/>
  <c r="B1767" i="106" s="1"/>
  <c r="D1767" i="106" s="1"/>
  <c r="B6299" i="106"/>
  <c r="D6299" i="106" s="1"/>
  <c r="B14" i="7"/>
  <c r="C312" i="29"/>
  <c r="B1524" i="106" s="1"/>
  <c r="D1524" i="106" s="1"/>
  <c r="B1523" i="106"/>
  <c r="D1523" i="106" s="1"/>
  <c r="B1529" i="106"/>
  <c r="D1529" i="106" s="1"/>
  <c r="D312" i="29"/>
  <c r="B1530" i="106" s="1"/>
  <c r="D1530" i="106" s="1"/>
  <c r="B4950" i="106"/>
  <c r="D4950" i="106" s="1"/>
  <c r="B1555" i="106"/>
  <c r="D1555" i="106" s="1"/>
  <c r="K303" i="29"/>
  <c r="B1541" i="106"/>
  <c r="D1541" i="106" s="1"/>
  <c r="F312" i="29"/>
  <c r="B1542" i="106" s="1"/>
  <c r="D1542" i="106" s="1"/>
  <c r="B1553" i="106"/>
  <c r="D1553" i="106" s="1"/>
  <c r="H312" i="29"/>
  <c r="B1554" i="106" s="1"/>
  <c r="D1554" i="106" s="1"/>
  <c r="H13" i="3"/>
  <c r="D39" i="36"/>
  <c r="B3425" i="106"/>
  <c r="D3425" i="106" s="1"/>
  <c r="B3296" i="106"/>
  <c r="D3296" i="106" s="1"/>
  <c r="H77" i="4"/>
  <c r="B3299" i="106" s="1"/>
  <c r="D3299" i="106" s="1"/>
  <c r="B5893" i="106"/>
  <c r="D5893" i="106" s="1"/>
  <c r="H170" i="5"/>
  <c r="B1535" i="106"/>
  <c r="D1535" i="106" s="1"/>
  <c r="E312" i="29"/>
  <c r="B1536" i="106" s="1"/>
  <c r="D1536" i="106" s="1"/>
  <c r="B7103" i="106"/>
  <c r="D7103" i="106" s="1"/>
  <c r="I312" i="29"/>
  <c r="B7116" i="106" s="1"/>
  <c r="D7116" i="106" s="1"/>
  <c r="H266" i="5"/>
  <c r="B4441" i="106" s="1"/>
  <c r="D4441" i="106" s="1"/>
  <c r="B6838" i="106"/>
  <c r="D6838" i="106" s="1"/>
  <c r="B6285" i="106"/>
  <c r="D6285" i="106" s="1"/>
  <c r="E44" i="4"/>
  <c r="B1547" i="106"/>
  <c r="D1547" i="106" s="1"/>
  <c r="G312" i="29"/>
  <c r="B1548" i="106" s="1"/>
  <c r="D1548" i="106" s="1"/>
  <c r="B7104" i="106"/>
  <c r="D7104" i="106" s="1"/>
  <c r="J312" i="29"/>
  <c r="B7117" i="106" s="1"/>
  <c r="D7117" i="106" s="1"/>
  <c r="B211" i="106"/>
  <c r="D211" i="106" s="1"/>
  <c r="L303" i="29"/>
  <c r="L312" i="29" s="1"/>
  <c r="I13" i="3"/>
  <c r="D40" i="36"/>
  <c r="B3427" i="106"/>
  <c r="D3427" i="106" s="1"/>
  <c r="H24" i="118"/>
  <c r="B2910" i="106"/>
  <c r="D2910" i="106" s="1"/>
  <c r="B10" i="7"/>
  <c r="B5916" i="106"/>
  <c r="D5916" i="106" s="1"/>
  <c r="I12" i="5"/>
  <c r="I67" i="5"/>
  <c r="B5926" i="106" s="1"/>
  <c r="D5926" i="106" s="1"/>
  <c r="B4363" i="106"/>
  <c r="D4363" i="106" s="1"/>
  <c r="I170" i="5"/>
  <c r="B18" i="7"/>
  <c r="B6217" i="106"/>
  <c r="D6217" i="106" s="1"/>
  <c r="D41" i="36"/>
  <c r="J13" i="3"/>
  <c r="B6124" i="106" s="1"/>
  <c r="D6124" i="106" s="1"/>
  <c r="B7696" i="106"/>
  <c r="D7696" i="106" s="1"/>
  <c r="E66" i="184"/>
  <c r="N66" i="184" s="1"/>
  <c r="B7171" i="106"/>
  <c r="D7171" i="106" s="1"/>
  <c r="E62" i="184"/>
  <c r="N62" i="184" s="1"/>
  <c r="B7206" i="106"/>
  <c r="D7206" i="106" s="1"/>
  <c r="J342" i="29"/>
  <c r="B7223" i="106" s="1"/>
  <c r="D7223" i="106" s="1"/>
  <c r="B7705" i="106"/>
  <c r="D7705" i="106" s="1"/>
  <c r="E67" i="184"/>
  <c r="N67" i="184" s="1"/>
  <c r="B7189" i="106"/>
  <c r="D7189" i="106" s="1"/>
  <c r="E64" i="184"/>
  <c r="N64" i="184" s="1"/>
  <c r="D342" i="29"/>
  <c r="B7217" i="106" s="1"/>
  <c r="D7217" i="106" s="1"/>
  <c r="B7200" i="106"/>
  <c r="D7200" i="106" s="1"/>
  <c r="E65" i="184"/>
  <c r="N65" i="184" s="1"/>
  <c r="B7198" i="106"/>
  <c r="D7198" i="106" s="1"/>
  <c r="J67" i="5"/>
  <c r="B6318" i="106" s="1"/>
  <c r="D6318" i="106" s="1"/>
  <c r="L330" i="29"/>
  <c r="L342" i="29" s="1"/>
  <c r="B7202" i="106"/>
  <c r="D7202" i="106" s="1"/>
  <c r="F342" i="29"/>
  <c r="B7219" i="106" s="1"/>
  <c r="D7219" i="106" s="1"/>
  <c r="B6238" i="106"/>
  <c r="D6238" i="106" s="1"/>
  <c r="J77" i="4"/>
  <c r="B6262" i="106" s="1"/>
  <c r="D6262" i="106" s="1"/>
  <c r="B6357" i="106"/>
  <c r="D6357" i="106" s="1"/>
  <c r="J170" i="5"/>
  <c r="K330" i="29"/>
  <c r="E57" i="184"/>
  <c r="B7126" i="106"/>
  <c r="D7126" i="106" s="1"/>
  <c r="B6301" i="106"/>
  <c r="D6301" i="106" s="1"/>
  <c r="B7209" i="106"/>
  <c r="D7209" i="106" s="1"/>
  <c r="K340" i="29"/>
  <c r="B7205" i="106"/>
  <c r="D7205" i="106" s="1"/>
  <c r="I342" i="29"/>
  <c r="B7204" i="106"/>
  <c r="D7204" i="106" s="1"/>
  <c r="H342" i="29"/>
  <c r="B7221" i="106" s="1"/>
  <c r="D7221" i="106" s="1"/>
  <c r="B7199" i="106"/>
  <c r="D7199" i="106" s="1"/>
  <c r="C342" i="29"/>
  <c r="B7216" i="106" s="1"/>
  <c r="D7216" i="106" s="1"/>
  <c r="B1752" i="106"/>
  <c r="D1752" i="106" s="1"/>
  <c r="D11" i="7"/>
  <c r="B1768" i="106" s="1"/>
  <c r="D1768" i="106" s="1"/>
  <c r="B6191" i="106"/>
  <c r="D6191" i="106" s="1"/>
  <c r="B7135" i="106"/>
  <c r="D7135" i="106" s="1"/>
  <c r="E58" i="184"/>
  <c r="N58" i="184" s="1"/>
  <c r="B7153" i="106"/>
  <c r="D7153" i="106" s="1"/>
  <c r="E60" i="184"/>
  <c r="N60" i="184" s="1"/>
  <c r="B7201" i="106"/>
  <c r="D7201" i="106" s="1"/>
  <c r="E342" i="29"/>
  <c r="B7218" i="106" s="1"/>
  <c r="D7218" i="106" s="1"/>
  <c r="B7203" i="106"/>
  <c r="D7203" i="106" s="1"/>
  <c r="G342" i="29"/>
  <c r="B7162" i="106"/>
  <c r="D7162" i="106" s="1"/>
  <c r="E61" i="184"/>
  <c r="N61" i="184" s="1"/>
  <c r="B6400" i="106"/>
  <c r="D6400" i="106" s="1"/>
  <c r="J267" i="5"/>
  <c r="B7180" i="106"/>
  <c r="D7180" i="106" s="1"/>
  <c r="E63" i="184"/>
  <c r="N63" i="184" s="1"/>
  <c r="E59" i="184"/>
  <c r="N59" i="184" s="1"/>
  <c r="B7144" i="106"/>
  <c r="D7144" i="106" s="1"/>
  <c r="B3668" i="106"/>
  <c r="D3668" i="106" s="1"/>
  <c r="K350" i="29"/>
  <c r="B3675" i="106"/>
  <c r="D3675" i="106" s="1"/>
  <c r="K362" i="29"/>
  <c r="B5987" i="106"/>
  <c r="D5987" i="106" s="1"/>
  <c r="B3619" i="106"/>
  <c r="D3619" i="106" s="1"/>
  <c r="C352" i="29"/>
  <c r="K364" i="29"/>
  <c r="B7746" i="106" s="1"/>
  <c r="D7746" i="106" s="1"/>
  <c r="B7745" i="106"/>
  <c r="D7745" i="106" s="1"/>
  <c r="B7231" i="106"/>
  <c r="D7231" i="106" s="1"/>
  <c r="J352" i="29"/>
  <c r="B6006" i="106"/>
  <c r="D6006" i="106" s="1"/>
  <c r="K170" i="5"/>
  <c r="B2105" i="106"/>
  <c r="D2105" i="106" s="1"/>
  <c r="I76" i="4"/>
  <c r="B3584" i="106"/>
  <c r="D3584" i="106" s="1"/>
  <c r="K77" i="4"/>
  <c r="B3587" i="106" s="1"/>
  <c r="D3587" i="106" s="1"/>
  <c r="B3673" i="106"/>
  <c r="D3673" i="106" s="1"/>
  <c r="K357" i="29"/>
  <c r="B4951" i="106"/>
  <c r="D4951" i="106" s="1"/>
  <c r="K267" i="5"/>
  <c r="B7230" i="106"/>
  <c r="D7230" i="106" s="1"/>
  <c r="I352" i="29"/>
  <c r="K34" i="3"/>
  <c r="B3633" i="106"/>
  <c r="D3633" i="106" s="1"/>
  <c r="E352" i="29"/>
  <c r="D42" i="36"/>
  <c r="K13" i="3"/>
  <c r="B3546" i="106"/>
  <c r="D3546" i="106" s="1"/>
  <c r="B3626" i="106"/>
  <c r="D3626" i="106" s="1"/>
  <c r="D352" i="29"/>
  <c r="B3654" i="106"/>
  <c r="D3654" i="106" s="1"/>
  <c r="H352" i="29"/>
  <c r="F352" i="29"/>
  <c r="B3640" i="106"/>
  <c r="D3640" i="106" s="1"/>
  <c r="B3658" i="106"/>
  <c r="D3658" i="106" s="1"/>
  <c r="H365" i="29"/>
  <c r="B7242" i="106" s="1"/>
  <c r="D7242" i="106" s="1"/>
  <c r="G352" i="29"/>
  <c r="B3647" i="106"/>
  <c r="D3647" i="106" s="1"/>
  <c r="K67" i="5"/>
  <c r="B5995" i="106" s="1"/>
  <c r="D5995" i="106" s="1"/>
  <c r="B1753" i="106"/>
  <c r="D1753" i="106" s="1"/>
  <c r="D12" i="7"/>
  <c r="C204" i="5"/>
  <c r="B5247" i="106"/>
  <c r="D5247" i="106" s="1"/>
  <c r="B5246" i="106"/>
  <c r="D5246" i="106" s="1"/>
  <c r="F126" i="34"/>
  <c r="B1617" i="106"/>
  <c r="D1617" i="106" s="1"/>
  <c r="F108" i="34" l="1"/>
  <c r="B7844" i="106" s="1"/>
  <c r="D7844" i="106" s="1"/>
  <c r="G210" i="29"/>
  <c r="D15" i="7"/>
  <c r="B1772" i="106" s="1"/>
  <c r="D1772" i="106" s="1"/>
  <c r="F35" i="34"/>
  <c r="B7827" i="106" s="1"/>
  <c r="D7827" i="106" s="1"/>
  <c r="G266" i="5"/>
  <c r="B5863" i="106" s="1"/>
  <c r="D5863" i="106" s="1"/>
  <c r="F124" i="34"/>
  <c r="B7856" i="106" s="1"/>
  <c r="D7856" i="106" s="1"/>
  <c r="G22" i="108"/>
  <c r="K261" i="29"/>
  <c r="B1491" i="106" s="1"/>
  <c r="D1491" i="106" s="1"/>
  <c r="F133" i="34"/>
  <c r="B7865" i="106" s="1"/>
  <c r="D7865" i="106" s="1"/>
  <c r="F112" i="34"/>
  <c r="B7847" i="106" s="1"/>
  <c r="D7847" i="106" s="1"/>
  <c r="E22" i="108"/>
  <c r="B1233" i="106"/>
  <c r="D1233" i="106" s="1"/>
  <c r="F125" i="34"/>
  <c r="B7857" i="106" s="1"/>
  <c r="D7857" i="106" s="1"/>
  <c r="L295" i="29"/>
  <c r="D170" i="5"/>
  <c r="F158" i="34"/>
  <c r="B7866" i="106" s="1"/>
  <c r="D7866" i="106" s="1"/>
  <c r="K42" i="29"/>
  <c r="E21" i="108" s="1"/>
  <c r="J109" i="5"/>
  <c r="J4" i="4" s="1"/>
  <c r="H109" i="5"/>
  <c r="B6025" i="106" s="1"/>
  <c r="D6025" i="106" s="1"/>
  <c r="C266" i="5"/>
  <c r="C114" i="29"/>
  <c r="B757" i="106" s="1"/>
  <c r="D757" i="106" s="1"/>
  <c r="F96" i="34"/>
  <c r="B7838" i="106" s="1"/>
  <c r="D7838" i="106" s="1"/>
  <c r="L74" i="29"/>
  <c r="L114" i="29" s="1"/>
  <c r="D74" i="29"/>
  <c r="B813" i="106" s="1"/>
  <c r="D813" i="106" s="1"/>
  <c r="F114" i="29"/>
  <c r="B931" i="106" s="1"/>
  <c r="D931" i="106" s="1"/>
  <c r="E14" i="184"/>
  <c r="H14" i="184" s="1"/>
  <c r="B1124" i="106"/>
  <c r="D1124" i="106" s="1"/>
  <c r="F128" i="34"/>
  <c r="B7860" i="106" s="1"/>
  <c r="D7860" i="106" s="1"/>
  <c r="B1134" i="106"/>
  <c r="D1134" i="106" s="1"/>
  <c r="K72" i="29"/>
  <c r="B1141" i="106" s="1"/>
  <c r="D1141" i="106" s="1"/>
  <c r="E17" i="184"/>
  <c r="H17" i="184" s="1"/>
  <c r="E33" i="108"/>
  <c r="G33" i="108"/>
  <c r="C109" i="5"/>
  <c r="B952" i="106"/>
  <c r="D952" i="106" s="1"/>
  <c r="B5125" i="106"/>
  <c r="D5125" i="106" s="1"/>
  <c r="C5" i="4"/>
  <c r="B3405" i="106" s="1"/>
  <c r="D3405" i="106" s="1"/>
  <c r="B1093" i="106"/>
  <c r="D1093" i="106" s="1"/>
  <c r="K33" i="29"/>
  <c r="B2088" i="106"/>
  <c r="D2088" i="106" s="1"/>
  <c r="K102" i="29"/>
  <c r="B1128" i="106"/>
  <c r="D1128" i="106" s="1"/>
  <c r="E28" i="108"/>
  <c r="F28" i="108"/>
  <c r="B5132" i="106"/>
  <c r="D5132" i="106" s="1"/>
  <c r="H12" i="184"/>
  <c r="F95" i="34"/>
  <c r="B5096" i="106"/>
  <c r="D5096" i="106" s="1"/>
  <c r="K112" i="29"/>
  <c r="B1151" i="106"/>
  <c r="D1151" i="106" s="1"/>
  <c r="B1131" i="106"/>
  <c r="D1131" i="106" s="1"/>
  <c r="E16" i="184"/>
  <c r="H16" i="184" s="1"/>
  <c r="F31" i="108"/>
  <c r="D31" i="108"/>
  <c r="D41" i="108" s="1"/>
  <c r="E43" i="108" s="1"/>
  <c r="J114" i="29"/>
  <c r="B7021" i="106" s="1"/>
  <c r="D7021" i="106" s="1"/>
  <c r="H74" i="29"/>
  <c r="B5147" i="106"/>
  <c r="D5147" i="106" s="1"/>
  <c r="C169" i="5"/>
  <c r="B5214" i="106" s="1"/>
  <c r="D5214" i="106" s="1"/>
  <c r="G74" i="29"/>
  <c r="B987" i="106" s="1"/>
  <c r="D987" i="106" s="1"/>
  <c r="B3229" i="106"/>
  <c r="D3229" i="106" s="1"/>
  <c r="C77" i="4"/>
  <c r="B3232" i="106" s="1"/>
  <c r="D3232" i="106" s="1"/>
  <c r="K57" i="29"/>
  <c r="B1125" i="106" s="1"/>
  <c r="D1125" i="106" s="1"/>
  <c r="K65" i="29"/>
  <c r="B1133" i="106" s="1"/>
  <c r="D1133" i="106" s="1"/>
  <c r="B6902" i="106"/>
  <c r="D6902" i="106" s="1"/>
  <c r="I114" i="29"/>
  <c r="E114" i="29"/>
  <c r="B873" i="106" s="1"/>
  <c r="D873" i="106" s="1"/>
  <c r="K129" i="29"/>
  <c r="B1281" i="106" s="1"/>
  <c r="D1281" i="106" s="1"/>
  <c r="D266" i="5"/>
  <c r="B5501" i="106" s="1"/>
  <c r="D5501" i="106" s="1"/>
  <c r="H151" i="29"/>
  <c r="B1273" i="106" s="1"/>
  <c r="D1273" i="106" s="1"/>
  <c r="B5334" i="106"/>
  <c r="D5334" i="106" s="1"/>
  <c r="B1225" i="106"/>
  <c r="D1225" i="106" s="1"/>
  <c r="C151" i="29"/>
  <c r="B1226" i="106" s="1"/>
  <c r="D1226" i="106" s="1"/>
  <c r="B1258" i="106"/>
  <c r="D1258" i="106" s="1"/>
  <c r="G151" i="29"/>
  <c r="B109" i="106"/>
  <c r="D109" i="106" s="1"/>
  <c r="B3725" i="106"/>
  <c r="D3725" i="106" s="1"/>
  <c r="D13" i="7"/>
  <c r="B3726" i="106" s="1"/>
  <c r="D3726" i="106" s="1"/>
  <c r="B7038" i="106"/>
  <c r="D7038" i="106" s="1"/>
  <c r="J151" i="29"/>
  <c r="B7052" i="106" s="1"/>
  <c r="D7052" i="106" s="1"/>
  <c r="B1239" i="106"/>
  <c r="D1239" i="106" s="1"/>
  <c r="E129" i="29"/>
  <c r="B5341" i="106"/>
  <c r="D5341" i="106" s="1"/>
  <c r="D67" i="5"/>
  <c r="B5342" i="106" s="1"/>
  <c r="D5342" i="106" s="1"/>
  <c r="B7037" i="106"/>
  <c r="D7037" i="106" s="1"/>
  <c r="I151" i="29"/>
  <c r="K139" i="29"/>
  <c r="B2093" i="106"/>
  <c r="D2093" i="106" s="1"/>
  <c r="B5421" i="106"/>
  <c r="D5421" i="106" s="1"/>
  <c r="D6" i="4"/>
  <c r="B2566" i="106" s="1"/>
  <c r="D2566" i="106" s="1"/>
  <c r="B1745" i="106"/>
  <c r="D1745" i="106" s="1"/>
  <c r="D5" i="7"/>
  <c r="B1761" i="106" s="1"/>
  <c r="D1761" i="106" s="1"/>
  <c r="B122" i="106"/>
  <c r="D122" i="106" s="1"/>
  <c r="K149" i="29"/>
  <c r="B7048" i="106"/>
  <c r="D7048" i="106" s="1"/>
  <c r="F19" i="184"/>
  <c r="H15" i="184"/>
  <c r="E267" i="5"/>
  <c r="E7" i="4" s="1"/>
  <c r="B4443" i="106" s="1"/>
  <c r="D4443" i="106" s="1"/>
  <c r="B5544" i="106"/>
  <c r="D5544" i="106" s="1"/>
  <c r="E6" i="4"/>
  <c r="B2631" i="106" s="1"/>
  <c r="D2631" i="106" s="1"/>
  <c r="D6" i="7"/>
  <c r="B1762" i="106" s="1"/>
  <c r="D1762" i="106" s="1"/>
  <c r="B1746" i="106"/>
  <c r="D1746" i="106" s="1"/>
  <c r="H174" i="29"/>
  <c r="B1318" i="106" s="1"/>
  <c r="D1318" i="106" s="1"/>
  <c r="B1317" i="106"/>
  <c r="D1317" i="106" s="1"/>
  <c r="F60" i="34"/>
  <c r="E15" i="4"/>
  <c r="B1323" i="106"/>
  <c r="D1323" i="106" s="1"/>
  <c r="B5513" i="106"/>
  <c r="D5513" i="106" s="1"/>
  <c r="E109" i="5"/>
  <c r="K172" i="29"/>
  <c r="B1328" i="106"/>
  <c r="D1328" i="106" s="1"/>
  <c r="B1380" i="106"/>
  <c r="D1380" i="106" s="1"/>
  <c r="E38" i="108"/>
  <c r="G38" i="108"/>
  <c r="B5557" i="106"/>
  <c r="D5557" i="106" s="1"/>
  <c r="F109" i="5"/>
  <c r="B1377" i="106"/>
  <c r="D1377" i="106" s="1"/>
  <c r="G29" i="108"/>
  <c r="E29" i="108"/>
  <c r="B157" i="106"/>
  <c r="D157" i="106" s="1"/>
  <c r="B3252" i="106"/>
  <c r="D3252" i="106" s="1"/>
  <c r="F77" i="4"/>
  <c r="B3255" i="106" s="1"/>
  <c r="D3255" i="106" s="1"/>
  <c r="B7071" i="106"/>
  <c r="D7071" i="106" s="1"/>
  <c r="F66" i="34"/>
  <c r="B1365" i="106"/>
  <c r="D1365" i="106" s="1"/>
  <c r="F65" i="34"/>
  <c r="H210" i="29"/>
  <c r="B1376" i="106" s="1"/>
  <c r="D1376" i="106" s="1"/>
  <c r="E210" i="29"/>
  <c r="B1353" i="106" s="1"/>
  <c r="D1353" i="106" s="1"/>
  <c r="B1339" i="106"/>
  <c r="D1339" i="106" s="1"/>
  <c r="C210" i="29"/>
  <c r="B1340" i="106" s="1"/>
  <c r="D1340" i="106" s="1"/>
  <c r="F267" i="5"/>
  <c r="B2837" i="106"/>
  <c r="D2837" i="106" s="1"/>
  <c r="K196" i="29"/>
  <c r="K184" i="29"/>
  <c r="B4087" i="106"/>
  <c r="D4087" i="106" s="1"/>
  <c r="B4157" i="106"/>
  <c r="D4157" i="106" s="1"/>
  <c r="K208" i="29"/>
  <c r="F170" i="5"/>
  <c r="B169" i="106"/>
  <c r="D169" i="106" s="1"/>
  <c r="B3724" i="106"/>
  <c r="D3724" i="106" s="1"/>
  <c r="F73" i="34"/>
  <c r="G15" i="4"/>
  <c r="B6032" i="106" s="1"/>
  <c r="D6032" i="106" s="1"/>
  <c r="B1515" i="106"/>
  <c r="D1515" i="106" s="1"/>
  <c r="G16" i="4"/>
  <c r="B2611" i="106" s="1"/>
  <c r="D2611" i="106" s="1"/>
  <c r="B3446" i="106"/>
  <c r="D3446" i="106" s="1"/>
  <c r="D16" i="7"/>
  <c r="B3447" i="106" s="1"/>
  <c r="D3447" i="106" s="1"/>
  <c r="B1427" i="106"/>
  <c r="D1427" i="106" s="1"/>
  <c r="G12" i="4"/>
  <c r="B1474" i="106"/>
  <c r="D1474" i="106" s="1"/>
  <c r="D279" i="29"/>
  <c r="B1481" i="106"/>
  <c r="D1481" i="106" s="1"/>
  <c r="B5741" i="106"/>
  <c r="D5741" i="106" s="1"/>
  <c r="G5" i="4"/>
  <c r="B3409" i="106" s="1"/>
  <c r="D3409" i="106" s="1"/>
  <c r="G170" i="5"/>
  <c r="B5770" i="106"/>
  <c r="D5770" i="106" s="1"/>
  <c r="K277" i="29"/>
  <c r="B1508" i="106" s="1"/>
  <c r="D1508" i="106" s="1"/>
  <c r="B180" i="106"/>
  <c r="D180" i="106" s="1"/>
  <c r="B5732" i="106"/>
  <c r="D5732" i="106" s="1"/>
  <c r="G67" i="5"/>
  <c r="B19" i="7"/>
  <c r="B1759" i="106" s="1"/>
  <c r="D1759" i="106" s="1"/>
  <c r="B203" i="106"/>
  <c r="D203" i="106" s="1"/>
  <c r="B1754" i="106"/>
  <c r="D1754" i="106" s="1"/>
  <c r="D14" i="7"/>
  <c r="B1770" i="106" s="1"/>
  <c r="D1770" i="106" s="1"/>
  <c r="K312" i="29"/>
  <c r="B1560" i="106" s="1"/>
  <c r="D1560" i="106" s="1"/>
  <c r="H13" i="4"/>
  <c r="B1559" i="106"/>
  <c r="D1559" i="106" s="1"/>
  <c r="B5906" i="106"/>
  <c r="D5906" i="106" s="1"/>
  <c r="H6" i="4"/>
  <c r="B2656" i="106" s="1"/>
  <c r="D2656" i="106" s="1"/>
  <c r="H267" i="5"/>
  <c r="H15" i="4"/>
  <c r="B2660" i="106" s="1"/>
  <c r="D2660" i="106" s="1"/>
  <c r="B2102" i="106"/>
  <c r="D2102" i="106" s="1"/>
  <c r="B3274" i="106"/>
  <c r="D3274" i="106" s="1"/>
  <c r="E77" i="4"/>
  <c r="D18" i="7"/>
  <c r="B4105" i="106" s="1"/>
  <c r="D4105" i="106" s="1"/>
  <c r="B4103" i="106"/>
  <c r="D4103" i="106" s="1"/>
  <c r="B4216" i="106"/>
  <c r="D4216" i="106" s="1"/>
  <c r="I6" i="4"/>
  <c r="B5011" i="106" s="1"/>
  <c r="D5011" i="106" s="1"/>
  <c r="B5918" i="106"/>
  <c r="D5918" i="106" s="1"/>
  <c r="I109" i="5"/>
  <c r="B1749" i="106"/>
  <c r="D1749" i="106" s="1"/>
  <c r="D10" i="7"/>
  <c r="B1765" i="106" s="1"/>
  <c r="D1765" i="106" s="1"/>
  <c r="B2888" i="106"/>
  <c r="D2888" i="106" s="1"/>
  <c r="B7215" i="106"/>
  <c r="D7215" i="106" s="1"/>
  <c r="J16" i="4"/>
  <c r="B6226" i="106" s="1"/>
  <c r="D6226" i="106" s="1"/>
  <c r="B7222" i="106"/>
  <c r="D7222" i="106" s="1"/>
  <c r="F76" i="34"/>
  <c r="B7887" i="106" s="1"/>
  <c r="D7887" i="106" s="1"/>
  <c r="B7054" i="106"/>
  <c r="D7054" i="106" s="1"/>
  <c r="J7" i="4"/>
  <c r="B6222" i="106" s="1"/>
  <c r="D6222" i="106" s="1"/>
  <c r="N57" i="184"/>
  <c r="N68" i="184" s="1"/>
  <c r="E68" i="184"/>
  <c r="B7220" i="106"/>
  <c r="D7220" i="106" s="1"/>
  <c r="F75" i="34"/>
  <c r="E23" i="108"/>
  <c r="G23" i="108"/>
  <c r="B7207" i="106"/>
  <c r="D7207" i="106" s="1"/>
  <c r="K342" i="29"/>
  <c r="J13" i="4"/>
  <c r="B6397" i="106"/>
  <c r="D6397" i="106" s="1"/>
  <c r="J6" i="4"/>
  <c r="B6221" i="106" s="1"/>
  <c r="D6221" i="106" s="1"/>
  <c r="I367" i="29"/>
  <c r="B7234" i="106"/>
  <c r="D7234" i="106" s="1"/>
  <c r="J367" i="29"/>
  <c r="B7245" i="106" s="1"/>
  <c r="D7245" i="106" s="1"/>
  <c r="B7235" i="106"/>
  <c r="D7235" i="106" s="1"/>
  <c r="F367" i="29"/>
  <c r="B3643" i="106" s="1"/>
  <c r="D3643" i="106" s="1"/>
  <c r="B3642" i="106"/>
  <c r="D3642" i="106" s="1"/>
  <c r="B3656" i="106"/>
  <c r="D3656" i="106" s="1"/>
  <c r="H367" i="29"/>
  <c r="B3660" i="106" s="1"/>
  <c r="D3660" i="106" s="1"/>
  <c r="B6022" i="106"/>
  <c r="D6022" i="106" s="1"/>
  <c r="K7" i="4"/>
  <c r="B3718" i="106" s="1"/>
  <c r="D3718" i="106" s="1"/>
  <c r="B1769" i="106"/>
  <c r="D1769" i="106" s="1"/>
  <c r="D367" i="29"/>
  <c r="B3629" i="106" s="1"/>
  <c r="D3629" i="106" s="1"/>
  <c r="B3628" i="106"/>
  <c r="D3628" i="106" s="1"/>
  <c r="B3674" i="106"/>
  <c r="D3674" i="106" s="1"/>
  <c r="K15" i="4"/>
  <c r="B3573" i="106" s="1"/>
  <c r="D3573" i="106" s="1"/>
  <c r="B3621" i="106"/>
  <c r="D3621" i="106" s="1"/>
  <c r="C367" i="29"/>
  <c r="B3622" i="106" s="1"/>
  <c r="D3622" i="106" s="1"/>
  <c r="K109" i="5"/>
  <c r="B3552" i="106"/>
  <c r="D3552" i="106" s="1"/>
  <c r="I77" i="4"/>
  <c r="B3318" i="106"/>
  <c r="D3318" i="106" s="1"/>
  <c r="B3676" i="106"/>
  <c r="D3676" i="106" s="1"/>
  <c r="K365" i="29"/>
  <c r="B3649" i="106"/>
  <c r="D3649" i="106" s="1"/>
  <c r="G367" i="29"/>
  <c r="B3650" i="106" s="1"/>
  <c r="D3650" i="106" s="1"/>
  <c r="B3635" i="106"/>
  <c r="D3635" i="106" s="1"/>
  <c r="E367" i="29"/>
  <c r="B3636" i="106" s="1"/>
  <c r="D3636" i="106" s="1"/>
  <c r="K6" i="4"/>
  <c r="B3570" i="106" s="1"/>
  <c r="D3570" i="106" s="1"/>
  <c r="B6014" i="106"/>
  <c r="D6014" i="106" s="1"/>
  <c r="B3670" i="106"/>
  <c r="D3670" i="106" s="1"/>
  <c r="K352" i="29"/>
  <c r="B3565" i="106"/>
  <c r="D3565" i="106" s="1"/>
  <c r="B5260" i="106"/>
  <c r="D5260" i="106" s="1"/>
  <c r="F127" i="34"/>
  <c r="B7859" i="106" s="1"/>
  <c r="D7859" i="106" s="1"/>
  <c r="C267" i="5"/>
  <c r="B5320" i="106"/>
  <c r="D5320" i="106" s="1"/>
  <c r="B7858" i="106"/>
  <c r="D7858" i="106" s="1"/>
  <c r="G267" i="5" l="1"/>
  <c r="B6352" i="106"/>
  <c r="D6352" i="106" s="1"/>
  <c r="J268" i="5"/>
  <c r="G21" i="108"/>
  <c r="B1115" i="106"/>
  <c r="D1115" i="106" s="1"/>
  <c r="D267" i="5"/>
  <c r="D7" i="4" s="1"/>
  <c r="B2567" i="106" s="1"/>
  <c r="D2567" i="106" s="1"/>
  <c r="H4" i="4"/>
  <c r="B2655" i="106" s="1"/>
  <c r="D2655" i="106" s="1"/>
  <c r="H268" i="5"/>
  <c r="K313" i="29" s="1"/>
  <c r="B1561" i="106" s="1"/>
  <c r="D1561" i="106" s="1"/>
  <c r="D13" i="4"/>
  <c r="B2569" i="106" s="1"/>
  <c r="D2569" i="106" s="1"/>
  <c r="B4434" i="106"/>
  <c r="D4434" i="106" s="1"/>
  <c r="K151" i="29"/>
  <c r="F9" i="34" s="1"/>
  <c r="D114" i="29"/>
  <c r="B815" i="106" s="1"/>
  <c r="D815" i="106" s="1"/>
  <c r="G114" i="29"/>
  <c r="B989" i="106" s="1"/>
  <c r="D989" i="106" s="1"/>
  <c r="F41" i="108"/>
  <c r="G43" i="108" s="1"/>
  <c r="H19" i="184"/>
  <c r="L20" i="184" s="1"/>
  <c r="B5121" i="106"/>
  <c r="D5121" i="106" s="1"/>
  <c r="C4" i="4"/>
  <c r="B2551" i="106" s="1"/>
  <c r="D2551" i="106" s="1"/>
  <c r="E24" i="108"/>
  <c r="F53" i="34"/>
  <c r="B1145" i="106"/>
  <c r="D1145" i="106" s="1"/>
  <c r="C15" i="4"/>
  <c r="B2559" i="106" s="1"/>
  <c r="D2559" i="106" s="1"/>
  <c r="G24" i="108"/>
  <c r="B7019" i="106"/>
  <c r="D7019" i="106" s="1"/>
  <c r="C16" i="4"/>
  <c r="B2560" i="106" s="1"/>
  <c r="D2560" i="106" s="1"/>
  <c r="C12" i="4"/>
  <c r="B1108" i="106"/>
  <c r="D1108" i="106" s="1"/>
  <c r="E19" i="108"/>
  <c r="G19" i="108"/>
  <c r="B7020" i="106"/>
  <c r="D7020" i="106" s="1"/>
  <c r="F55" i="34"/>
  <c r="E19" i="184"/>
  <c r="B1045" i="106"/>
  <c r="D1045" i="106" s="1"/>
  <c r="H114" i="29"/>
  <c r="B1054" i="106" s="1"/>
  <c r="D1054" i="106" s="1"/>
  <c r="C170" i="5"/>
  <c r="K74" i="29"/>
  <c r="K114" i="29" s="1"/>
  <c r="D109" i="5"/>
  <c r="D4" i="4" s="1"/>
  <c r="B5507" i="106"/>
  <c r="D5507" i="106" s="1"/>
  <c r="F57" i="34"/>
  <c r="B1282" i="106"/>
  <c r="D1282" i="106" s="1"/>
  <c r="D15" i="4"/>
  <c r="B2571" i="106" s="1"/>
  <c r="D2571" i="106" s="1"/>
  <c r="D16" i="4"/>
  <c r="B2572" i="106" s="1"/>
  <c r="D2572" i="106" s="1"/>
  <c r="B1287" i="106"/>
  <c r="D1287" i="106" s="1"/>
  <c r="F59" i="34"/>
  <c r="B7051" i="106"/>
  <c r="D7051" i="106" s="1"/>
  <c r="F58" i="34"/>
  <c r="B1259" i="106"/>
  <c r="D1259" i="106" s="1"/>
  <c r="B1241" i="106"/>
  <c r="D1241" i="106" s="1"/>
  <c r="E151" i="29"/>
  <c r="B1242" i="106" s="1"/>
  <c r="D1242" i="106" s="1"/>
  <c r="B2633" i="106"/>
  <c r="D2633" i="106" s="1"/>
  <c r="K174" i="29"/>
  <c r="B1331" i="106"/>
  <c r="D1331" i="106" s="1"/>
  <c r="E16" i="4"/>
  <c r="B2634" i="106" s="1"/>
  <c r="D2634" i="106" s="1"/>
  <c r="E4" i="4"/>
  <c r="B5527" i="106"/>
  <c r="D5527" i="106" s="1"/>
  <c r="E268" i="5"/>
  <c r="F13" i="4"/>
  <c r="B1381" i="106"/>
  <c r="D1381" i="106" s="1"/>
  <c r="K210" i="29"/>
  <c r="F7" i="4"/>
  <c r="B2594" i="106" s="1"/>
  <c r="D2594" i="106" s="1"/>
  <c r="B5719" i="106"/>
  <c r="D5719" i="106" s="1"/>
  <c r="B5653" i="106"/>
  <c r="D5653" i="106" s="1"/>
  <c r="F6" i="4"/>
  <c r="B2593" i="106" s="1"/>
  <c r="D2593" i="106" s="1"/>
  <c r="F16" i="4"/>
  <c r="B2599" i="106" s="1"/>
  <c r="D2599" i="106" s="1"/>
  <c r="B1387" i="106"/>
  <c r="D1387" i="106" s="1"/>
  <c r="B5588" i="106"/>
  <c r="D5588" i="106" s="1"/>
  <c r="F4" i="4"/>
  <c r="F268" i="5"/>
  <c r="B1382" i="106"/>
  <c r="D1382" i="106" s="1"/>
  <c r="F63" i="34"/>
  <c r="F15" i="4"/>
  <c r="B2598" i="106" s="1"/>
  <c r="D2598" i="106" s="1"/>
  <c r="B5778" i="106"/>
  <c r="D5778" i="106" s="1"/>
  <c r="G6" i="4"/>
  <c r="B2604" i="106" s="1"/>
  <c r="D2604" i="106" s="1"/>
  <c r="K279" i="29"/>
  <c r="D295" i="29"/>
  <c r="B1448" i="106" s="1"/>
  <c r="D1448" i="106" s="1"/>
  <c r="B1446" i="106"/>
  <c r="D1446" i="106" s="1"/>
  <c r="B5733" i="106"/>
  <c r="D5733" i="106" s="1"/>
  <c r="G109" i="5"/>
  <c r="F175" i="34"/>
  <c r="B7877" i="106" s="1"/>
  <c r="D7877" i="106" s="1"/>
  <c r="B2607" i="106"/>
  <c r="D2607" i="106" s="1"/>
  <c r="H7" i="4"/>
  <c r="B2657" i="106" s="1"/>
  <c r="D2657" i="106" s="1"/>
  <c r="B5914" i="106"/>
  <c r="D5914" i="106" s="1"/>
  <c r="B2659" i="106"/>
  <c r="D2659" i="106" s="1"/>
  <c r="H17" i="4"/>
  <c r="B3277" i="106"/>
  <c r="D3277" i="106" s="1"/>
  <c r="D19" i="7"/>
  <c r="B1775" i="106" s="1"/>
  <c r="D1775" i="106" s="1"/>
  <c r="I4" i="4"/>
  <c r="I268" i="5"/>
  <c r="B5946" i="106" s="1"/>
  <c r="D5946" i="106" s="1"/>
  <c r="B6026" i="106"/>
  <c r="D6026" i="106" s="1"/>
  <c r="B7055" i="106"/>
  <c r="D7055" i="106" s="1"/>
  <c r="K343" i="29"/>
  <c r="B7225" i="106" s="1"/>
  <c r="D7225" i="106" s="1"/>
  <c r="B6220" i="106"/>
  <c r="D6220" i="106" s="1"/>
  <c r="J8" i="4"/>
  <c r="B7042" i="106"/>
  <c r="D7042" i="106" s="1"/>
  <c r="J17" i="4"/>
  <c r="F13" i="34"/>
  <c r="B7224" i="106"/>
  <c r="D7224" i="106" s="1"/>
  <c r="B7886" i="106"/>
  <c r="D7886" i="106" s="1"/>
  <c r="B3319" i="106"/>
  <c r="D3319" i="106" s="1"/>
  <c r="K367" i="29"/>
  <c r="B3678" i="106" s="1"/>
  <c r="D3678" i="106" s="1"/>
  <c r="K13" i="4"/>
  <c r="B3672" i="106"/>
  <c r="D3672" i="106" s="1"/>
  <c r="K268" i="5"/>
  <c r="K4" i="4"/>
  <c r="B6028" i="106"/>
  <c r="D6028" i="106" s="1"/>
  <c r="B7243" i="106"/>
  <c r="D7243" i="106" s="1"/>
  <c r="K16" i="4"/>
  <c r="B3574" i="106" s="1"/>
  <c r="D3574" i="106" s="1"/>
  <c r="B7244" i="106"/>
  <c r="D7244" i="106" s="1"/>
  <c r="F17" i="11"/>
  <c r="B5326" i="106"/>
  <c r="D5326" i="106" s="1"/>
  <c r="C7" i="4"/>
  <c r="B5869" i="106" l="1"/>
  <c r="D5869" i="106" s="1"/>
  <c r="G7" i="4"/>
  <c r="B2605" i="106" s="1"/>
  <c r="D2605" i="106" s="1"/>
  <c r="H8" i="4"/>
  <c r="E41" i="108"/>
  <c r="E44" i="108" s="1"/>
  <c r="E45" i="108" s="1"/>
  <c r="B1288" i="106"/>
  <c r="D1288" i="106" s="1"/>
  <c r="F54" i="34"/>
  <c r="F77" i="34" s="1"/>
  <c r="B7834" i="106" s="1"/>
  <c r="D7834" i="106" s="1"/>
  <c r="B5915" i="106"/>
  <c r="D5915" i="106" s="1"/>
  <c r="D268" i="5"/>
  <c r="K152" i="29" s="1"/>
  <c r="B1289" i="106" s="1"/>
  <c r="D1289" i="106" s="1"/>
  <c r="G41" i="108"/>
  <c r="G44" i="108" s="1"/>
  <c r="G45" i="108" s="1"/>
  <c r="B5223" i="106"/>
  <c r="D5223" i="106" s="1"/>
  <c r="C6" i="4"/>
  <c r="B2553" i="106" s="1"/>
  <c r="D2553" i="106" s="1"/>
  <c r="B1152" i="106"/>
  <c r="D1152" i="106" s="1"/>
  <c r="F8" i="34"/>
  <c r="C268" i="5"/>
  <c r="B2556" i="106"/>
  <c r="D2556" i="106" s="1"/>
  <c r="B1143" i="106"/>
  <c r="D1143" i="106" s="1"/>
  <c r="C13" i="4"/>
  <c r="B2557" i="106" s="1"/>
  <c r="D2557" i="106" s="1"/>
  <c r="D17" i="4"/>
  <c r="B2573" i="106" s="1"/>
  <c r="D2573" i="106" s="1"/>
  <c r="B5356" i="106"/>
  <c r="D5356" i="106" s="1"/>
  <c r="B2564" i="106"/>
  <c r="D2564" i="106" s="1"/>
  <c r="D8" i="4"/>
  <c r="B5552" i="106"/>
  <c r="D5552" i="106" s="1"/>
  <c r="K175" i="29"/>
  <c r="B1333" i="106" s="1"/>
  <c r="D1333" i="106" s="1"/>
  <c r="B2630" i="106"/>
  <c r="D2630" i="106" s="1"/>
  <c r="E8" i="4"/>
  <c r="F10" i="34"/>
  <c r="B1332" i="106"/>
  <c r="D1332" i="106" s="1"/>
  <c r="E17" i="4"/>
  <c r="B140" i="106"/>
  <c r="D140" i="106" s="1"/>
  <c r="E41" i="3"/>
  <c r="B2591" i="106"/>
  <c r="D2591" i="106" s="1"/>
  <c r="F8" i="4"/>
  <c r="F11" i="34"/>
  <c r="B1388" i="106"/>
  <c r="D1388" i="106" s="1"/>
  <c r="B5720" i="106"/>
  <c r="D5720" i="106" s="1"/>
  <c r="K211" i="29"/>
  <c r="B1389" i="106" s="1"/>
  <c r="D1389" i="106" s="1"/>
  <c r="B2596" i="106"/>
  <c r="D2596" i="106" s="1"/>
  <c r="F17" i="4"/>
  <c r="B6024" i="106"/>
  <c r="D6024" i="106" s="1"/>
  <c r="G4" i="4"/>
  <c r="G268" i="5"/>
  <c r="G13" i="4"/>
  <c r="B1510" i="106"/>
  <c r="D1510" i="106" s="1"/>
  <c r="K295" i="29"/>
  <c r="B2658" i="106"/>
  <c r="D2658" i="106" s="1"/>
  <c r="H10" i="4"/>
  <c r="B4127" i="106" s="1"/>
  <c r="D4127" i="106" s="1"/>
  <c r="H20" i="4"/>
  <c r="H19" i="4"/>
  <c r="B4141" i="106" s="1"/>
  <c r="D4141" i="106" s="1"/>
  <c r="B2661" i="106"/>
  <c r="D2661" i="106" s="1"/>
  <c r="B2912" i="106"/>
  <c r="D2912" i="106" s="1"/>
  <c r="I41" i="3"/>
  <c r="I8" i="4"/>
  <c r="B3225" i="106"/>
  <c r="D3225" i="106" s="1"/>
  <c r="B6227" i="106"/>
  <c r="D6227" i="106" s="1"/>
  <c r="J19" i="4"/>
  <c r="B6229" i="106" s="1"/>
  <c r="D6229" i="106" s="1"/>
  <c r="J10" i="4"/>
  <c r="B6225" i="106" s="1"/>
  <c r="D6225" i="106" s="1"/>
  <c r="B6223" i="106"/>
  <c r="D6223" i="106" s="1"/>
  <c r="J20" i="4"/>
  <c r="B7624" i="106"/>
  <c r="D7624" i="106" s="1"/>
  <c r="I17" i="11"/>
  <c r="B3569" i="106"/>
  <c r="D3569" i="106" s="1"/>
  <c r="K8" i="4"/>
  <c r="B6023" i="106"/>
  <c r="D6023" i="106" s="1"/>
  <c r="K368" i="29"/>
  <c r="B3681" i="106" s="1"/>
  <c r="D3681" i="106" s="1"/>
  <c r="B3572" i="106"/>
  <c r="D3572" i="106" s="1"/>
  <c r="K17" i="4"/>
  <c r="D10" i="171"/>
  <c r="D19" i="171" s="1"/>
  <c r="D32" i="171" s="1"/>
  <c r="D49" i="171" s="1"/>
  <c r="B2554" i="106"/>
  <c r="D2554" i="106" s="1"/>
  <c r="B5327" i="106"/>
  <c r="D5327" i="106" s="1"/>
  <c r="K115" i="29"/>
  <c r="B1153" i="106" s="1"/>
  <c r="D1153" i="106" s="1"/>
  <c r="B5508" i="106" l="1"/>
  <c r="D5508" i="106" s="1"/>
  <c r="C9" i="146"/>
  <c r="D19" i="4"/>
  <c r="B4137" i="106" s="1"/>
  <c r="D4137" i="106" s="1"/>
  <c r="C17" i="4"/>
  <c r="C8" i="4"/>
  <c r="H13" i="118" s="1"/>
  <c r="C8" i="146"/>
  <c r="C10" i="146" s="1"/>
  <c r="D10" i="4"/>
  <c r="B4123" i="106" s="1"/>
  <c r="D4123" i="106" s="1"/>
  <c r="D20" i="4"/>
  <c r="B2568" i="106"/>
  <c r="D2568" i="106" s="1"/>
  <c r="B141" i="106"/>
  <c r="D141" i="106" s="1"/>
  <c r="D46" i="36"/>
  <c r="E19" i="4"/>
  <c r="B4138" i="106" s="1"/>
  <c r="D4138" i="106" s="1"/>
  <c r="B2635" i="106"/>
  <c r="D2635" i="106" s="1"/>
  <c r="E20" i="4"/>
  <c r="B2632" i="106"/>
  <c r="D2632" i="106" s="1"/>
  <c r="E10" i="4"/>
  <c r="B4124" i="106" s="1"/>
  <c r="D4124" i="106" s="1"/>
  <c r="F10" i="4"/>
  <c r="B4125" i="106" s="1"/>
  <c r="D4125" i="106" s="1"/>
  <c r="D8" i="146"/>
  <c r="B2595" i="106"/>
  <c r="D2595" i="106" s="1"/>
  <c r="F20" i="4"/>
  <c r="H17" i="118"/>
  <c r="H25" i="118" s="1"/>
  <c r="K24" i="118" s="1"/>
  <c r="O23" i="118" s="1"/>
  <c r="O25" i="118" s="1"/>
  <c r="F16" i="37"/>
  <c r="D9" i="146"/>
  <c r="F19" i="4"/>
  <c r="B4139" i="106" s="1"/>
  <c r="D4139" i="106" s="1"/>
  <c r="B2600" i="106"/>
  <c r="D2600" i="106" s="1"/>
  <c r="B189" i="106"/>
  <c r="D189" i="106" s="1"/>
  <c r="G41" i="3"/>
  <c r="F12" i="34"/>
  <c r="F14" i="34" s="1"/>
  <c r="B1517" i="106"/>
  <c r="D1517" i="106" s="1"/>
  <c r="B2608" i="106"/>
  <c r="D2608" i="106" s="1"/>
  <c r="G17" i="4"/>
  <c r="B5870" i="106"/>
  <c r="D5870" i="106" s="1"/>
  <c r="K296" i="29"/>
  <c r="B1518" i="106" s="1"/>
  <c r="D1518" i="106" s="1"/>
  <c r="B2603" i="106"/>
  <c r="D2603" i="106" s="1"/>
  <c r="G8" i="4"/>
  <c r="B2662" i="106"/>
  <c r="D2662" i="106" s="1"/>
  <c r="H78" i="4"/>
  <c r="B3226" i="106"/>
  <c r="D3226" i="106" s="1"/>
  <c r="E8" i="146"/>
  <c r="E10" i="146" s="1"/>
  <c r="I20" i="4"/>
  <c r="I10" i="4"/>
  <c r="B4128" i="106" s="1"/>
  <c r="D4128" i="106" s="1"/>
  <c r="B2913" i="106"/>
  <c r="D2913" i="106" s="1"/>
  <c r="D50" i="36"/>
  <c r="J78" i="4"/>
  <c r="B6230" i="106"/>
  <c r="D6230" i="106" s="1"/>
  <c r="B3575" i="106"/>
  <c r="D3575" i="106" s="1"/>
  <c r="K19" i="4"/>
  <c r="B4144" i="106" s="1"/>
  <c r="D4144" i="106" s="1"/>
  <c r="B3571" i="106"/>
  <c r="D3571" i="106" s="1"/>
  <c r="K10" i="4"/>
  <c r="B4130" i="106" s="1"/>
  <c r="D4130" i="106" s="1"/>
  <c r="K20" i="4"/>
  <c r="I18" i="11"/>
  <c r="B7625" i="106"/>
  <c r="D7625" i="106" s="1"/>
  <c r="C20" i="4"/>
  <c r="B8" i="146" l="1"/>
  <c r="C10" i="4"/>
  <c r="B4122" i="106" s="1"/>
  <c r="D4122" i="106" s="1"/>
  <c r="D16" i="37"/>
  <c r="H18" i="118"/>
  <c r="K17" i="118" s="1"/>
  <c r="O16" i="118" s="1"/>
  <c r="B2555" i="106"/>
  <c r="D2555" i="106" s="1"/>
  <c r="H16" i="37"/>
  <c r="B9" i="146"/>
  <c r="F9" i="146" s="1"/>
  <c r="B2561" i="106"/>
  <c r="D2561" i="106" s="1"/>
  <c r="C19" i="4"/>
  <c r="B4136" i="106" s="1"/>
  <c r="D4136" i="106" s="1"/>
  <c r="B2574" i="106"/>
  <c r="D2574" i="106" s="1"/>
  <c r="D78" i="4"/>
  <c r="B123" i="106"/>
  <c r="D123" i="106" s="1"/>
  <c r="D41" i="3"/>
  <c r="B2636" i="106"/>
  <c r="D2636" i="106" s="1"/>
  <c r="E78" i="4"/>
  <c r="B282" i="106"/>
  <c r="D282" i="106" s="1"/>
  <c r="N23" i="3"/>
  <c r="D10" i="146"/>
  <c r="F78" i="4"/>
  <c r="B2601" i="106"/>
  <c r="D2601" i="106" s="1"/>
  <c r="G19" i="4"/>
  <c r="B4140" i="106" s="1"/>
  <c r="D4140" i="106" s="1"/>
  <c r="B2612" i="106"/>
  <c r="D2612" i="106" s="1"/>
  <c r="F78" i="34"/>
  <c r="F80" i="34" s="1"/>
  <c r="B7837" i="106" s="1"/>
  <c r="D7837" i="106" s="1"/>
  <c r="B7822" i="106"/>
  <c r="B190" i="106"/>
  <c r="D190" i="106" s="1"/>
  <c r="D48" i="36"/>
  <c r="G10" i="4"/>
  <c r="B4126" i="106" s="1"/>
  <c r="D4126" i="106" s="1"/>
  <c r="G20" i="4"/>
  <c r="B2606" i="106"/>
  <c r="D2606" i="106" s="1"/>
  <c r="B3300" i="106"/>
  <c r="D3300" i="106" s="1"/>
  <c r="H81" i="4"/>
  <c r="D62" i="36" s="1"/>
  <c r="B212" i="106"/>
  <c r="D212" i="106" s="1"/>
  <c r="H41" i="3"/>
  <c r="B3227" i="106"/>
  <c r="D3227" i="106" s="1"/>
  <c r="I78" i="4"/>
  <c r="B6263" i="106"/>
  <c r="D6263" i="106" s="1"/>
  <c r="J81" i="4"/>
  <c r="D64" i="36" s="1"/>
  <c r="B6215" i="106"/>
  <c r="D6215" i="106" s="1"/>
  <c r="J41" i="3"/>
  <c r="B7631" i="106"/>
  <c r="D7631" i="106" s="1"/>
  <c r="F177" i="34"/>
  <c r="B3567" i="106"/>
  <c r="D3567" i="106" s="1"/>
  <c r="K41" i="3"/>
  <c r="B3576" i="106"/>
  <c r="D3576" i="106" s="1"/>
  <c r="K78" i="4"/>
  <c r="B2562" i="106"/>
  <c r="D2562" i="106" s="1"/>
  <c r="C78" i="4"/>
  <c r="F8" i="146"/>
  <c r="B10" i="146" l="1"/>
  <c r="F10" i="146"/>
  <c r="B124" i="106"/>
  <c r="D124" i="106" s="1"/>
  <c r="D45" i="36"/>
  <c r="B3239" i="106"/>
  <c r="D3239" i="106" s="1"/>
  <c r="D81" i="4"/>
  <c r="B284" i="106"/>
  <c r="D284" i="106" s="1"/>
  <c r="D55" i="36"/>
  <c r="B3278" i="106"/>
  <c r="D3278" i="106" s="1"/>
  <c r="E81" i="4"/>
  <c r="B170" i="106"/>
  <c r="D170" i="106" s="1"/>
  <c r="F41" i="3"/>
  <c r="F81" i="4"/>
  <c r="B3256" i="106"/>
  <c r="D3256" i="106" s="1"/>
  <c r="G78" i="4"/>
  <c r="B2613" i="106"/>
  <c r="D2613" i="106" s="1"/>
  <c r="B7835" i="106"/>
  <c r="D7835" i="106" s="1"/>
  <c r="F176" i="34"/>
  <c r="B7878" i="106" s="1"/>
  <c r="D7878" i="106" s="1"/>
  <c r="B213" i="106"/>
  <c r="D213" i="106" s="1"/>
  <c r="D49" i="36"/>
  <c r="B1700" i="106"/>
  <c r="D1700" i="106" s="1"/>
  <c r="H82" i="4"/>
  <c r="I81" i="4"/>
  <c r="B3320" i="106"/>
  <c r="D3320" i="106" s="1"/>
  <c r="D51" i="36"/>
  <c r="B6216" i="106"/>
  <c r="D6216" i="106" s="1"/>
  <c r="B6266" i="106"/>
  <c r="D6266" i="106" s="1"/>
  <c r="J82" i="4"/>
  <c r="B3588" i="106"/>
  <c r="D3588" i="106" s="1"/>
  <c r="K81" i="4"/>
  <c r="B3568" i="106"/>
  <c r="D3568" i="106" s="1"/>
  <c r="D52" i="36"/>
  <c r="D76" i="36"/>
  <c r="C41" i="3"/>
  <c r="B92" i="106"/>
  <c r="D92" i="106" s="1"/>
  <c r="B3233" i="106"/>
  <c r="D3233" i="106" s="1"/>
  <c r="C81" i="4"/>
  <c r="D57" i="36" s="1"/>
  <c r="D82" i="4" l="1"/>
  <c r="C11" i="146"/>
  <c r="B1644" i="106"/>
  <c r="D1644" i="106" s="1"/>
  <c r="D58" i="36"/>
  <c r="E82" i="4"/>
  <c r="D59" i="36"/>
  <c r="B1658" i="106"/>
  <c r="D1658" i="106" s="1"/>
  <c r="F178" i="34"/>
  <c r="B1672" i="106"/>
  <c r="D1672" i="106" s="1"/>
  <c r="F82" i="4"/>
  <c r="D11" i="146"/>
  <c r="B171" i="106"/>
  <c r="D171" i="106" s="1"/>
  <c r="D47" i="36"/>
  <c r="D60" i="36"/>
  <c r="G81" i="4"/>
  <c r="H12" i="118" s="1"/>
  <c r="K12" i="118" s="1"/>
  <c r="B3262" i="106"/>
  <c r="D3262" i="106" s="1"/>
  <c r="H83" i="4"/>
  <c r="B6281" i="106" s="1"/>
  <c r="D6281" i="106" s="1"/>
  <c r="B6272" i="106"/>
  <c r="D6272" i="106" s="1"/>
  <c r="E11" i="146"/>
  <c r="D63" i="36"/>
  <c r="B3323" i="106"/>
  <c r="D3323" i="106" s="1"/>
  <c r="I82" i="4"/>
  <c r="J83" i="4"/>
  <c r="B6283" i="106" s="1"/>
  <c r="D6283" i="106" s="1"/>
  <c r="B6274" i="106"/>
  <c r="D6274" i="106" s="1"/>
  <c r="K82" i="4"/>
  <c r="B3591" i="106"/>
  <c r="D3591" i="106" s="1"/>
  <c r="D65" i="36"/>
  <c r="B93" i="106"/>
  <c r="D93" i="106" s="1"/>
  <c r="D44" i="36"/>
  <c r="B1630" i="106"/>
  <c r="D1630" i="106" s="1"/>
  <c r="B11" i="146"/>
  <c r="C82" i="4"/>
  <c r="J16" i="37"/>
  <c r="B4269" i="106" s="1"/>
  <c r="D4269" i="106" s="1"/>
  <c r="B6268" i="106" l="1"/>
  <c r="D6268" i="106" s="1"/>
  <c r="D83" i="4"/>
  <c r="B6277" i="106" s="1"/>
  <c r="D6277" i="106" s="1"/>
  <c r="B7879" i="106"/>
  <c r="D7879" i="106" s="1"/>
  <c r="F180" i="34"/>
  <c r="B7880" i="106" s="1"/>
  <c r="D7880" i="106" s="1"/>
  <c r="E83" i="4"/>
  <c r="B6278" i="106" s="1"/>
  <c r="D6278" i="106" s="1"/>
  <c r="B6269" i="106"/>
  <c r="D6269" i="106" s="1"/>
  <c r="F11" i="146"/>
  <c r="C12" i="146" s="1"/>
  <c r="B6270" i="106"/>
  <c r="D6270" i="106" s="1"/>
  <c r="F83" i="4"/>
  <c r="B6279" i="106" s="1"/>
  <c r="D6279" i="106" s="1"/>
  <c r="G82" i="4"/>
  <c r="B1686" i="106"/>
  <c r="D1686" i="106" s="1"/>
  <c r="D61" i="36"/>
  <c r="I83" i="4"/>
  <c r="B6282" i="106" s="1"/>
  <c r="D6282" i="106" s="1"/>
  <c r="B6273" i="106"/>
  <c r="D6273" i="106" s="1"/>
  <c r="B6275" i="106"/>
  <c r="D6275" i="106" s="1"/>
  <c r="K83" i="4"/>
  <c r="B6284" i="106" s="1"/>
  <c r="D6284" i="106" s="1"/>
  <c r="O11" i="118"/>
  <c r="O13" i="118" s="1"/>
  <c r="J20" i="118"/>
  <c r="B6267" i="106"/>
  <c r="D6267" i="106" s="1"/>
  <c r="C83" i="4"/>
  <c r="B6276" i="106" s="1"/>
  <c r="D6276" i="106" s="1"/>
  <c r="D29" i="36" l="1"/>
  <c r="J24" i="24" s="1"/>
  <c r="B6271" i="106"/>
  <c r="D6271" i="106" s="1"/>
  <c r="G83" i="4"/>
  <c r="B6280" i="106" s="1"/>
  <c r="D6280" i="106" s="1"/>
  <c r="K20" i="118"/>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<sst xmlns="http://schemas.openxmlformats.org/spreadsheetml/2006/main" count="5521" uniqueCount="2276">
  <si>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</si>
  <si>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</si>
  <si>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</si>
  <si>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</si>
  <si>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</si>
  <si>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</si>
  <si>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</si>
  <si>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</si>
  <si>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</si>
  <si>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</si>
  <si>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</si>
  <si>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</si>
  <si>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</si>
  <si>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</si>
  <si>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</si>
  <si>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</si>
  <si>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</si>
  <si>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</si>
  <si>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</si>
  <si>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</si>
  <si>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</si>
  <si>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</si>
  <si>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</si>
  <si>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</si>
  <si>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</si>
  <si>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</si>
  <si>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</si>
  <si>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</si>
  <si>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</si>
  <si>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</si>
  <si>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</si>
  <si>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</si>
  <si>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</si>
  <si>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</si>
  <si>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</si>
  <si>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</si>
  <si>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</si>
  <si>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</si>
  <si>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</si>
  <si>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</si>
  <si>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</si>
  <si>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</si>
  <si>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</si>
  <si>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</si>
  <si>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</si>
  <si>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</si>
  <si>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</si>
  <si>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</si>
  <si>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</si>
  <si>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</si>
  <si>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</si>
  <si>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</si>
  <si>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</si>
  <si>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</si>
  <si>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</si>
  <si>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</si>
  <si>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</si>
  <si>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</si>
  <si>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</si>
  <si>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</si>
  <si>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</si>
  <si>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</si>
  <si>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</si>
  <si>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</si>
  <si>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</si>
  <si>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</si>
  <si>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</si>
  <si>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</si>
  <si>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</si>
  <si>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</si>
  <si>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</si>
  <si>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</si>
  <si>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</si>
  <si>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</si>
  <si>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</si>
  <si>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</si>
  <si>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</si>
  <si>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</si>
  <si>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</si>
  <si>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</si>
  <si>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</si>
  <si>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</si>
  <si>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</si>
  <si>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</si>
  <si>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</si>
  <si>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</si>
  <si>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</si>
  <si>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</si>
  <si>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</si>
  <si>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</si>
  <si>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</si>
  <si>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</si>
  <si>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</si>
  <si>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</si>
  <si>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</si>
  <si>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</si>
  <si>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</si>
  <si>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</si>
  <si>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</si>
  <si>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</si>
  <si>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</si>
  <si>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</si>
  <si>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</si>
  <si>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</si>
  <si>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</si>
  <si>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</si>
  <si>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</si>
  <si>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</si>
  <si>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</si>
  <si>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</si>
  <si>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</si>
  <si>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</si>
  <si>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</si>
  <si>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</si>
  <si>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</si>
  <si>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</si>
  <si>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</si>
  <si>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</si>
  <si>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</si>
  <si>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</si>
  <si>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</si>
  <si>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</si>
  <si>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</si>
  <si>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</si>
  <si>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</si>
  <si>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</si>
  <si>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</si>
  <si>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</si>
  <si>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</si>
  <si>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</si>
  <si>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</si>
  <si>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</si>
  <si>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</si>
  <si>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</si>
  <si>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</si>
  <si>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</si>
  <si>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</si>
  <si>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</si>
  <si>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</si>
  <si>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</si>
  <si>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</si>
  <si>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</si>
  <si>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</si>
  <si>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</si>
  <si>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</si>
  <si>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</si>
  <si>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</si>
  <si>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</si>
  <si>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</si>
  <si>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</si>
  <si>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</si>
  <si>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</si>
  <si>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</si>
  <si>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</si>
  <si>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</si>
  <si>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</si>
  <si>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</si>
  <si>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</si>
  <si>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</si>
  <si>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</si>
  <si>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</si>
  <si>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</si>
  <si>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</si>
  <si>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</si>
  <si>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</si>
  <si>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</si>
  <si>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</si>
  <si>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</si>
  <si>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</si>
  <si>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</si>
  <si>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</si>
  <si>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</si>
  <si>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</si>
  <si>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</si>
  <si>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</si>
  <si>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</si>
  <si>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</si>
  <si>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</si>
  <si>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</si>
  <si>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</si>
  <si>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</si>
  <si>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</si>
  <si>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</si>
  <si>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</si>
  <si>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</si>
  <si>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</si>
  <si>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</si>
  <si>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</si>
  <si>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</si>
  <si>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</si>
  <si>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</si>
  <si>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</si>
  <si>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</si>
  <si>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</si>
  <si>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</si>
  <si>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</si>
  <si>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</si>
  <si>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</si>
  <si>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</si>
  <si>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</si>
  <si>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</si>
  <si>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</si>
  <si>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</si>
  <si>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</si>
  <si>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</si>
  <si>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</si>
  <si>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</si>
  <si>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</si>
  <si>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</si>
  <si>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</si>
  <si>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</si>
  <si>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</si>
  <si>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</si>
  <si>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</si>
  <si>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</si>
  <si>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</si>
  <si>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</si>
  <si>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</si>
  <si>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</si>
  <si>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</si>
  <si>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</si>
  <si>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</si>
  <si>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</si>
  <si>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</si>
  <si>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</si>
  <si>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</si>
  <si>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</si>
  <si>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</si>
  <si>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</si>
  <si>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</si>
  <si>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</si>
  <si>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</si>
  <si>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</si>
  <si>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</si>
  <si>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</si>
  <si>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</si>
  <si>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</si>
  <si>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</si>
  <si>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</si>
  <si>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</si>
  <si>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</si>
  <si>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</si>
  <si>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</si>
  <si>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</si>
  <si>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</si>
  <si>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</si>
  <si>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</si>
  <si>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</si>
  <si>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</si>
  <si>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</si>
  <si>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</si>
  <si>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</si>
  <si>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</si>
  <si>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</si>
  <si>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</si>
  <si>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</si>
  <si>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</si>
  <si>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</si>
  <si>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</si>
  <si>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</si>
  <si>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</si>
  <si>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</si>
  <si>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</si>
  <si>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</si>
  <si>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</si>
  <si>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</si>
  <si>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</si>
  <si>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</si>
  <si>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</si>
  <si>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</si>
  <si>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</si>
  <si>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</si>
  <si>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</si>
  <si>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</si>
  <si>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</si>
  <si>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</si>
  <si>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</si>
  <si>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</si>
  <si>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</si>
  <si>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</si>
  <si>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</si>
  <si>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</si>
  <si>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</si>
  <si>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</si>
  <si>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</si>
  <si>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</si>
  <si>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</si>
  <si>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</si>
  <si>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</si>
  <si>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</si>
  <si>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</si>
  <si>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</si>
  <si>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</si>
  <si>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</si>
  <si>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</si>
  <si>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</si>
  <si>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</si>
  <si>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</si>
  <si>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</si>
  <si>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</si>
  <si>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</si>
  <si>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</si>
  <si>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</si>
  <si>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</si>
  <si>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</si>
  <si>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</si>
  <si>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</si>
  <si>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</si>
  <si>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</si>
  <si>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</si>
  <si>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</si>
  <si>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</si>
  <si>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</si>
  <si>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</si>
  <si>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</si>
  <si>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</si>
  <si>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</si>
  <si>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</si>
  <si>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</si>
  <si>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</si>
  <si>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</si>
  <si>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</si>
  <si>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</si>
  <si>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</si>
  <si>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</si>
  <si>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</si>
  <si>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</si>
  <si>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</si>
  <si>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</si>
  <si>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</si>
  <si>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</si>
  <si>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</si>
  <si>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</si>
  <si>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</si>
  <si>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</si>
  <si>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</si>
  <si>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</si>
  <si>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</si>
  <si>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</si>
  <si>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</si>
  <si>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</si>
  <si>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</si>
  <si>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</si>
  <si>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</si>
  <si>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</si>
  <si>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</si>
  <si>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</si>
  <si>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</si>
  <si>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</si>
  <si>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</si>
  <si>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</si>
  <si>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</si>
  <si>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</si>
  <si>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</si>
  <si>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</si>
  <si>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</si>
  <si>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</si>
  <si>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</si>
  <si>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</si>
  <si>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</si>
  <si>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</si>
  <si>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</si>
  <si>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</si>
  <si>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</si>
  <si>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</si>
  <si>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</si>
  <si>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</si>
  <si>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</si>
  <si>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</si>
  <si>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</si>
  <si>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</si>
  <si>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</si>
  <si>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</si>
  <si>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</si>
  <si>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</si>
  <si>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</si>
  <si>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</si>
  <si>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</si>
  <si>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</si>
  <si>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</si>
  <si>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</si>
  <si>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</si>
  <si>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</si>
  <si>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</si>
  <si>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</si>
  <si>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</si>
  <si>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</si>
  <si>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</si>
  <si>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</si>
  <si>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</si>
  <si>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</si>
  <si>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</si>
  <si>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</si>
  <si>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</si>
  <si>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</si>
  <si>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</si>
  <si>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</si>
  <si>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</si>
  <si>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</si>
  <si>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</si>
  <si>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</si>
  <si>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</si>
  <si>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</si>
  <si>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</si>
  <si>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</si>
  <si>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</si>
  <si>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</si>
  <si>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</si>
  <si>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</si>
  <si>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</si>
  <si>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</si>
  <si>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</si>
  <si>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</si>
  <si>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</si>
  <si>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</si>
  <si>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</si>
  <si>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</si>
  <si>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</si>
  <si>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</si>
  <si>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</si>
  <si>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</si>
  <si>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</si>
  <si>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</si>
  <si>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</si>
  <si>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</si>
  <si>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</si>
  <si>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</si>
  <si>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</si>
  <si>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</si>
  <si>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</si>
  <si>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</si>
  <si>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</si>
  <si>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</si>
  <si>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</si>
  <si>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</si>
  <si>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</si>
  <si>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</si>
  <si>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</si>
  <si>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</si>
  <si>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</si>
  <si>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</si>
  <si>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</si>
  <si>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</si>
  <si>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</si>
  <si>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</si>
  <si>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</si>
  <si>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</si>
  <si>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</si>
  <si>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</si>
  <si>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</si>
  <si>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</si>
  <si>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</si>
  <si>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</si>
  <si>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</si>
  <si>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</si>
  <si>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</si>
  <si>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</si>
  <si>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</si>
  <si>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</si>
  <si>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</si>
  <si>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</si>
  <si>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</si>
  <si>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</si>
  <si>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</si>
  <si>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</si>
  <si>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</si>
  <si>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</si>
  <si>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</si>
  <si>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</si>
  <si>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</si>
  <si>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</si>
  <si>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</si>
  <si>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</si>
  <si>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</si>
  <si>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</si>
  <si>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</si>
  <si>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</si>
  <si>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</si>
  <si>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</si>
  <si>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</si>
  <si>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</si>
  <si>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</si>
  <si>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</si>
  <si>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</si>
  <si>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</si>
  <si>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</si>
  <si>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</si>
  <si>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</si>
  <si>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</si>
  <si>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</si>
  <si>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</si>
  <si>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</si>
  <si>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</si>
  <si>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</si>
  <si>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</si>
  <si>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</si>
  <si>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</si>
  <si>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</si>
  <si>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</si>
  <si>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</si>
  <si>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</si>
  <si>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</si>
  <si>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</si>
  <si>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</si>
  <si>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</si>
  <si>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</si>
  <si>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</si>
  <si>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</si>
  <si>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</si>
  <si>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</si>
  <si>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</si>
  <si>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</si>
  <si>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</si>
  <si>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</si>
  <si>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</si>
  <si>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</si>
  <si>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</si>
  <si>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</si>
  <si>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</si>
  <si>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</si>
  <si>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</si>
  <si>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</si>
  <si>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</si>
  <si>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</si>
  <si>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</si>
  <si>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</si>
  <si>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</si>
  <si>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</si>
  <si>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</si>
  <si>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</si>
  <si>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</si>
  <si>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</si>
  <si>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</si>
  <si>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</si>
  <si>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</si>
  <si>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</si>
  <si>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</si>
  <si>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</si>
  <si>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</si>
  <si>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</si>
  <si>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</si>
  <si>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</si>
  <si>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</si>
  <si>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</si>
  <si>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</si>
  <si>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</si>
  <si>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</si>
  <si>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</si>
  <si>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</si>
  <si>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</si>
  <si>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</si>
  <si>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</si>
  <si>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</si>
  <si>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</si>
  <si>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</si>
  <si>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</si>
  <si>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</si>
  <si>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</si>
  <si>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</si>
  <si>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</si>
  <si>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</si>
  <si>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</si>
  <si>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</si>
  <si>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</si>
  <si>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</si>
  <si>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</si>
  <si>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</si>
  <si>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</si>
  <si>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</si>
  <si>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</si>
  <si>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</si>
  <si>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</si>
  <si>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</si>
  <si>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</si>
  <si>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</si>
  <si>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</si>
  <si>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</si>
  <si>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</si>
  <si>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</si>
  <si>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</si>
  <si>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</si>
  <si>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</si>
  <si>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</si>
  <si>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</si>
  <si>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</si>
  <si>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</si>
  <si>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</si>
  <si>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</si>
  <si>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</si>
  <si>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</si>
  <si>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</si>
  <si>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</si>
  <si>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</si>
  <si>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</si>
  <si>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</si>
  <si>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</si>
  <si>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</si>
  <si>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</si>
  <si>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</si>
  <si>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</si>
  <si>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</si>
  <si>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</si>
  <si>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</si>
  <si>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</si>
  <si>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</si>
  <si>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</si>
  <si>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</si>
  <si>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</si>
  <si>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</si>
  <si>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</si>
  <si>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</si>
  <si>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</si>
  <si>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</si>
  <si>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</si>
  <si>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</si>
  <si>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</si>
  <si>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</si>
  <si>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</si>
  <si>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</si>
  <si>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</si>
  <si>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</si>
  <si>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</si>
  <si>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</si>
  <si>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</si>
  <si>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</si>
  <si>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</si>
  <si>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</si>
  <si>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</si>
  <si>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</si>
  <si>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</si>
  <si>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</si>
  <si>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</si>
  <si>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</si>
  <si>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</si>
  <si>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</si>
  <si>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</si>
  <si>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</si>
  <si>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</si>
  <si>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</si>
  <si>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</si>
  <si>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</si>
  <si>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</si>
  <si>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</si>
  <si>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</si>
  <si>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</si>
  <si>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</si>
  <si>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</si>
  <si>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</si>
  <si>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</si>
  <si>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</si>
  <si>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</si>
  <si>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</si>
  <si>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</si>
  <si>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</si>
  <si>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</si>
  <si>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</si>
  <si>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</si>
  <si>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</si>
  <si>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</si>
  <si>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</si>
  <si>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</si>
  <si>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</si>
  <si>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</si>
  <si>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</si>
  <si>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</si>
  <si>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</si>
  <si>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</si>
  <si>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</si>
  <si>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</si>
  <si>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</si>
  <si>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</si>
  <si>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</si>
  <si>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</si>
  <si>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</si>
  <si>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</si>
  <si>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</si>
  <si>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</si>
  <si>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</si>
  <si>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</si>
  <si>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</si>
  <si>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</si>
  <si>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</si>
  <si>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</si>
  <si>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</si>
  <si>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</si>
  <si>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</si>
  <si>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</si>
  <si>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</si>
  <si>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</si>
  <si>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</si>
  <si>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</si>
  <si>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</si>
  <si>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</si>
  <si>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</si>
  <si>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</si>
  <si>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</si>
  <si>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</si>
  <si>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</si>
  <si>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</si>
  <si>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</si>
  <si>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</si>
  <si>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</si>
  <si>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</si>
  <si>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</si>
  <si>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</si>
  <si>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</si>
  <si>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</si>
  <si>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</si>
  <si>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</si>
  <si>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</si>
  <si>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</si>
  <si>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</si>
  <si>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</si>
  <si>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</si>
  <si>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</si>
  <si>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</si>
  <si>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</si>
  <si>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</si>
  <si>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</si>
  <si>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</si>
  <si>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</si>
  <si>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</si>
  <si>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</si>
  <si>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</si>
  <si>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</si>
  <si>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</si>
  <si>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</si>
  <si>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</si>
  <si>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</si>
  <si>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</si>
  <si>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</si>
  <si>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</si>
  <si>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</si>
  <si>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</si>
  <si>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</si>
  <si>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</si>
  <si>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</si>
  <si>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</si>
  <si>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</si>
  <si>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</si>
  <si>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</si>
  <si>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</si>
  <si>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</si>
  <si>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</si>
  <si>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</si>
  <si>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</si>
  <si>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</si>
  <si>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</si>
  <si>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</si>
  <si>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</si>
  <si>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</si>
  <si>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</si>
  <si>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</si>
  <si>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</si>
  <si>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</si>
  <si>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</si>
  <si>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</si>
  <si>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</si>
  <si>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</si>
  <si>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</si>
  <si>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</si>
  <si>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</si>
  <si>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</si>
  <si>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</si>
  <si>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</si>
  <si>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</si>
  <si>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</si>
  <si>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</si>
  <si>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</si>
  <si>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</si>
  <si>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</si>
  <si>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</si>
  <si>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</si>
  <si>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</si>
  <si>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</si>
  <si>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</si>
  <si>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</si>
  <si>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</si>
  <si>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</si>
  <si>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</si>
  <si>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</si>
  <si>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</si>
  <si>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</si>
  <si>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</si>
  <si>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</si>
  <si>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</si>
  <si>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</si>
  <si>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</si>
  <si>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</si>
  <si>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</si>
  <si>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</si>
  <si>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</si>
  <si>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</si>
  <si>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</si>
  <si>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</si>
  <si>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</si>
  <si>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</si>
  <si>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</si>
  <si>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</si>
  <si>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</si>
  <si>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</si>
  <si>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</si>
  <si>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</si>
  <si>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</si>
  <si>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</si>
  <si>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</si>
  <si>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</si>
  <si>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</si>
  <si>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</si>
  <si>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</si>
  <si>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</si>
  <si>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</si>
  <si>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</si>
  <si>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</si>
  <si>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</si>
  <si>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</si>
  <si>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</si>
  <si>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</si>
  <si>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</si>
  <si>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</si>
  <si>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</si>
  <si>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</si>
  <si>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</si>
  <si>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</si>
  <si>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</si>
  <si>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</si>
  <si>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</si>
  <si>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</si>
  <si>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</si>
  <si>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</si>
  <si>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</si>
  <si>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</si>
  <si>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</si>
  <si>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</si>
  <si>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</si>
  <si>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</si>
  <si>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</si>
  <si>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</si>
  <si>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</si>
  <si>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</si>
  <si>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</si>
  <si>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</si>
  <si>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</si>
  <si>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</si>
  <si>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</si>
  <si>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</si>
  <si>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</si>
  <si>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</si>
  <si>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</si>
  <si>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</si>
  <si>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</si>
  <si>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</si>
  <si>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</si>
  <si>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</si>
  <si>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</si>
  <si>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</si>
  <si>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</si>
  <si>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</si>
  <si>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</si>
  <si>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</si>
  <si>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</si>
  <si>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</si>
  <si>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</si>
  <si>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</si>
  <si>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</si>
  <si>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</si>
  <si>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</si>
  <si>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</si>
  <si>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</si>
  <si>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</si>
  <si>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</si>
  <si>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</si>
  <si>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</si>
  <si>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</si>
  <si>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</si>
  <si>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</si>
  <si>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</si>
  <si>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</si>
  <si>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</si>
  <si>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</si>
  <si>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</si>
  <si>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</si>
  <si>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</si>
  <si>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</si>
  <si>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</si>
  <si>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</si>
  <si>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</si>
  <si>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</si>
  <si>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</si>
  <si>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</si>
  <si>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</si>
  <si>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</si>
  <si>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</si>
  <si>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</si>
  <si>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</si>
  <si>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</si>
  <si>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</si>
  <si>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</si>
  <si>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</si>
  <si>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</si>
  <si>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</si>
  <si>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</si>
  <si>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</si>
  <si>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</si>
  <si>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</si>
  <si>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</si>
  <si>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</si>
  <si>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</si>
  <si>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</si>
  <si>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</si>
  <si>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</si>
  <si>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</si>
  <si>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</si>
  <si>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</si>
  <si>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</si>
  <si>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</si>
  <si>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</si>
  <si>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</si>
  <si>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</si>
  <si>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</si>
  <si>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</si>
  <si>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</si>
  <si>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</si>
  <si>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</si>
  <si>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</si>
  <si>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</si>
  <si>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</si>
  <si>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</si>
  <si>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</si>
  <si>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</si>
  <si>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</si>
  <si>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</si>
  <si>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</si>
  <si>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</si>
  <si>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</si>
  <si>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</si>
  <si>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</si>
  <si>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</si>
  <si>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</si>
  <si>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</si>
  <si>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</si>
  <si>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</si>
  <si>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</si>
  <si>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</si>
  <si>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</si>
  <si>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</si>
  <si>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</si>
  <si>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</si>
  <si>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</si>
  <si>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</si>
  <si>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</si>
  <si>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</si>
  <si>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</si>
  <si>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</si>
  <si>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</si>
  <si>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</si>
  <si>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</si>
  <si>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</si>
  <si>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</si>
  <si>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</si>
  <si>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</si>
  <si>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</si>
  <si>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</si>
  <si>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</si>
  <si>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</si>
  <si>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</si>
  <si>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</si>
  <si>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</si>
  <si>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</si>
  <si>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</si>
  <si>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</si>
  <si>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</si>
  <si>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</si>
  <si>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</si>
  <si>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</si>
  <si>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</si>
  <si>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</si>
  <si>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</si>
  <si>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</si>
  <si>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</si>
  <si>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</si>
  <si>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</si>
  <si>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</si>
  <si>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</si>
  <si>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</si>
  <si>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</si>
  <si>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</si>
  <si>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</si>
  <si>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</si>
  <si>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</si>
  <si>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</si>
  <si>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</si>
  <si>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</si>
  <si>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</si>
  <si>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</si>
  <si>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</si>
  <si>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</si>
  <si>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</si>
  <si>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</si>
  <si>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</si>
  <si>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</si>
  <si>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</si>
  <si>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</si>
  <si>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</si>
  <si>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</si>
  <si>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</si>
  <si>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</si>
  <si>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</si>
  <si>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</si>
  <si>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</si>
  <si>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</si>
  <si>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</si>
  <si>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</si>
  <si>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</si>
  <si>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</si>
  <si>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</si>
  <si>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</si>
  <si>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</si>
  <si>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</si>
  <si>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</si>
  <si>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</si>
  <si>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</si>
  <si>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</si>
  <si>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</si>
  <si>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</si>
  <si>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</si>
  <si>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</si>
  <si>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</si>
  <si>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</si>
  <si>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</si>
  <si>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</si>
  <si>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</si>
  <si>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</si>
  <si>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</si>
  <si>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</si>
  <si>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</si>
  <si>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</si>
  <si>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</si>
  <si>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</si>
  <si>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</si>
  <si>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</si>
  <si>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</si>
  <si>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</si>
  <si>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</si>
  <si>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</si>
  <si>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</si>
  <si>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</si>
  <si>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</si>
  <si>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</si>
  <si>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</si>
  <si>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</si>
  <si>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</si>
  <si>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</si>
  <si>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</si>
  <si>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</si>
  <si>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</si>
  <si>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</si>
  <si>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</si>
  <si>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</si>
  <si>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</si>
  <si>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</si>
  <si>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</si>
  <si>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</si>
  <si>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</si>
  <si>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</si>
  <si>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</si>
  <si>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</si>
  <si>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</si>
  <si>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</si>
  <si>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</si>
  <si>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</si>
  <si>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</si>
  <si>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</si>
  <si>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</si>
  <si>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</si>
  <si>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</si>
  <si>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</si>
  <si>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</si>
  <si>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</si>
  <si>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</si>
  <si>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</si>
  <si>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</si>
  <si>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</si>
  <si>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</si>
  <si>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</si>
  <si>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</si>
  <si>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</si>
  <si>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</si>
  <si>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</si>
  <si>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</si>
  <si>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</si>
  <si>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</si>
  <si>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</si>
  <si>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</si>
  <si>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</si>
  <si>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</si>
  <si>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</si>
  <si>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</si>
  <si>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</si>
  <si>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</si>
  <si>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</si>
  <si>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</si>
  <si>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</si>
  <si>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</si>
  <si>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</si>
  <si>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</si>
  <si>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</si>
  <si>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</si>
  <si>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</si>
  <si>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</si>
  <si>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</si>
  <si>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</si>
  <si>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</si>
  <si>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</si>
  <si>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</si>
  <si>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</si>
  <si>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</si>
  <si>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</si>
  <si>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</si>
  <si>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</si>
  <si>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</si>
  <si>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</si>
  <si>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</si>
  <si>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</si>
  <si>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</si>
  <si>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</si>
  <si>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</si>
  <si>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</si>
  <si>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</si>
  <si>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</si>
  <si>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</si>
  <si>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</si>
  <si>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</si>
  <si>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</si>
  <si>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</si>
  <si>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</si>
  <si>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</si>
  <si>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</si>
  <si>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</si>
  <si>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</si>
  <si>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</si>
  <si>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</si>
  <si>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</si>
  <si>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</si>
  <si>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</si>
  <si>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</si>
  <si>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</si>
  <si>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</si>
  <si>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</si>
  <si>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</si>
  <si>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</si>
  <si>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</si>
  <si>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</si>
  <si>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</si>
  <si>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</si>
  <si>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</si>
  <si>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</si>
  <si>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</si>
  <si>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</si>
  <si>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</si>
  <si>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</si>
  <si>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</si>
  <si>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</si>
  <si>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</si>
  <si>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</si>
  <si>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</si>
  <si>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</si>
  <si>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</si>
  <si>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</si>
  <si>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</si>
  <si>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</si>
  <si>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</si>
  <si>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</si>
  <si>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</si>
  <si>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</si>
  <si>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</si>
  <si>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</si>
  <si>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</si>
  <si>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</si>
  <si>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</si>
  <si>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</si>
  <si>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</si>
  <si>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</si>
  <si>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</si>
  <si>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</si>
  <si>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</si>
  <si>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</si>
  <si>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</si>
  <si>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</si>
  <si>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</si>
  <si>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</si>
  <si>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</si>
  <si>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</si>
  <si>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</si>
  <si>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</si>
  <si>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</si>
  <si>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</si>
  <si>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</si>
  <si>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</si>
  <si>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</si>
  <si>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</si>
  <si>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</si>
  <si>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</si>
  <si>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</si>
  <si>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</si>
  <si>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</si>
  <si>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</si>
  <si>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</si>
  <si>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</si>
  <si>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</si>
  <si>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</si>
  <si>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</si>
  <si>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</si>
  <si>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</si>
  <si>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</si>
  <si>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</si>
  <si>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</si>
  <si>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</si>
  <si>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</si>
  <si>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</si>
  <si>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</si>
  <si>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</si>
  <si>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</si>
  <si>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</si>
  <si>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</si>
  <si>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</si>
  <si>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</si>
  <si>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</si>
  <si>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</si>
  <si>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</si>
  <si>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</si>
  <si>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</si>
  <si>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</si>
  <si>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</si>
  <si>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</si>
  <si>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</si>
  <si>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</si>
  <si>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</si>
  <si>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</si>
  <si>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</si>
  <si>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</si>
  <si>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</si>
  <si>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</si>
  <si>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</si>
  <si>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</si>
  <si>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</si>
  <si>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</si>
  <si>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</si>
  <si>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</si>
  <si>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</si>
  <si>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</si>
  <si>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</si>
  <si>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</si>
  <si>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</si>
  <si>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</si>
  <si>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</si>
  <si>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</si>
  <si>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</si>
  <si>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</si>
  <si>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</si>
  <si>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</si>
  <si>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</si>
  <si>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</si>
  <si>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</si>
  <si>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</si>
  <si>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</si>
  <si>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</si>
  <si>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</si>
  <si>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</si>
  <si>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</si>
  <si>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</si>
  <si>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</si>
  <si>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</si>
  <si>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</si>
  <si>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</si>
  <si>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</si>
  <si>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</si>
  <si>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</si>
  <si>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</si>
  <si>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</si>
  <si>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</si>
  <si>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</si>
  <si>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</si>
  <si>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</si>
  <si>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</si>
  <si>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</si>
  <si>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</si>
  <si>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</si>
  <si>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</si>
  <si>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</si>
  <si>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</si>
  <si>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</si>
  <si>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</si>
  <si>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</si>
  <si>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</si>
  <si>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</si>
  <si>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</si>
  <si>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</si>
  <si>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</si>
  <si>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</si>
  <si>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</si>
  <si>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</si>
  <si>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</si>
  <si>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</si>
  <si>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</si>
  <si>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</si>
  <si>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</si>
  <si>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</si>
  <si>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</si>
  <si>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</si>
  <si>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</si>
  <si>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</si>
  <si>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</si>
  <si>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</si>
  <si>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</si>
  <si>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</si>
  <si>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</si>
  <si>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</si>
  <si>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</si>
  <si>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</si>
  <si>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</si>
  <si>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</si>
  <si>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</si>
  <si>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</si>
  <si>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</si>
  <si>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</si>
  <si>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</si>
  <si>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</si>
  <si>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</si>
  <si>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</si>
  <si>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</si>
  <si>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</si>
  <si>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</si>
  <si>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</si>
  <si>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</si>
  <si>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</si>
  <si>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</si>
  <si>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</si>
  <si>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</si>
  <si>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</si>
  <si>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</si>
  <si>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</si>
  <si>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</si>
  <si>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</si>
  <si>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</si>
  <si>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</si>
  <si>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</si>
  <si>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</si>
  <si>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</si>
  <si>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</si>
  <si>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</si>
  <si>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</si>
  <si>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</si>
  <si>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</si>
  <si>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</si>
  <si>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</si>
  <si>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</si>
  <si>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</si>
  <si>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</si>
  <si>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</si>
  <si>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</si>
  <si>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</si>
  <si>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</si>
  <si>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</si>
  <si>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</si>
  <si>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</si>
  <si>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</si>
  <si>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</si>
  <si>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</si>
  <si>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</si>
  <si>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</si>
  <si>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</si>
  <si>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</si>
  <si>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</si>
  <si>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</si>
  <si>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</si>
  <si>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</si>
  <si>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</si>
  <si>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</si>
  <si>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</si>
  <si>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</si>
  <si>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</si>
  <si>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</si>
  <si>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</si>
  <si>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</si>
  <si>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</si>
  <si>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</si>
  <si>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</si>
  <si>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</si>
  <si>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</si>
  <si>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</si>
  <si>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</si>
  <si>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</si>
  <si>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</si>
  <si>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</si>
  <si>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</si>
  <si>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</si>
  <si>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</si>
  <si>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</si>
  <si>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</si>
  <si>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</si>
  <si>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</si>
  <si>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</si>
  <si>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</si>
  <si>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</si>
  <si>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</si>
  <si>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</si>
  <si>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</si>
  <si>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</si>
  <si>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</si>
  <si>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</si>
  <si>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</si>
  <si>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</si>
  <si>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</si>
  <si>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</si>
  <si>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</si>
  <si>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</si>
  <si>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</si>
  <si>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</si>
  <si>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</si>
  <si>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</si>
  <si>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</si>
  <si>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</si>
  <si>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</si>
  <si>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</si>
  <si>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</si>
  <si>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</si>
  <si>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</si>
  <si>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</si>
  <si>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</si>
  <si>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</si>
  <si>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</si>
  <si>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</si>
  <si>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</si>
  <si>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</si>
  <si>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</si>
  <si>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</si>
  <si>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</si>
  <si>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</si>
  <si>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</si>
  <si>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</si>
  <si>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</si>
  <si>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</si>
  <si>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</si>
  <si>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</si>
  <si>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</si>
  <si>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</si>
  <si>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</si>
  <si>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</si>
  <si>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</si>
  <si>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</si>
  <si>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</si>
  <si>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</si>
  <si>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</si>
  <si>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</si>
  <si>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</si>
  <si>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</si>
  <si>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</si>
  <si>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</si>
  <si>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</si>
  <si>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</si>
  <si>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</si>
  <si>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</si>
  <si>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</si>
  <si>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</si>
  <si>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</si>
  <si>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</si>
  <si>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</si>
  <si>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</si>
  <si>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</si>
  <si>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</si>
  <si>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</si>
  <si>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</si>
  <si>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</si>
  <si>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</si>
  <si>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</si>
  <si>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</si>
  <si>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</si>
  <si>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</si>
  <si>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</si>
  <si>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</si>
  <si>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</si>
  <si>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</si>
  <si>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</si>
  <si>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</si>
  <si>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</si>
  <si>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</si>
  <si>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</si>
  <si>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</si>
  <si>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</si>
  <si>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</si>
  <si>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</si>
  <si>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</si>
  <si>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</si>
  <si>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</si>
  <si>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</si>
  <si>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</si>
  <si>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</si>
  <si>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</si>
  <si>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</si>
  <si>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</si>
  <si>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</si>
  <si>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</si>
  <si>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</si>
  <si>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</si>
  <si>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</si>
  <si>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</si>
  <si>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</si>
  <si>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</si>
  <si>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</si>
  <si>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</si>
  <si>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</si>
  <si>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</si>
  <si>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</si>
  <si>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</si>
  <si>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</si>
  <si>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</si>
  <si>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</si>
  <si>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</si>
  <si>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</si>
  <si>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</si>
  <si>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</si>
  <si>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</si>
  <si>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</si>
  <si>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</si>
  <si>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</si>
  <si>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</si>
  <si>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</si>
  <si>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</si>
  <si>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</si>
  <si>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</si>
  <si>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</si>
  <si>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</si>
  <si>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</si>
  <si>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</si>
  <si>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</si>
  <si>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</si>
  <si>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</si>
  <si>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</si>
  <si>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</si>
  <si>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</si>
  <si>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</si>
  <si>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</si>
  <si>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</si>
  <si>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</si>
  <si>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</si>
  <si>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</si>
  <si>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</si>
  <si>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</si>
  <si>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</si>
  <si>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</si>
  <si>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</si>
  <si>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</si>
  <si>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</si>
  <si>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</si>
  <si>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</si>
  <si>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</si>
  <si>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</si>
  <si>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</si>
  <si>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</si>
  <si>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</si>
  <si>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</si>
  <si>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</si>
  <si>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</si>
  <si>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</si>
  <si>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</si>
  <si>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</si>
  <si>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</si>
  <si>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</si>
  <si>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</si>
  <si>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</si>
  <si>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</si>
  <si>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</si>
  <si>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</si>
  <si>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</si>
  <si>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</si>
  <si>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</si>
  <si>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</si>
  <si>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</si>
  <si>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</si>
  <si>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</si>
  <si>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</si>
  <si>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</si>
  <si>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</si>
  <si>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</si>
  <si>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</si>
  <si>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</si>
  <si>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</si>
  <si>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</si>
  <si>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</si>
  <si>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</si>
  <si>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</si>
  <si>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</si>
  <si>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</si>
  <si>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</si>
  <si>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</si>
  <si>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</si>
  <si>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</si>
  <si>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</si>
  <si>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</si>
  <si>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</si>
  <si>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</si>
  <si>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</si>
  <si>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</si>
  <si>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</si>
  <si>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</si>
  <si>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</si>
  <si>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</si>
  <si>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</si>
  <si>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</si>
  <si>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</si>
  <si>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</si>
  <si>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</si>
  <si>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</si>
  <si>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</si>
  <si>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</si>
  <si>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</si>
  <si>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</si>
  <si>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</si>
  <si>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</si>
  <si>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</si>
  <si>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</si>
  <si>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</si>
  <si>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</si>
  <si>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</si>
  <si>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</si>
  <si>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</si>
  <si>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</si>
  <si>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</si>
  <si>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</si>
  <si>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</si>
  <si>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</si>
  <si>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</si>
  <si>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</si>
  <si>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</si>
  <si>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</si>
  <si>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</si>
  <si>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</si>
  <si>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</si>
  <si>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</si>
  <si>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</si>
  <si>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</si>
  <si>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</si>
  <si>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</si>
  <si>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</si>
  <si>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</si>
  <si>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</si>
  <si>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</si>
  <si>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</si>
  <si>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</si>
  <si>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</si>
  <si>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</si>
  <si>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</si>
  <si>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</si>
  <si>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</si>
  <si>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</si>
  <si>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</si>
  <si>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</si>
  <si>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</si>
  <si>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</si>
  <si>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</si>
  <si>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</si>
  <si>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</si>
  <si>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</si>
  <si>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</si>
  <si>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</si>
  <si>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</si>
  <si>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</si>
  <si>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</si>
  <si>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</si>
  <si>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</si>
  <si>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</si>
  <si>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</si>
  <si>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</si>
  <si>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</si>
  <si>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</si>
  <si>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</si>
  <si>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</si>
  <si>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</si>
  <si>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</si>
  <si>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</si>
  <si>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</si>
  <si>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</si>
  <si>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</si>
  <si>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</si>
  <si>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</si>
  <si>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</si>
  <si>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</si>
  <si>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</si>
  <si>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</si>
  <si>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</si>
  <si>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</si>
  <si>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</si>
  <si>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</si>
  <si>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</si>
  <si>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</si>
  <si>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</si>
  <si>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</si>
  <si>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</si>
  <si>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</si>
  <si>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</si>
  <si>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</si>
  <si>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</si>
  <si>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</si>
  <si>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</si>
  <si>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</si>
  <si>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</si>
  <si>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</si>
  <si>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</si>
  <si>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</si>
  <si>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</si>
  <si>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</si>
  <si>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</si>
  <si>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</si>
  <si>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</si>
  <si>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</si>
  <si>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</si>
  <si>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</si>
  <si>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</si>
  <si>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</si>
  <si>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</si>
  <si>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</si>
  <si>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</si>
  <si>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</si>
  <si>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</si>
  <si>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</si>
  <si>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</si>
  <si>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</si>
  <si>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</si>
  <si>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</si>
  <si>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</si>
  <si>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</si>
  <si>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</si>
  <si>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</si>
  <si>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</si>
  <si>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</si>
  <si>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</si>
  <si>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</si>
  <si>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</si>
  <si>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</si>
  <si>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</si>
  <si>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</si>
  <si>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</si>
  <si>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</si>
  <si>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</si>
  <si>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</si>
  <si>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</si>
  <si>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</si>
  <si>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</si>
  <si>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</si>
  <si>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</si>
  <si>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</si>
  <si>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</si>
  <si>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</si>
  <si>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</si>
  <si>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</si>
  <si>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</si>
  <si>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</si>
  <si>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</si>
  <si>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</si>
  <si>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</si>
  <si>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</si>
  <si>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</si>
  <si>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</si>
  <si>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</si>
  <si>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</si>
  <si>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</si>
  <si>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</si>
  <si>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</si>
  <si>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</si>
  <si>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</si>
  <si>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</si>
  <si>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</si>
  <si>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</si>
  <si>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</si>
  <si>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</si>
  <si>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</si>
  <si>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</si>
  <si>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</si>
  <si>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</si>
  <si>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</si>
  <si>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</si>
  <si>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</si>
  <si>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</si>
  <si>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</si>
  <si>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</si>
  <si>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</si>
  <si>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</si>
  <si>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</si>
  <si>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</si>
  <si>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</si>
  <si>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</si>
  <si>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</si>
  <si>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</si>
  <si>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</si>
  <si>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</si>
  <si>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</si>
  <si>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</si>
  <si>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</si>
  <si>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</si>
  <si>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</si>
  <si>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</si>
  <si>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</si>
  <si>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</si>
  <si>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</si>
  <si>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</si>
  <si>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</si>
  <si>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</si>
  <si>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</si>
  <si>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</si>
  <si>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</si>
  <si>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</si>
  <si>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</si>
  <si>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</si>
  <si>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</si>
  <si>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</si>
  <si>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</si>
  <si>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</si>
  <si>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</si>
  <si>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</si>
  <si>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</si>
  <si>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</si>
  <si>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</si>
  <si>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</si>
  <si>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</si>
  <si>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</si>
  <si>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</si>
  <si>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</si>
  <si>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</si>
  <si>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</si>
  <si>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</si>
  <si>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</si>
  <si>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</si>
  <si>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</si>
  <si>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</si>
  <si>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</si>
  <si>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</si>
  <si>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</si>
  <si>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</si>
  <si>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</si>
  <si>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</si>
  <si>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</si>
  <si>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</si>
  <si>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</si>
  <si>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</si>
  <si>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</si>
  <si>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</si>
  <si>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</si>
  <si>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</si>
  <si>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</si>
  <si>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</si>
  <si>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</si>
  <si>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</si>
  <si>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</si>
  <si>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</si>
  <si>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</si>
  <si>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</si>
  <si>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</si>
  <si>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</si>
  <si>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</si>
  <si>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</si>
  <si>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</si>
  <si>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</si>
  <si>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</si>
  <si>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</si>
  <si>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</si>
  <si>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</si>
  <si>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</si>
  <si>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</si>
  <si>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</si>
  <si>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</si>
  <si>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</si>
  <si>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</si>
  <si>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</si>
  <si>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</si>
  <si>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</si>
  <si>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</si>
  <si>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</si>
  <si>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</si>
  <si>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</si>
  <si>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</si>
  <si>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</si>
  <si>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</si>
  <si>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</si>
  <si>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</si>
  <si>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</si>
  <si>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</si>
  <si>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</si>
  <si>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</si>
  <si>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</si>
  <si>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</si>
  <si>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</si>
  <si>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</si>
  <si>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</si>
  <si>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</si>
  <si>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</si>
  <si>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</si>
  <si>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</si>
  <si>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</si>
  <si>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</si>
  <si>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</si>
  <si>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</si>
  <si>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</si>
  <si>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</si>
  <si>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</si>
  <si>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</si>
  <si>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</si>
  <si>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</si>
  <si>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</si>
  <si>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</si>
  <si>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</si>
  <si>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</si>
  <si>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</si>
  <si>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</si>
  <si>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</si>
  <si>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</si>
  <si>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</si>
  <si>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</si>
  <si>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</si>
  <si>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</si>
  <si>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</si>
  <si>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</si>
  <si>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</si>
  <si>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</si>
  <si>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</si>
  <si>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</si>
  <si>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</si>
  <si>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</si>
  <si>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</si>
  <si>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</si>
  <si>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</si>
  <si>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</si>
  <si>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</si>
  <si>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</si>
  <si>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</si>
  <si>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</si>
  <si>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</si>
  <si>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</si>
  <si>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</si>
  <si>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</si>
  <si>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</si>
  <si>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</si>
  <si>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</si>
  <si>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</si>
  <si>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</si>
  <si>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</si>
  <si>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</si>
  <si>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</si>
  <si>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</si>
  <si>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</si>
  <si>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</si>
  <si>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</si>
  <si>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</si>
  <si>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</si>
  <si>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</si>
  <si>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</si>
  <si>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</si>
  <si>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</si>
  <si>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</si>
  <si>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</si>
  <si>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</si>
  <si>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</si>
  <si>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</si>
  <si>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</si>
  <si>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</si>
  <si>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</si>
  <si>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</si>
  <si>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</si>
  <si>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</si>
  <si>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</si>
  <si>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</si>
  <si>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</si>
  <si>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</si>
  <si>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</si>
  <si>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</si>
  <si>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</si>
  <si>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</si>
  <si>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</si>
  <si>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</si>
  <si>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</si>
  <si>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</si>
  <si>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</si>
  <si>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</si>
  <si>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</si>
  <si>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</si>
  <si>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</si>
  <si>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</si>
  <si>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</si>
  <si>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</si>
  <si>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</si>
  <si>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</si>
  <si>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</si>
  <si>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</si>
  <si>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</si>
  <si>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</si>
  <si>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</si>
  <si>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</si>
  <si>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</si>
  <si>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</si>
  <si>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</si>
  <si>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</si>
  <si>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</si>
  <si>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</si>
  <si>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</si>
  <si>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</si>
  <si>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</si>
  <si>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</si>
  <si>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</si>
  <si>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</si>
  <si>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</si>
  <si>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</si>
  <si>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</si>
  <si>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</si>
  <si>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</si>
  <si>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</si>
  <si>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</si>
  <si>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</si>
  <si>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</si>
  <si>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</si>
  <si>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</si>
  <si>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</si>
  <si>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</si>
  <si>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</si>
  <si>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</si>
  <si>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</si>
  <si>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</si>
  <si>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</si>
  <si>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</si>
  <si>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</si>
  <si>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</si>
  <si>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</si>
  <si>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</si>
  <si>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</si>
  <si>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</si>
  <si>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</si>
  <si>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</si>
  <si>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</si>
  <si>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</si>
  <si>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</si>
  <si>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</si>
  <si>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</si>
  <si>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</si>
  <si>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</si>
  <si>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</si>
  <si>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</si>
  <si>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</si>
  <si>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</si>
  <si>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</si>
  <si>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</si>
  <si>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</si>
  <si>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</si>
  <si>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</si>
  <si>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</si>
  <si>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</si>
  <si>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</si>
  <si>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</si>
  <si>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</si>
  <si>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</si>
  <si>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</si>
  <si>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</si>
  <si>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28-037-2280-26</t>
  </si>
  <si>
    <t>648 North Chicago St.</t>
  </si>
  <si>
    <t>Geneseo, IL</t>
  </si>
  <si>
    <t>Tim C. Custis, CPA</t>
  </si>
  <si>
    <t>tcustis@gorenzcpa.com</t>
  </si>
  <si>
    <t>Dr. Adam Brumbaugh</t>
  </si>
  <si>
    <t>Unmodified</t>
  </si>
  <si>
    <t>NONE</t>
  </si>
  <si>
    <t>2019-001</t>
  </si>
  <si>
    <t>Resolved</t>
  </si>
  <si>
    <t>Monitoring Cash in Food Service Program</t>
  </si>
  <si>
    <t>Geneseo Communtiy Unit School District No. 228</t>
  </si>
  <si>
    <t>ISBE</t>
  </si>
  <si>
    <t xml:space="preserve">          Receipts/Revenues          </t>
  </si>
  <si>
    <t xml:space="preserve">  Expenditures/Disbursements  </t>
  </si>
  <si>
    <t>Project</t>
  </si>
  <si>
    <t xml:space="preserve">Prior to </t>
  </si>
  <si>
    <t>7/01/19-</t>
  </si>
  <si>
    <t>Final</t>
  </si>
  <si>
    <t>Federal Grantor/Pass-Through Grantor,</t>
  </si>
  <si>
    <t>Number</t>
  </si>
  <si>
    <t>6/30/19</t>
  </si>
  <si>
    <t>6/30/20</t>
  </si>
  <si>
    <t>Encumbrances</t>
  </si>
  <si>
    <t>Program Title &amp; Major Program Designation</t>
  </si>
  <si>
    <t xml:space="preserve">        (A)        </t>
  </si>
  <si>
    <t xml:space="preserve">         (B)         </t>
  </si>
  <si>
    <t xml:space="preserve">         (C)         </t>
  </si>
  <si>
    <t xml:space="preserve">         (D)         </t>
  </si>
  <si>
    <t xml:space="preserve">         (E)         </t>
  </si>
  <si>
    <t xml:space="preserve">         (F)         </t>
  </si>
  <si>
    <t>***</t>
  </si>
  <si>
    <t xml:space="preserve">         (G)         </t>
  </si>
  <si>
    <t xml:space="preserve">         (H)         </t>
  </si>
  <si>
    <t xml:space="preserve">         (I)         </t>
  </si>
  <si>
    <t xml:space="preserve">U.S. Department of Agriculture - </t>
  </si>
  <si>
    <t xml:space="preserve">   Pass-through program from</t>
  </si>
  <si>
    <t xml:space="preserve">   Illinois State Board of Education</t>
  </si>
  <si>
    <t>19-4220-00</t>
  </si>
  <si>
    <t>N/A</t>
  </si>
  <si>
    <t>20-4220-00</t>
  </si>
  <si>
    <t>Total for CFDA 10.553</t>
  </si>
  <si>
    <t>19-4210-00</t>
  </si>
  <si>
    <t>10.555</t>
  </si>
  <si>
    <t>20-4210-00</t>
  </si>
  <si>
    <t>Food Donation (3)</t>
  </si>
  <si>
    <t>FY19</t>
  </si>
  <si>
    <t>FY20</t>
  </si>
  <si>
    <t>Dept of Defense-Fresh Fruits and Vegetables (3)</t>
  </si>
  <si>
    <t xml:space="preserve">   St. Malachy's School</t>
  </si>
  <si>
    <t>19-4210-01</t>
  </si>
  <si>
    <t>20-4210-01</t>
  </si>
  <si>
    <t>Total for CFDA 10.555</t>
  </si>
  <si>
    <t>20-4225-00</t>
  </si>
  <si>
    <t>Total for CFDA 10.559</t>
  </si>
  <si>
    <t>Total U.S. Department of Agriculture - Pass-through programs</t>
  </si>
  <si>
    <t>Total Child Nutrition Cluster</t>
  </si>
  <si>
    <t xml:space="preserve">U.S. Department of Education - </t>
  </si>
  <si>
    <t>`</t>
  </si>
  <si>
    <t>19-4300-00</t>
  </si>
  <si>
    <t>20-4300-00</t>
  </si>
  <si>
    <t>Title I - School Improvement &amp; Accountability</t>
  </si>
  <si>
    <t>19-4331-00</t>
  </si>
  <si>
    <t>Total for CFDA 84.010</t>
  </si>
  <si>
    <t>Title IV - Student Support &amp; Academic Enrichment</t>
  </si>
  <si>
    <t>84.424A</t>
  </si>
  <si>
    <t>19-4400-00</t>
  </si>
  <si>
    <t>20-4400-00</t>
  </si>
  <si>
    <t>Total for CFDA 84.424A</t>
  </si>
  <si>
    <t>IDEA Room and Board</t>
  </si>
  <si>
    <t>19-4625-00</t>
  </si>
  <si>
    <t>20-4625-00</t>
  </si>
  <si>
    <t>IDEA - Flow Through</t>
  </si>
  <si>
    <t>(M)</t>
  </si>
  <si>
    <t>20-4620-00</t>
  </si>
  <si>
    <t>Total for CFDA 84.027</t>
  </si>
  <si>
    <t>IDEA - Pre-School</t>
  </si>
  <si>
    <t>20-4600-00</t>
  </si>
  <si>
    <t>Total for CFDA 84.173</t>
  </si>
  <si>
    <t>Total for IDEA CLUSTER</t>
  </si>
  <si>
    <t>19-4932-00</t>
  </si>
  <si>
    <t>20-4932-00</t>
  </si>
  <si>
    <t>Total for CFDA 84.367</t>
  </si>
  <si>
    <t>CARES Act</t>
  </si>
  <si>
    <t>84.425D</t>
  </si>
  <si>
    <t>20-4998-ER</t>
  </si>
  <si>
    <t>Total Dept. of Education passed-through ISBE</t>
  </si>
  <si>
    <t>Henry-Stark Special Education Cooperative</t>
  </si>
  <si>
    <t>IDEA Flow Through</t>
  </si>
  <si>
    <t>17-4620-00</t>
  </si>
  <si>
    <t>18-4620-00</t>
  </si>
  <si>
    <t>Total U.S. Department of Education - Pass-through programs from Henry Stark SEA</t>
  </si>
  <si>
    <t xml:space="preserve">    Henry Stark Special Education Association</t>
  </si>
  <si>
    <t>15-4620-00</t>
  </si>
  <si>
    <t>16-4620-00</t>
  </si>
  <si>
    <t xml:space="preserve">   Illinois Department of Human Services</t>
  </si>
  <si>
    <t>S.T.E.P.    (Note #5)</t>
  </si>
  <si>
    <t>46CXF00020</t>
  </si>
  <si>
    <t xml:space="preserve">Total Dept. of Education passed-through IL Dept of Human </t>
  </si>
  <si>
    <t>Total for CFDA 84.126</t>
  </si>
  <si>
    <t xml:space="preserve">   </t>
  </si>
  <si>
    <t xml:space="preserve">  Services</t>
  </si>
  <si>
    <t xml:space="preserve">  Pass-through program from </t>
  </si>
  <si>
    <t xml:space="preserve">  Regional Office of Education #28</t>
  </si>
  <si>
    <t xml:space="preserve">  Bureau, Henry &amp; Stark Counties</t>
  </si>
  <si>
    <t>Supporting Effecttive Educator Development</t>
  </si>
  <si>
    <t>84.423A</t>
  </si>
  <si>
    <t>19-4999-00</t>
  </si>
  <si>
    <t>Total U.S. Department of Education - Pass-through programs</t>
  </si>
  <si>
    <t>U.S. Department of Health and Human Services -</t>
  </si>
  <si>
    <t>Total Dept. of Education passed-through IL Dept of Human Services</t>
  </si>
  <si>
    <t xml:space="preserve">   Illinois Department of Healthcare and Family Services</t>
  </si>
  <si>
    <t>Medicaid Outreach</t>
  </si>
  <si>
    <t>19-4991-00</t>
  </si>
  <si>
    <t>20-4991-00</t>
  </si>
  <si>
    <t>Total for CFDA 93.778</t>
  </si>
  <si>
    <t>Total U.S. Department of Health and Human Services - Pass-through programs</t>
  </si>
  <si>
    <t>Total Federal Awards</t>
  </si>
  <si>
    <t>Total Federal Awards Passed Through Illinois State Board of Education</t>
  </si>
  <si>
    <t>Total Federal Awards Passed Through Other Entities</t>
  </si>
  <si>
    <t>*** - No Pass through to Subrecipients</t>
  </si>
  <si>
    <t>(M) Indicates Major Federal Financial Assistance Program.</t>
  </si>
  <si>
    <t>(1) Revenue Carryover from Prior Year Project per ISBE.</t>
  </si>
  <si>
    <t>(2) Project not complete as of June 30, 2020.</t>
  </si>
  <si>
    <t>(3) Nonmonetary assistance is reported in the schedule at the fair market value of the commodities received and disbursed.</t>
  </si>
  <si>
    <t>The accompanying Schedule of Expenditures of Federal Awards includes the federal grant activity of Geneseo CUSD No. 228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</si>
  <si>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Geneseo CUSD No. 228 provided federal awards to subrecipients as follows:</t>
  </si>
  <si>
    <t>Note 5:  Matching Expenditures</t>
  </si>
  <si>
    <t>S.T.E.P. (CFDA #84.126) (Contract #46CXF00020) required matching expenditures of $6,400. Total reported expenditures for the
grant were $86,037, not including the matching expenditures.</t>
  </si>
  <si>
    <t>Year Ending June 30, 2020</t>
  </si>
  <si>
    <t>Federal awards received are reflected in the District's financial statements within the Educational Fund as receipts from federal sources. Amounts reported in the accompanying Schedule of Expenditures of Federal Awards agree with the amounts in the Program Financial Records for programs which have filed final reports as of June 30, 2020 with ISBE.</t>
  </si>
  <si>
    <t>Note 5: Relationship to Basis Financial Statements and Program Financial Reports</t>
  </si>
  <si>
    <t>Note 6:  Other Information</t>
  </si>
  <si>
    <t xml:space="preserve">               Year Ended June 30, 2020               </t>
  </si>
  <si>
    <t>I.D.E.A. Cluster</t>
  </si>
  <si>
    <t>84.027 and 84.173</t>
  </si>
  <si>
    <t xml:space="preserve">     61254</t>
  </si>
  <si>
    <t>The approved budget sets the authorized expenditure limitation for each fund.</t>
  </si>
  <si>
    <t>Actual expenditures exceed the budget.</t>
  </si>
  <si>
    <t>The Board of Education is approving expenditures without adequately monitoring budget to actual comparisons.</t>
  </si>
  <si>
    <t>In the future, when budget constraints cannot be met, an amended budget should be filed.</t>
  </si>
  <si>
    <t>The District will monitor actual expenditures compared to budget and file budget amendments when warranted.</t>
  </si>
  <si>
    <r>
      <t>CORRECTIVE ACTION PLAN FOR CURRENT YEAR AUDIT FINDINGS</t>
    </r>
    <r>
      <rPr>
        <b/>
        <vertAlign val="superscript"/>
        <sz val="9"/>
        <rFont val="Calibri"/>
        <family val="2"/>
        <scheme val="minor"/>
      </rPr>
      <t>21</t>
    </r>
  </si>
  <si>
    <t>Corrective Action Plan</t>
  </si>
  <si>
    <t>Finding No.:</t>
  </si>
  <si>
    <t>2020-</t>
  </si>
  <si>
    <t>Condition:</t>
  </si>
  <si>
    <t>Plan:</t>
  </si>
  <si>
    <t>Anticipated Date of Completion:</t>
  </si>
  <si>
    <t>July, 2021</t>
  </si>
  <si>
    <t>Name of Contact Person:</t>
  </si>
  <si>
    <t>Management Response:</t>
  </si>
  <si>
    <r>
      <t>21</t>
    </r>
    <r>
      <rPr>
        <sz val="8"/>
        <rFont val="Calibri"/>
        <family val="2"/>
        <scheme val="minor"/>
      </rPr>
      <t xml:space="preserve">  Must address </t>
    </r>
    <r>
      <rPr>
        <b/>
        <sz val="8"/>
        <rFont val="Calibri"/>
        <family val="2"/>
        <scheme val="minor"/>
      </rPr>
      <t>each</t>
    </r>
    <r>
      <rPr>
        <sz val="8"/>
        <rFont val="Calibri"/>
        <family val="2"/>
        <scheme val="minor"/>
      </rPr>
      <t xml:space="preserve"> audit finding  - §200.511 ( c)</t>
    </r>
  </si>
  <si>
    <r>
      <t xml:space="preserve">Management has allowed expenditures and/or transfers to exceed amounts budgeted for the following funds:
                                                                   Actual Expenditures
                                                                       </t>
    </r>
    <r>
      <rPr>
        <u/>
        <sz val="10"/>
        <rFont val="Calibri"/>
        <family val="2"/>
        <scheme val="minor"/>
      </rPr>
      <t xml:space="preserve">and/or Transfers  </t>
    </r>
    <r>
      <rPr>
        <sz val="10"/>
        <rFont val="Calibri"/>
        <family val="2"/>
        <scheme val="minor"/>
      </rPr>
      <t xml:space="preserve">                                                       </t>
    </r>
    <r>
      <rPr>
        <u/>
        <sz val="10"/>
        <rFont val="Calibri"/>
        <family val="2"/>
        <scheme val="minor"/>
      </rPr>
      <t>Budget</t>
    </r>
    <r>
      <rPr>
        <sz val="10"/>
        <rFont val="Calibri"/>
        <family val="2"/>
        <scheme val="minor"/>
      </rPr>
      <t xml:space="preserve">
Educational                                                      18,365,317                                                           18,203,454
Operations &amp; Maintenance                         2,382,529                                                              2,175,810                                                                             Debt Services                                                    3,607,044                                                              3,568,700                                                                      Transportation                                                  1,982,869                                                              1,928,563                                                                      Working Cash                                                        500,000                                                                  250,000                                                                           Tort                                                                            953,656                                                                  589,845</t>
    </r>
  </si>
  <si>
    <t>The Board will use budget variances and current year estimates to prepare more informed budgets in the future.</t>
  </si>
  <si>
    <t>Dr. Adam Brumbaugh, Superintendent</t>
  </si>
  <si>
    <t>The District will monitor actual expendutres compared to budget and file budget amendments when warranted.</t>
  </si>
  <si>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Educational                                                      18,365,317                                                           18,203,454                                                            Operations &amp; Maintenance                         2,382,529                                                              2,175,810                                                                             Debt Services                                                    3,607,044                                                              3,568,700                                                                      Transportation                                                  1,982,869                                                              1,928,563                                                                      Working Cash                                                        500,000                                                                  250,000                                                                           Tort                                                                            953,656                                                                  589,845</t>
    </r>
  </si>
  <si>
    <t>tgronski@geneseoschools.org</t>
  </si>
  <si>
    <t>abrumbaugh@geneseoschools.org</t>
  </si>
  <si>
    <t>309-945-0450</t>
  </si>
  <si>
    <t>309-945-0445</t>
  </si>
  <si>
    <t>2015A Alternate Revenue</t>
  </si>
  <si>
    <t>Alternate Revenue Bonds</t>
  </si>
  <si>
    <t>2015B GO Bonds - WC</t>
  </si>
  <si>
    <t>2018 GO Bonds - WC</t>
  </si>
  <si>
    <t>2016B GO Bonds - LS</t>
  </si>
  <si>
    <t>Technology Loan</t>
  </si>
  <si>
    <t>Capital Lease</t>
  </si>
  <si>
    <t>Equipment Loan</t>
  </si>
  <si>
    <t>2020 Debt Certificates</t>
  </si>
  <si>
    <t>Debt Certificates</t>
  </si>
  <si>
    <t>TORT - SUPPORT SERVICES - PURCHASED SERVICES</t>
  </si>
  <si>
    <t>JOHNSON CONTROLS</t>
  </si>
  <si>
    <t>ED - FOOD SERVICES - SUPPLIES</t>
  </si>
  <si>
    <t>COCA-COLA</t>
  </si>
  <si>
    <t>ED - SUPPORT SERVICES - PURCHASED SERVICES</t>
  </si>
  <si>
    <t>ECRA GROUP INC</t>
  </si>
  <si>
    <t>TMI TOTAL MAINTENANCE</t>
  </si>
  <si>
    <t>O&amp;M - SUPPORT SERVICES - PURCHASED SERVICES</t>
  </si>
  <si>
    <t>SKYWARD</t>
  </si>
  <si>
    <t>TRANS - PUPIL TRANSPORTATION - PURCHASED SERVICES</t>
  </si>
  <si>
    <t>PINKS BUS SERVICE</t>
  </si>
  <si>
    <t>ED - DATA PROCESSING - PURCHASED SERVICES</t>
  </si>
  <si>
    <t>OFFICE MACHINE CONSULTANTS</t>
  </si>
  <si>
    <t>RIVER VALLEY COOP</t>
  </si>
  <si>
    <t>TRANS - PUPIL TRANSPORTATION - SUPPLIES</t>
  </si>
  <si>
    <t>x</t>
  </si>
  <si>
    <t>Illinois Energy Consortium</t>
  </si>
  <si>
    <t>Illinois Liquid Asset Fund</t>
  </si>
  <si>
    <t>IASA Job Bank</t>
  </si>
  <si>
    <t>Bureau, Henry, Stark ROE</t>
  </si>
  <si>
    <t xml:space="preserve">The practice of monitoring expenitures to budgeted amounts is essential to the monitoring of financial operations.  </t>
  </si>
  <si>
    <t>Part C, Question 20 - See Finding 2020-001</t>
  </si>
  <si>
    <t>Northern Illinois Library</t>
  </si>
  <si>
    <t>ISDA, Prairie State Insurance Co-op</t>
  </si>
  <si>
    <t>Henry-Stark Special Education Co-op</t>
  </si>
  <si>
    <t>Bureau, Henry, Stark ROE (Paper)</t>
  </si>
  <si>
    <t>Quad Cities Area Vocation Co-op</t>
  </si>
  <si>
    <t>Page 10, Line 72 - Sales to Excel</t>
  </si>
  <si>
    <t>Page 10, Line 74 - Miscellaneous Food Sales</t>
  </si>
  <si>
    <t>Page 10, Line 81 - SAFE Latchkey Program</t>
  </si>
  <si>
    <t>Page 11, Line 107 - Refunds and Reimbursements</t>
  </si>
  <si>
    <t>Page 16, Line 83 - Title I Funds Returned to ISBE</t>
  </si>
  <si>
    <t>Page 18, Line 171 - Bond Agent Fees</t>
  </si>
  <si>
    <t>Page 24, Line 36 - Equipment Loan Purchase Agreement</t>
  </si>
  <si>
    <t>Page 16, Line 73 - Leadership Expenditures</t>
  </si>
  <si>
    <t>Page 20, Line 278 - Leadership Benefits</t>
  </si>
  <si>
    <t>Page 25, Line 20 - Debt Service Bond Agent Fees</t>
  </si>
  <si>
    <t>Page 24, Line 37 - Bond Proceeds</t>
  </si>
  <si>
    <t xml:space="preserve">Value of Non-Cash Commodities </t>
  </si>
  <si>
    <t>The following amounts were expended in the form of non-cash assistance by Geneseo CUSD No. 228 and are included in the Schedule of Expenditures of Federal Awards:</t>
  </si>
  <si>
    <t>National School Lunch Program - St. Malachy School</t>
  </si>
  <si>
    <t>Geneseo Community Unit School District No.228</t>
  </si>
  <si>
    <t>See PDF version</t>
  </si>
  <si>
    <t xml:space="preserve">  Geneseo CUSD 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</si>
</sst>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_(* #,##0_);_(* \(#,##0\);_(* &quot;-&quot;??_);_(@_)"/>
    <numFmt numFmtId="188" formatCode="#,##0.000_);\(#,##0.000\)"/>
  </numFmts>
  <fonts count="1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b/>
      <sz val="12"/>
      <name val="Garamond"/>
      <family val="1"/>
    </font>
    <font>
      <sz val="10"/>
      <name val="Courier"/>
      <family val="3"/>
    </font>
    <font>
      <sz val="12"/>
      <name val="Garamond"/>
      <family val="1"/>
    </font>
    <font>
      <sz val="12"/>
      <name val="Courier"/>
      <family val="3"/>
    </font>
    <font>
      <sz val="11"/>
      <name val="Times New Roman"/>
      <family val="1"/>
    </font>
    <font>
      <b/>
      <u/>
      <sz val="12"/>
      <name val="Garamond"/>
      <family val="1"/>
    </font>
    <font>
      <b/>
      <sz val="10"/>
      <name val="Times New Roman"/>
      <family val="1"/>
    </font>
    <font>
      <u/>
      <sz val="12"/>
      <name val="Garamond"/>
      <family val="1"/>
    </font>
    <font>
      <u val="singleAccounting"/>
      <sz val="10"/>
      <name val="Times New Roman"/>
      <family val="1"/>
    </font>
    <font>
      <u val="singleAccounting"/>
      <sz val="12"/>
      <name val="Garamond"/>
      <family val="1"/>
    </font>
    <font>
      <sz val="12"/>
      <name val="Times New Roman"/>
      <family val="1"/>
    </font>
    <font>
      <u val="singleAccounting"/>
      <sz val="12"/>
      <color theme="1"/>
      <name val="Garamond"/>
      <family val="1"/>
    </font>
    <font>
      <sz val="12"/>
      <color theme="1"/>
      <name val="Garamond"/>
      <family val="1"/>
    </font>
    <font>
      <u val="doubleAccounting"/>
      <sz val="12"/>
      <name val="Garamond"/>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37" fontId="144" fillId="0" borderId="0"/>
    <xf numFmtId="37" fontId="146" fillId="0" borderId="0"/>
    <xf numFmtId="43" fontId="46" fillId="0" borderId="0" applyFont="0" applyFill="0" applyBorder="0" applyAlignment="0" applyProtection="0"/>
    <xf numFmtId="37" fontId="146" fillId="0" borderId="0"/>
    <xf numFmtId="9" fontId="46" fillId="0" borderId="0" applyFont="0" applyFill="0" applyBorder="0" applyAlignment="0" applyProtection="0"/>
  </cellStyleXfs>
  <cellXfs count="276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8" fillId="0" borderId="0" xfId="3" applyFont="1" applyAlignment="1">
      <alignment horizontal="center" vertical="center"/>
    </xf>
    <xf numFmtId="37" fontId="46" fillId="0" borderId="0" xfId="21" applyFont="1" applyAlignment="1">
      <alignment vertical="center"/>
    </xf>
    <xf numFmtId="37" fontId="147" fillId="0" borderId="0" xfId="21" applyFont="1"/>
    <xf numFmtId="37" fontId="148" fillId="0" borderId="0" xfId="21" applyFont="1" applyAlignment="1">
      <alignment vertical="center"/>
    </xf>
    <xf numFmtId="37" fontId="147" fillId="0" borderId="0" xfId="21" applyFont="1" applyAlignment="1">
      <alignment horizontal="centerContinuous"/>
    </xf>
    <xf numFmtId="37" fontId="147" fillId="0" borderId="0" xfId="21" applyFont="1" applyAlignment="1">
      <alignment horizontal="left"/>
    </xf>
    <xf numFmtId="37" fontId="147" fillId="0" borderId="0" xfId="21" applyFont="1" applyAlignment="1">
      <alignment horizontal="center"/>
    </xf>
    <xf numFmtId="37" fontId="152" fillId="0" borderId="0" xfId="21" applyFont="1" applyAlignment="1">
      <alignment horizontal="centerContinuous"/>
    </xf>
    <xf numFmtId="37" fontId="147" fillId="0" borderId="0" xfId="21" quotePrefix="1" applyFont="1" applyAlignment="1">
      <alignment horizontal="center"/>
    </xf>
    <xf numFmtId="14" fontId="147" fillId="0" borderId="0" xfId="21" quotePrefix="1" applyNumberFormat="1" applyFont="1" applyAlignment="1">
      <alignment horizontal="center"/>
    </xf>
    <xf numFmtId="14" fontId="147" fillId="0" borderId="0" xfId="21" applyNumberFormat="1" applyFont="1" applyAlignment="1">
      <alignment horizontal="center"/>
    </xf>
    <xf numFmtId="37" fontId="152" fillId="0" borderId="0" xfId="21" applyFont="1" applyAlignment="1">
      <alignment horizontal="left"/>
    </xf>
    <xf numFmtId="37" fontId="152" fillId="0" borderId="0" xfId="21" applyFont="1" applyAlignment="1">
      <alignment horizontal="center"/>
    </xf>
    <xf numFmtId="37" fontId="145" fillId="0" borderId="0" xfId="21" applyFont="1" applyAlignment="1">
      <alignment horizontal="left"/>
    </xf>
    <xf numFmtId="37" fontId="46" fillId="0" borderId="0" xfId="21" applyFont="1" applyAlignment="1">
      <alignment horizontal="center" vertical="center"/>
    </xf>
    <xf numFmtId="37" fontId="152" fillId="0" borderId="0" xfId="21" applyFont="1"/>
    <xf numFmtId="37" fontId="145" fillId="0" borderId="0" xfId="21" applyFont="1"/>
    <xf numFmtId="37" fontId="147" fillId="0" borderId="0" xfId="21" applyFont="1" applyAlignment="1">
      <alignment horizontal="right"/>
    </xf>
    <xf numFmtId="185" fontId="147" fillId="0" borderId="0" xfId="21" applyNumberFormat="1" applyFont="1" applyAlignment="1">
      <alignment horizontal="center"/>
    </xf>
    <xf numFmtId="186" fontId="147" fillId="0" borderId="0" xfId="21" applyNumberFormat="1" applyFont="1"/>
    <xf numFmtId="186" fontId="154" fillId="0" borderId="0" xfId="21" applyNumberFormat="1" applyFont="1"/>
    <xf numFmtId="187" fontId="147" fillId="0" borderId="0" xfId="21" applyNumberFormat="1" applyFont="1"/>
    <xf numFmtId="186" fontId="147" fillId="0" borderId="0" xfId="21" applyNumberFormat="1" applyFont="1" applyAlignment="1">
      <alignment horizontal="right"/>
    </xf>
    <xf numFmtId="186" fontId="147" fillId="0" borderId="0" xfId="21" applyNumberFormat="1" applyFont="1" applyAlignment="1">
      <alignment horizontal="center"/>
    </xf>
    <xf numFmtId="37" fontId="147" fillId="0" borderId="0" xfId="24" applyFont="1" applyAlignment="1">
      <alignment horizontal="center"/>
    </xf>
    <xf numFmtId="37" fontId="147" fillId="27" borderId="0" xfId="21" applyFont="1" applyFill="1" applyAlignment="1">
      <alignment horizontal="center"/>
    </xf>
    <xf numFmtId="186" fontId="147" fillId="27" borderId="0" xfId="21" applyNumberFormat="1" applyFont="1" applyFill="1"/>
    <xf numFmtId="186" fontId="154" fillId="27" borderId="0" xfId="21" applyNumberFormat="1" applyFont="1" applyFill="1"/>
    <xf numFmtId="37" fontId="147" fillId="0" borderId="0" xfId="24" applyFont="1" applyAlignment="1">
      <alignment horizontal="left"/>
    </xf>
    <xf numFmtId="185" fontId="147" fillId="0" borderId="0" xfId="24" applyNumberFormat="1" applyFont="1" applyAlignment="1">
      <alignment horizontal="center"/>
    </xf>
    <xf numFmtId="37" fontId="147" fillId="0" borderId="0" xfId="24" applyFont="1"/>
    <xf numFmtId="37" fontId="155" fillId="0" borderId="0" xfId="21" applyFont="1" applyAlignment="1">
      <alignment horizontal="center" vertical="center"/>
    </xf>
    <xf numFmtId="187" fontId="154" fillId="0" borderId="0" xfId="21" applyNumberFormat="1" applyFont="1"/>
    <xf numFmtId="185" fontId="149" fillId="0" borderId="0" xfId="21" applyNumberFormat="1" applyFont="1" applyAlignment="1">
      <alignment horizontal="center"/>
    </xf>
    <xf numFmtId="37" fontId="149" fillId="0" borderId="0" xfId="21" applyFont="1"/>
    <xf numFmtId="37" fontId="149" fillId="0" borderId="0" xfId="21" applyFont="1" applyAlignment="1">
      <alignment horizontal="center"/>
    </xf>
    <xf numFmtId="37" fontId="147" fillId="0" borderId="0" xfId="21" quotePrefix="1" applyFont="1" applyAlignment="1">
      <alignment horizontal="right"/>
    </xf>
    <xf numFmtId="186" fontId="156" fillId="0" borderId="0" xfId="21" applyNumberFormat="1" applyFont="1"/>
    <xf numFmtId="186" fontId="147" fillId="0" borderId="0" xfId="21" quotePrefix="1" applyNumberFormat="1" applyFont="1"/>
    <xf numFmtId="186" fontId="157" fillId="0" borderId="0" xfId="21" applyNumberFormat="1" applyFont="1"/>
    <xf numFmtId="186" fontId="147" fillId="20" borderId="0" xfId="21" applyNumberFormat="1" applyFont="1" applyFill="1"/>
    <xf numFmtId="37" fontId="149" fillId="0" borderId="0" xfId="21" applyFont="1" applyAlignment="1">
      <alignment vertical="center"/>
    </xf>
    <xf numFmtId="37" fontId="149" fillId="0" borderId="0" xfId="21" applyFont="1" applyAlignment="1">
      <alignment horizontal="center" vertical="center"/>
    </xf>
    <xf numFmtId="185" fontId="147" fillId="0" borderId="0" xfId="21" applyNumberFormat="1" applyFont="1" applyAlignment="1">
      <alignment horizontal="right"/>
    </xf>
    <xf numFmtId="37" fontId="147" fillId="0" borderId="0" xfId="21" quotePrefix="1" applyFont="1" applyAlignment="1">
      <alignment horizontal="left"/>
    </xf>
    <xf numFmtId="37" fontId="151" fillId="0" borderId="0" xfId="21" applyFont="1" applyAlignment="1">
      <alignment horizontal="left" vertical="center"/>
    </xf>
    <xf numFmtId="186" fontId="46" fillId="0" borderId="0" xfId="21" applyNumberFormat="1" applyFont="1" applyAlignment="1">
      <alignment vertical="center"/>
    </xf>
    <xf numFmtId="186" fontId="46" fillId="0" borderId="0" xfId="21" applyNumberFormat="1" applyFont="1" applyAlignment="1">
      <alignment horizontal="center" vertical="center"/>
    </xf>
    <xf numFmtId="186" fontId="153" fillId="0" borderId="0" xfId="21" applyNumberFormat="1" applyFont="1" applyAlignment="1">
      <alignment vertical="center"/>
    </xf>
    <xf numFmtId="187" fontId="46" fillId="0" borderId="0" xfId="21" applyNumberFormat="1" applyFont="1" applyAlignment="1">
      <alignment vertical="center"/>
    </xf>
    <xf numFmtId="37" fontId="46" fillId="0" borderId="0" xfId="21" applyFont="1" applyAlignment="1">
      <alignment horizontal="right" vertical="center"/>
    </xf>
    <xf numFmtId="185" fontId="46" fillId="0" borderId="0" xfId="21" applyNumberFormat="1" applyFont="1" applyAlignment="1">
      <alignment horizontal="center" vertical="center"/>
    </xf>
    <xf numFmtId="187" fontId="153" fillId="0" borderId="0" xfId="21" applyNumberFormat="1" applyFont="1" applyAlignment="1">
      <alignment vertical="center"/>
    </xf>
    <xf numFmtId="186" fontId="46" fillId="20" borderId="0" xfId="21" applyNumberFormat="1" applyFont="1" applyFill="1" applyAlignment="1">
      <alignment vertical="center"/>
    </xf>
    <xf numFmtId="37" fontId="151" fillId="0" borderId="0" xfId="21" applyFont="1" applyAlignment="1">
      <alignment vertical="center"/>
    </xf>
    <xf numFmtId="37" fontId="46" fillId="0" borderId="0" xfId="21" applyFont="1" applyAlignment="1">
      <alignment horizontal="left" vertical="center"/>
    </xf>
    <xf numFmtId="186" fontId="46" fillId="0" borderId="0" xfId="21" applyNumberFormat="1" applyFont="1" applyAlignment="1">
      <alignment horizontal="right" vertical="center"/>
    </xf>
    <xf numFmtId="37" fontId="147" fillId="27" borderId="0" xfId="21" applyFont="1" applyFill="1" applyAlignment="1">
      <alignment horizontal="left"/>
    </xf>
    <xf numFmtId="37" fontId="147" fillId="27" borderId="0" xfId="21" quotePrefix="1" applyFont="1" applyFill="1" applyAlignment="1">
      <alignment horizontal="center"/>
    </xf>
    <xf numFmtId="188" fontId="147" fillId="0" borderId="0" xfId="21" applyNumberFormat="1" applyFont="1"/>
    <xf numFmtId="186" fontId="147" fillId="0" borderId="0" xfId="21" applyNumberFormat="1" applyFont="1" applyAlignment="1">
      <alignment horizontal="left"/>
    </xf>
    <xf numFmtId="37" fontId="147" fillId="27" borderId="0" xfId="21" applyFont="1" applyFill="1"/>
    <xf numFmtId="187" fontId="154" fillId="27" borderId="0" xfId="21" applyNumberFormat="1" applyFont="1" applyFill="1"/>
    <xf numFmtId="186" fontId="147" fillId="27" borderId="0" xfId="21" applyNumberFormat="1" applyFont="1" applyFill="1" applyAlignment="1">
      <alignment horizontal="left"/>
    </xf>
    <xf numFmtId="188" fontId="147" fillId="27" borderId="0" xfId="21" applyNumberFormat="1" applyFont="1" applyFill="1"/>
    <xf numFmtId="37" fontId="148" fillId="27" borderId="0" xfId="21" applyFont="1" applyFill="1" applyAlignment="1">
      <alignment vertical="center"/>
    </xf>
    <xf numFmtId="37" fontId="148" fillId="0" borderId="0" xfId="21" applyFont="1" applyAlignment="1">
      <alignment horizontal="center" vertical="center"/>
    </xf>
    <xf numFmtId="37" fontId="148" fillId="0" borderId="0" xfId="21" applyFont="1" applyAlignment="1">
      <alignment horizontal="left"/>
    </xf>
    <xf numFmtId="187" fontId="147" fillId="0" borderId="78" xfId="21" applyNumberFormat="1" applyFont="1" applyBorder="1"/>
    <xf numFmtId="187" fontId="147" fillId="0" borderId="76" xfId="21" applyNumberFormat="1" applyFont="1" applyBorder="1"/>
    <xf numFmtId="37" fontId="145" fillId="0" borderId="0" xfId="21" quotePrefix="1" applyFont="1" applyAlignment="1">
      <alignment horizontal="left"/>
    </xf>
    <xf numFmtId="10" fontId="147" fillId="0" borderId="0" xfId="21" applyNumberFormat="1" applyFont="1"/>
    <xf numFmtId="187" fontId="158" fillId="0" borderId="0" xfId="21" applyNumberFormat="1" applyFont="1"/>
    <xf numFmtId="185" fontId="147" fillId="0" borderId="0" xfId="21" applyNumberFormat="1" applyFont="1"/>
    <xf numFmtId="37" fontId="148" fillId="0" borderId="0" xfId="21" quotePrefix="1" applyFont="1" applyAlignment="1">
      <alignment vertical="center"/>
    </xf>
    <xf numFmtId="186" fontId="147" fillId="0" borderId="0" xfId="21" applyNumberFormat="1" applyFont="1" applyAlignment="1">
      <alignment horizontal="fill"/>
    </xf>
    <xf numFmtId="37" fontId="155" fillId="0" borderId="0" xfId="21" applyFont="1" applyAlignment="1">
      <alignment horizontal="left" vertical="center"/>
    </xf>
    <xf numFmtId="37" fontId="147" fillId="0" borderId="0" xfId="21" applyFont="1" applyAlignment="1">
      <alignment horizontal="left" vertical="center"/>
    </xf>
    <xf numFmtId="165" fontId="66" fillId="0" borderId="0" xfId="3" applyNumberFormat="1" applyFont="1" applyAlignment="1">
      <alignment vertical="center"/>
    </xf>
    <xf numFmtId="0" fontId="55" fillId="0" borderId="0" xfId="3" applyFont="1"/>
    <xf numFmtId="169" fontId="56" fillId="0" borderId="0" xfId="3" applyNumberFormat="1" applyFont="1"/>
    <xf numFmtId="0" fontId="66" fillId="0" borderId="0" xfId="3" applyFont="1"/>
    <xf numFmtId="0" fontId="55" fillId="0" borderId="0" xfId="3" applyFont="1" applyAlignment="1">
      <alignment horizontal="center"/>
    </xf>
    <xf numFmtId="0" fontId="56" fillId="0" borderId="144" xfId="3" applyFont="1" applyBorder="1"/>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6" xfId="3" applyNumberFormat="1" applyFont="1" applyBorder="1" applyProtection="1">
      <protection locked="0"/>
    </xf>
    <xf numFmtId="5" fontId="58" fillId="0" borderId="0" xfId="3" applyNumberFormat="1" applyFont="1"/>
    <xf numFmtId="5" fontId="56" fillId="0" borderId="0" xfId="3" applyNumberFormat="1" applyFont="1" applyProtection="1">
      <protection locked="0"/>
    </xf>
    <xf numFmtId="5" fontId="66" fillId="0" borderId="0" xfId="3" applyNumberFormat="1" applyFont="1" applyProtection="1">
      <protection locked="0"/>
    </xf>
    <xf numFmtId="0" fontId="66" fillId="0" borderId="0" xfId="3" applyFont="1" applyProtection="1">
      <protection locked="0"/>
    </xf>
    <xf numFmtId="0" fontId="56" fillId="0" borderId="0" xfId="3" applyFont="1" applyAlignment="1">
      <alignment horizontal="left" vertical="top" wrapText="1"/>
    </xf>
    <xf numFmtId="5" fontId="56" fillId="0" borderId="0" xfId="3" applyNumberFormat="1" applyFont="1" applyAlignment="1">
      <alignment horizontal="center"/>
    </xf>
    <xf numFmtId="0" fontId="63" fillId="0" borderId="0" xfId="3" applyFont="1" applyAlignment="1">
      <alignment vertical="top"/>
    </xf>
    <xf numFmtId="0" fontId="63" fillId="0" borderId="78" xfId="3" applyFont="1" applyBorder="1" applyAlignment="1">
      <alignment vertical="top"/>
    </xf>
    <xf numFmtId="0" fontId="58" fillId="0" borderId="78" xfId="3" applyFont="1" applyBorder="1"/>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58" fillId="0" borderId="0" xfId="3" applyFont="1" applyAlignment="1">
      <alignment horizontal="center"/>
    </xf>
    <xf numFmtId="5" fontId="56" fillId="0" borderId="78" xfId="3" applyNumberFormat="1" applyFont="1" applyFill="1" applyBorder="1" applyProtection="1">
      <protection locked="0"/>
    </xf>
    <xf numFmtId="49" fontId="66" fillId="0" borderId="0" xfId="3" applyNumberFormat="1" applyFont="1" applyAlignment="1">
      <alignment horizontal="center" vertical="center"/>
    </xf>
    <xf numFmtId="166" fontId="66" fillId="0" borderId="0" xfId="3" applyNumberFormat="1" applyFont="1" applyAlignment="1">
      <alignment horizontal="center" vertical="center"/>
    </xf>
    <xf numFmtId="0" fontId="66" fillId="0" borderId="0" xfId="3" applyFont="1" applyAlignment="1">
      <alignment horizontal="center" vertical="center"/>
    </xf>
    <xf numFmtId="171" fontId="66" fillId="0" borderId="0" xfId="3" applyNumberFormat="1" applyFont="1" applyAlignment="1">
      <alignment horizontal="center" vertical="center"/>
    </xf>
    <xf numFmtId="0" fontId="69" fillId="0" borderId="0" xfId="3" applyFont="1" applyAlignment="1">
      <alignment horizontal="left"/>
    </xf>
    <xf numFmtId="0" fontId="67" fillId="0" borderId="0" xfId="3" applyFont="1" applyAlignment="1">
      <alignment horizontal="left"/>
    </xf>
    <xf numFmtId="0" fontId="67" fillId="0" borderId="0" xfId="3" applyFont="1"/>
    <xf numFmtId="0" fontId="66" fillId="0" borderId="0" xfId="3" applyFont="1" applyAlignment="1">
      <alignment horizontal="left"/>
    </xf>
    <xf numFmtId="178" fontId="66" fillId="0" borderId="9" xfId="3" applyNumberFormat="1" applyFont="1" applyBorder="1" applyAlignment="1" applyProtection="1">
      <alignment horizontal="center"/>
      <protection locked="0"/>
    </xf>
    <xf numFmtId="0" fontId="80" fillId="0" borderId="0" xfId="3" applyFont="1" applyAlignment="1">
      <alignment horizontal="left"/>
    </xf>
    <xf numFmtId="14" fontId="58" fillId="0" borderId="0" xfId="3" applyNumberFormat="1" applyFont="1" applyAlignment="1" applyProtection="1">
      <alignment horizontal="left" indent="2"/>
      <protection locked="0"/>
    </xf>
    <xf numFmtId="0" fontId="65" fillId="0" borderId="0" xfId="3" applyFont="1" applyAlignment="1">
      <alignment vertical="top"/>
    </xf>
    <xf numFmtId="0" fontId="58" fillId="0" borderId="0" xfId="3" applyFont="1" applyAlignment="1" applyProtection="1">
      <alignment horizontal="left" wrapText="1"/>
      <protection locked="0"/>
    </xf>
    <xf numFmtId="0" fontId="120" fillId="0" borderId="0" xfId="3" applyFont="1" applyAlignment="1">
      <alignment horizontal="left"/>
    </xf>
    <xf numFmtId="0" fontId="63" fillId="0" borderId="0" xfId="3" applyFont="1" applyAlignment="1">
      <alignment horizontal="left"/>
    </xf>
    <xf numFmtId="0" fontId="76" fillId="0" borderId="0" xfId="3" applyFont="1"/>
    <xf numFmtId="0" fontId="120" fillId="0" borderId="0" xfId="3" applyFont="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38" fontId="6" fillId="0" borderId="155" xfId="19" applyNumberForma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quotePrefix="1" applyFont="1" applyBorder="1" applyAlignment="1" applyProtection="1">
      <alignment horizontal="left"/>
    </xf>
    <xf numFmtId="0" fontId="66" fillId="0" borderId="0" xfId="3" applyFont="1" applyBorder="1" applyAlignment="1" applyProtection="1">
      <alignment horizontal="left"/>
    </xf>
    <xf numFmtId="0" fontId="66" fillId="0" borderId="40" xfId="3" applyFont="1" applyBorder="1" applyAlignment="1" applyProtection="1">
      <alignment horizontal="left"/>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37" fontId="145" fillId="0" borderId="0" xfId="21" applyFont="1" applyAlignment="1">
      <alignment horizontal="center"/>
    </xf>
    <xf numFmtId="37" fontId="150" fillId="0" borderId="0" xfId="21" applyFont="1" applyAlignment="1">
      <alignment horizontal="center"/>
    </xf>
    <xf numFmtId="0" fontId="56" fillId="0" borderId="0" xfId="3" applyFont="1" applyAlignment="1" applyProtection="1">
      <alignment horizontal="left" vertical="center" wrapText="1"/>
      <protection locked="0"/>
    </xf>
    <xf numFmtId="0" fontId="66" fillId="0" borderId="0" xfId="3" applyFont="1" applyAlignment="1">
      <alignment horizontal="center"/>
    </xf>
    <xf numFmtId="165" fontId="66" fillId="0" borderId="0" xfId="3" applyNumberFormat="1" applyFont="1" applyAlignment="1">
      <alignment horizontal="center" vertical="center"/>
    </xf>
    <xf numFmtId="0" fontId="55" fillId="0" borderId="0" xfId="3" applyFont="1" applyAlignment="1">
      <alignment horizontal="center" vertical="center" readingOrder="1"/>
    </xf>
    <xf numFmtId="3" fontId="56" fillId="0" borderId="77" xfId="3" applyNumberFormat="1" applyFont="1" applyBorder="1" applyAlignment="1" applyProtection="1">
      <alignment horizontal="right" indent="1"/>
      <protection locked="0"/>
    </xf>
    <xf numFmtId="0" fontId="55" fillId="0" borderId="0" xfId="3" applyFont="1" applyAlignment="1">
      <alignment horizontal="center"/>
    </xf>
    <xf numFmtId="0" fontId="55" fillId="0" borderId="78" xfId="3" applyFont="1" applyBorder="1" applyAlignment="1">
      <alignment horizontal="center"/>
    </xf>
    <xf numFmtId="0" fontId="56" fillId="0" borderId="0" xfId="3" applyFont="1" applyAlignment="1">
      <alignment horizontal="left" vertical="top" wrapText="1"/>
    </xf>
    <xf numFmtId="0" fontId="63" fillId="0" borderId="0" xfId="3" applyFont="1" applyAlignment="1">
      <alignment horizontal="left" vertical="top" wrapText="1"/>
    </xf>
    <xf numFmtId="0" fontId="63" fillId="0" borderId="0" xfId="3" applyFont="1" applyAlignment="1">
      <alignment horizontal="left" vertical="center" wrapText="1"/>
    </xf>
    <xf numFmtId="0" fontId="56" fillId="0" borderId="0" xfId="3" applyFont="1" applyAlignment="1" applyProtection="1">
      <alignment vertical="center" wrapText="1"/>
      <protection locked="0"/>
    </xf>
    <xf numFmtId="5" fontId="66" fillId="0" borderId="147" xfId="3" applyNumberFormat="1" applyFont="1" applyBorder="1" applyProtection="1">
      <protection locked="0"/>
    </xf>
    <xf numFmtId="0" fontId="66" fillId="0" borderId="148" xfId="3" applyFont="1" applyBorder="1" applyProtection="1">
      <protection locked="0"/>
    </xf>
    <xf numFmtId="0" fontId="56" fillId="0" borderId="0" xfId="3" applyFont="1" applyAlignment="1">
      <alignment horizontal="left" vertical="center" wrapText="1"/>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171" fontId="55" fillId="0" borderId="0" xfId="3" applyNumberFormat="1" applyFont="1" applyAlignment="1">
      <alignment horizontal="center" vertical="center" wrapText="1"/>
    </xf>
    <xf numFmtId="0" fontId="58" fillId="0" borderId="0" xfId="3" applyFont="1" applyAlignment="1" applyProtection="1">
      <alignment horizontal="center" vertical="top" wrapText="1"/>
      <protection locked="0"/>
    </xf>
  </cellXfs>
  <cellStyles count="26">
    <cellStyle name="Comma" xfId="1" builtinId="3"/>
    <cellStyle name="Comma 2" xfId="23" xr:uid="{00000000-0005-0000-0000-000001000000}"/>
    <cellStyle name="Hyperlink" xfId="2" builtinId="8"/>
    <cellStyle name="Hyperlink 2" xfId="15" xr:uid="{00000000-0005-0000-0000-000003000000}"/>
    <cellStyle name="Normal" xfId="0" builtinId="0"/>
    <cellStyle name="Normal 2" xfId="3" xr:uid="{00000000-0005-0000-0000-000005000000}"/>
    <cellStyle name="Normal 2 2" xfId="22"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5 2" xfId="19" xr:uid="{00000000-0005-0000-0000-00000C000000}"/>
    <cellStyle name="Normal 6" xfId="20" xr:uid="{00000000-0005-0000-0000-00000D000000}"/>
    <cellStyle name="Normal 7" xfId="21"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SEFA 06" xfId="24" xr:uid="{00000000-0005-0000-0000-000017000000}"/>
    <cellStyle name="Normal_THRESHOLD CALCULATOR v3" xfId="13" xr:uid="{00000000-0005-0000-0000-000018000000}"/>
    <cellStyle name="Percent 2" xfId="25"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1</xdr:row>
          <xdr:rowOff>47625</xdr:rowOff>
        </xdr:from>
        <xdr:to>
          <xdr:col>1</xdr:col>
          <xdr:colOff>2143125</xdr:colOff>
          <xdr:row>5</xdr:row>
          <xdr:rowOff>47625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2329294</xdr:colOff>
          <xdr:row>1</xdr:row>
          <xdr:rowOff>98806</xdr:rowOff>
        </xdr:from>
        <xdr:to>
          <xdr:col>1</xdr:col>
          <xdr:colOff>3411681</xdr:colOff>
          <xdr:row>7</xdr:row>
          <xdr:rowOff>37234</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22539FDE-8F04-41E2-B902-EC8E9825AB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28</xdr:row>
      <xdr:rowOff>0</xdr:rowOff>
    </xdr:from>
    <xdr:to>
      <xdr:col>4</xdr:col>
      <xdr:colOff>85725</xdr:colOff>
      <xdr:row>29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172450"/>
          <a:ext cx="85725" cy="200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28</xdr:row>
      <xdr:rowOff>0</xdr:rowOff>
    </xdr:from>
    <xdr:to>
      <xdr:col>3</xdr:col>
      <xdr:colOff>0</xdr:colOff>
      <xdr:row>28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17245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Prior%20Year%20Files\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40">
        <f>+'AFR20'!E4</f>
        <v>44119</v>
      </c>
      <c r="C1" s="2240"/>
      <c r="D1" s="2241"/>
      <c r="I1" s="2199" t="s">
        <v>402</v>
      </c>
      <c r="J1" s="2200"/>
      <c r="K1" s="2200"/>
      <c r="L1" s="2200"/>
      <c r="M1" s="2200"/>
      <c r="N1" s="2200"/>
      <c r="O1" s="2200"/>
      <c r="P1" s="2200"/>
      <c r="Q1" s="2200"/>
      <c r="R1" s="2200"/>
      <c r="S1" s="2200"/>
    </row>
    <row r="2" spans="1:32" ht="12" customHeight="1" x14ac:dyDescent="0.2">
      <c r="A2" s="1831" t="str">
        <f>"Due to ISBE on "</f>
        <v xml:space="preserve">Due to ISBE on </v>
      </c>
      <c r="B2" s="2242">
        <f>+'AFR20'!F4</f>
        <v>44151</v>
      </c>
      <c r="C2" s="2242"/>
      <c r="D2" s="2243"/>
      <c r="I2" s="2201" t="s">
        <v>2003</v>
      </c>
      <c r="J2" s="2200"/>
      <c r="K2" s="2200"/>
      <c r="L2" s="2200"/>
      <c r="M2" s="2200"/>
      <c r="N2" s="2200"/>
      <c r="O2" s="2200"/>
      <c r="P2" s="2200"/>
      <c r="Q2" s="2200"/>
      <c r="R2" s="2200"/>
      <c r="S2" s="2200"/>
    </row>
    <row r="3" spans="1:32" ht="12" customHeight="1" x14ac:dyDescent="0.2">
      <c r="A3" s="1834" t="str">
        <f>"SD/JA"&amp;MID('AFR20'!E2,3,2)</f>
        <v>SD/JA20</v>
      </c>
      <c r="B3" s="151"/>
      <c r="C3" s="151"/>
      <c r="D3" s="152"/>
      <c r="I3" s="2201" t="s">
        <v>52</v>
      </c>
      <c r="J3" s="2200"/>
      <c r="K3" s="2200"/>
      <c r="L3" s="2200"/>
      <c r="M3" s="2200"/>
      <c r="N3" s="2200"/>
      <c r="O3" s="2200"/>
      <c r="P3" s="2200"/>
      <c r="Q3" s="2200"/>
      <c r="R3" s="2200"/>
      <c r="S3" s="2200"/>
    </row>
    <row r="4" spans="1:32" ht="12" customHeight="1" x14ac:dyDescent="0.2">
      <c r="A4" s="37"/>
      <c r="I4" s="2201" t="s">
        <v>521</v>
      </c>
      <c r="J4" s="2200"/>
      <c r="K4" s="2200"/>
      <c r="L4" s="2200"/>
      <c r="M4" s="2200"/>
      <c r="N4" s="2200"/>
      <c r="O4" s="2200"/>
      <c r="P4" s="2200"/>
      <c r="Q4" s="2200"/>
      <c r="R4" s="2200"/>
      <c r="S4" s="2200"/>
    </row>
    <row r="5" spans="1:32" ht="14.1" customHeight="1" x14ac:dyDescent="0.2">
      <c r="B5" s="101" t="s">
        <v>2051</v>
      </c>
      <c r="C5" s="26" t="s">
        <v>904</v>
      </c>
      <c r="D5" s="81"/>
      <c r="E5" s="81"/>
      <c r="H5" s="38"/>
      <c r="I5" s="2209" t="s">
        <v>675</v>
      </c>
      <c r="J5" s="2208"/>
      <c r="K5" s="2208"/>
      <c r="L5" s="2208"/>
      <c r="M5" s="2208"/>
      <c r="N5" s="2208"/>
      <c r="O5" s="2208"/>
      <c r="P5" s="2208"/>
      <c r="Q5" s="2208"/>
      <c r="R5" s="2208"/>
      <c r="S5" s="2208"/>
      <c r="AF5" s="1827"/>
    </row>
    <row r="6" spans="1:32" ht="14.1" customHeight="1" x14ac:dyDescent="0.2">
      <c r="B6" s="101"/>
      <c r="C6" s="26" t="s">
        <v>905</v>
      </c>
      <c r="D6" s="81"/>
      <c r="E6" s="81"/>
      <c r="I6" s="2207" t="s">
        <v>877</v>
      </c>
      <c r="J6" s="2208"/>
      <c r="K6" s="2208"/>
      <c r="L6" s="2208"/>
      <c r="M6" s="2208"/>
      <c r="N6" s="2208"/>
      <c r="O6" s="2208"/>
      <c r="P6" s="2208"/>
      <c r="Q6" s="2208"/>
      <c r="R6" s="2208"/>
      <c r="S6" s="2208"/>
    </row>
    <row r="7" spans="1:32" ht="12.2" customHeight="1" x14ac:dyDescent="0.2">
      <c r="I7" s="2202" t="str">
        <f>"June 30, "&amp;'AFR20'!E2</f>
        <v>June 30, 2020</v>
      </c>
      <c r="J7" s="2203"/>
      <c r="K7" s="2203"/>
      <c r="L7" s="2203"/>
      <c r="M7" s="2203"/>
      <c r="N7" s="2203"/>
      <c r="O7" s="2203"/>
      <c r="P7" s="2203"/>
      <c r="Q7" s="2203"/>
      <c r="R7" s="2203"/>
      <c r="S7" s="22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04" t="s">
        <v>669</v>
      </c>
      <c r="J9" s="2205"/>
      <c r="K9" s="2205"/>
      <c r="L9" s="2205"/>
      <c r="M9" s="2205"/>
      <c r="N9" s="2205"/>
      <c r="O9" s="2205"/>
      <c r="P9" s="2205"/>
      <c r="Q9" s="2205"/>
      <c r="R9" s="2205"/>
      <c r="S9" s="2206"/>
      <c r="T9" s="2257" t="s">
        <v>530</v>
      </c>
      <c r="U9" s="2258"/>
      <c r="V9" s="2258"/>
      <c r="W9" s="2258"/>
      <c r="X9" s="2258"/>
      <c r="Y9" s="2258"/>
      <c r="Z9" s="2258"/>
      <c r="AA9" s="2259"/>
    </row>
    <row r="10" spans="1:32" ht="13.5" customHeight="1" x14ac:dyDescent="0.2">
      <c r="A10" s="2264" t="s">
        <v>670</v>
      </c>
      <c r="B10" s="2265"/>
      <c r="C10" s="2265"/>
      <c r="D10" s="2265"/>
      <c r="E10" s="2265"/>
      <c r="F10" s="2265"/>
      <c r="G10" s="2265"/>
      <c r="H10" s="2266"/>
      <c r="I10" s="29"/>
      <c r="J10" s="30"/>
      <c r="K10" s="28"/>
      <c r="R10" s="30"/>
      <c r="S10" s="30"/>
      <c r="T10" s="2260"/>
      <c r="U10" s="2208"/>
      <c r="V10" s="2208"/>
      <c r="W10" s="2208"/>
      <c r="X10" s="2208"/>
      <c r="Y10" s="2208"/>
      <c r="Z10" s="2208"/>
      <c r="AA10" s="2214"/>
    </row>
    <row r="11" spans="1:32" ht="14.25" customHeight="1" x14ac:dyDescent="0.2">
      <c r="A11" s="2267" t="s">
        <v>949</v>
      </c>
      <c r="B11" s="2268"/>
      <c r="C11" s="2268"/>
      <c r="D11" s="2268"/>
      <c r="E11" s="2268"/>
      <c r="F11" s="2268"/>
      <c r="G11" s="2268"/>
      <c r="H11" s="2269"/>
      <c r="I11" s="27"/>
      <c r="J11" s="71"/>
      <c r="K11" s="27"/>
      <c r="O11" s="144" t="s">
        <v>2051</v>
      </c>
      <c r="P11" s="97" t="s">
        <v>199</v>
      </c>
      <c r="Q11" s="30"/>
      <c r="R11" s="28"/>
      <c r="S11" s="27"/>
      <c r="T11" s="2261"/>
      <c r="U11" s="2262"/>
      <c r="V11" s="2262"/>
      <c r="W11" s="2262"/>
      <c r="X11" s="2262"/>
      <c r="Y11" s="2262"/>
      <c r="Z11" s="2262"/>
      <c r="AA11" s="226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20">
        <v>28037228026</v>
      </c>
      <c r="B13" s="2221"/>
      <c r="C13" s="2221"/>
      <c r="D13" s="2221"/>
      <c r="E13" s="2221"/>
      <c r="F13" s="2221"/>
      <c r="G13" s="2221"/>
      <c r="H13" s="2222"/>
      <c r="I13" s="31"/>
      <c r="J13" s="30"/>
      <c r="K13" s="28"/>
      <c r="L13" s="30"/>
      <c r="M13" s="30"/>
      <c r="N13" s="30"/>
      <c r="O13" s="30"/>
      <c r="P13" s="30"/>
      <c r="Q13" s="30"/>
      <c r="R13" s="30"/>
      <c r="S13" s="30"/>
      <c r="T13" s="2226" t="s">
        <v>2052</v>
      </c>
      <c r="U13" s="2227"/>
      <c r="V13" s="2227"/>
      <c r="W13" s="2227"/>
      <c r="X13" s="2227"/>
      <c r="Y13" s="2228"/>
      <c r="Z13" s="2228"/>
      <c r="AA13" s="222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23"/>
      <c r="B15" s="2224"/>
      <c r="C15" s="2224"/>
      <c r="D15" s="2224"/>
      <c r="E15" s="2224"/>
      <c r="F15" s="2224"/>
      <c r="G15" s="2224"/>
      <c r="H15" s="2225"/>
      <c r="T15" s="2230" t="s">
        <v>2063</v>
      </c>
      <c r="U15" s="2187"/>
      <c r="V15" s="2187"/>
      <c r="W15" s="2187"/>
      <c r="X15" s="2187"/>
      <c r="Y15" s="2231"/>
      <c r="Z15" s="2231"/>
      <c r="AA15" s="223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93" t="s">
        <v>2275</v>
      </c>
      <c r="B17" s="2194"/>
      <c r="C17" s="2194"/>
      <c r="D17" s="2194"/>
      <c r="E17" s="2194"/>
      <c r="F17" s="2194"/>
      <c r="G17" s="2194"/>
      <c r="H17" s="2219"/>
      <c r="T17" s="2237" t="s">
        <v>2053</v>
      </c>
      <c r="U17" s="2238"/>
      <c r="V17" s="2238"/>
      <c r="W17" s="2238"/>
      <c r="X17" s="2238"/>
      <c r="Y17" s="2238"/>
      <c r="Z17" s="2238"/>
      <c r="AA17" s="2239"/>
    </row>
    <row r="18" spans="1:27" ht="13.5" customHeight="1" x14ac:dyDescent="0.2">
      <c r="A18" s="82" t="s">
        <v>527</v>
      </c>
      <c r="B18" s="73"/>
      <c r="C18" s="69"/>
      <c r="D18" s="73"/>
      <c r="E18" s="73"/>
      <c r="F18" s="73"/>
      <c r="G18" s="73"/>
      <c r="H18" s="53"/>
      <c r="I18" s="2218" t="s">
        <v>671</v>
      </c>
      <c r="J18" s="2169"/>
      <c r="K18" s="2169"/>
      <c r="L18" s="2169"/>
      <c r="M18" s="2169"/>
      <c r="N18" s="2169"/>
      <c r="O18" s="2169"/>
      <c r="P18" s="2169"/>
      <c r="Q18" s="2169"/>
      <c r="R18" s="2169"/>
      <c r="S18" s="2170"/>
      <c r="T18" s="82" t="s">
        <v>706</v>
      </c>
      <c r="U18" s="48"/>
      <c r="V18" s="69"/>
      <c r="W18" s="47"/>
      <c r="X18" s="82" t="s">
        <v>264</v>
      </c>
      <c r="Y18" s="78"/>
      <c r="Z18" s="154" t="s">
        <v>672</v>
      </c>
      <c r="AA18" s="44"/>
    </row>
    <row r="19" spans="1:27" ht="13.5" customHeight="1" x14ac:dyDescent="0.2">
      <c r="A19" s="2223" t="s">
        <v>2061</v>
      </c>
      <c r="B19" s="2179"/>
      <c r="C19" s="2179"/>
      <c r="D19" s="2179"/>
      <c r="E19" s="2179"/>
      <c r="F19" s="2179"/>
      <c r="G19" s="2179"/>
      <c r="H19" s="2159"/>
      <c r="I19" s="30"/>
      <c r="J19" s="96"/>
      <c r="K19" s="40"/>
      <c r="L19" s="38"/>
      <c r="M19" s="109" t="s">
        <v>312</v>
      </c>
      <c r="P19" s="27"/>
      <c r="Q19" s="27"/>
      <c r="R19" s="27"/>
      <c r="S19" s="31"/>
      <c r="T19" s="2223" t="s">
        <v>2054</v>
      </c>
      <c r="U19" s="2158"/>
      <c r="V19" s="2158"/>
      <c r="W19" s="2159"/>
      <c r="X19" s="2235" t="s">
        <v>2055</v>
      </c>
      <c r="Y19" s="2236"/>
      <c r="Z19" s="2233">
        <v>61614</v>
      </c>
      <c r="AA19" s="223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7" t="s">
        <v>2062</v>
      </c>
      <c r="B21" s="2158"/>
      <c r="C21" s="2158"/>
      <c r="D21" s="2158"/>
      <c r="E21" s="2158"/>
      <c r="F21" s="2158"/>
      <c r="G21" s="2158"/>
      <c r="H21" s="2159"/>
      <c r="I21" s="2213" t="s">
        <v>673</v>
      </c>
      <c r="J21" s="2208"/>
      <c r="K21" s="2208"/>
      <c r="L21" s="2208"/>
      <c r="M21" s="2208"/>
      <c r="N21" s="2208"/>
      <c r="O21" s="2208"/>
      <c r="P21" s="2208"/>
      <c r="Q21" s="2208"/>
      <c r="R21" s="2208"/>
      <c r="S21" s="2214"/>
      <c r="T21" s="2248" t="s">
        <v>2056</v>
      </c>
      <c r="U21" s="2249"/>
      <c r="V21" s="2249"/>
      <c r="W21" s="2249"/>
      <c r="X21" s="2254" t="s">
        <v>2057</v>
      </c>
      <c r="Y21" s="2255"/>
      <c r="Z21" s="2255"/>
      <c r="AA21" s="2256"/>
    </row>
    <row r="22" spans="1:27" ht="13.5" customHeight="1" x14ac:dyDescent="0.2">
      <c r="A22" s="84" t="s">
        <v>528</v>
      </c>
      <c r="B22" s="56"/>
      <c r="C22" s="56"/>
      <c r="D22" s="56"/>
      <c r="E22" s="56"/>
      <c r="F22" s="56"/>
      <c r="G22" s="56"/>
      <c r="H22" s="57"/>
      <c r="I22" s="2215" t="s">
        <v>1412</v>
      </c>
      <c r="J22" s="2216"/>
      <c r="K22" s="2216"/>
      <c r="L22" s="2216"/>
      <c r="M22" s="2216"/>
      <c r="N22" s="2216"/>
      <c r="O22" s="2216"/>
      <c r="P22" s="2216"/>
      <c r="Q22" s="2216"/>
      <c r="R22" s="2216"/>
      <c r="S22" s="2217"/>
      <c r="T22" s="82" t="s">
        <v>1499</v>
      </c>
      <c r="U22" s="48"/>
      <c r="V22" s="69"/>
      <c r="W22" s="48"/>
      <c r="X22" s="155" t="s">
        <v>1307</v>
      </c>
      <c r="Z22" s="43"/>
      <c r="AA22" s="44"/>
    </row>
    <row r="23" spans="1:27" ht="13.5" customHeight="1" x14ac:dyDescent="0.2">
      <c r="A23" s="2210" t="s">
        <v>2218</v>
      </c>
      <c r="B23" s="2211"/>
      <c r="C23" s="2211"/>
      <c r="D23" s="2211"/>
      <c r="E23" s="2211"/>
      <c r="F23" s="2211"/>
      <c r="G23" s="2211"/>
      <c r="H23" s="2212"/>
      <c r="T23" s="2193" t="s">
        <v>2058</v>
      </c>
      <c r="U23" s="2247"/>
      <c r="V23" s="2247"/>
      <c r="W23" s="2247"/>
      <c r="X23" s="2251">
        <v>44501</v>
      </c>
      <c r="Y23" s="2252"/>
      <c r="Z23" s="2252"/>
      <c r="AA23" s="2253"/>
    </row>
    <row r="24" spans="1:27" ht="14.1" customHeight="1" x14ac:dyDescent="0.2">
      <c r="A24" s="85" t="s">
        <v>672</v>
      </c>
      <c r="B24" s="46"/>
      <c r="C24" s="46"/>
      <c r="D24" s="46"/>
      <c r="E24" s="46"/>
      <c r="F24" s="46"/>
      <c r="G24" s="46"/>
      <c r="H24" s="58"/>
      <c r="J24" s="2180">
        <f>IF(B5="x",IF(AUDITCHECK!D29="AFR form Incomplete.","",IF(AUDITCHECK!D29="Deficit reduction plan is required.","School District must complete a deficit reduction plan in the 2020-2021 Budget",)),"")</f>
        <v>0</v>
      </c>
      <c r="K24" s="2180"/>
      <c r="L24" s="2180"/>
      <c r="M24" s="2180"/>
      <c r="N24" s="2180"/>
      <c r="O24" s="2180"/>
      <c r="P24" s="2180"/>
      <c r="Q24" s="2180"/>
      <c r="R24" s="2180"/>
      <c r="S24" s="2181"/>
      <c r="T24" s="102" t="s">
        <v>528</v>
      </c>
      <c r="U24" s="103"/>
      <c r="V24" s="103"/>
      <c r="W24" s="103"/>
      <c r="X24" s="104"/>
      <c r="Y24" s="104"/>
      <c r="Z24" s="104"/>
      <c r="AA24" s="105"/>
    </row>
    <row r="25" spans="1:27" ht="14.1" customHeight="1" x14ac:dyDescent="0.2">
      <c r="A25" s="2157">
        <v>61254</v>
      </c>
      <c r="B25" s="2158"/>
      <c r="C25" s="2158"/>
      <c r="D25" s="2158"/>
      <c r="E25" s="2158"/>
      <c r="F25" s="2158"/>
      <c r="G25" s="2158"/>
      <c r="H25" s="2159"/>
      <c r="I25" s="110"/>
      <c r="J25" s="2182"/>
      <c r="K25" s="2182"/>
      <c r="L25" s="2182"/>
      <c r="M25" s="2182"/>
      <c r="N25" s="2182"/>
      <c r="O25" s="2182"/>
      <c r="P25" s="2182"/>
      <c r="Q25" s="2182"/>
      <c r="R25" s="2182"/>
      <c r="S25" s="2183"/>
      <c r="T25" s="2244" t="s">
        <v>2064</v>
      </c>
      <c r="U25" s="2245"/>
      <c r="V25" s="2245"/>
      <c r="W25" s="2245"/>
      <c r="X25" s="2245"/>
      <c r="Y25" s="2245"/>
      <c r="Z25" s="2245"/>
      <c r="AA25" s="22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8" t="s">
        <v>1494</v>
      </c>
      <c r="J27" s="2169"/>
      <c r="K27" s="2169"/>
      <c r="L27" s="2169"/>
      <c r="M27" s="2169"/>
      <c r="N27" s="2169"/>
      <c r="O27" s="2169"/>
      <c r="P27" s="2169"/>
      <c r="Q27" s="2169"/>
      <c r="R27" s="2169"/>
      <c r="S27" s="217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144" t="s">
        <v>2051</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144" t="s">
        <v>2051</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79"/>
      <c r="Q35" s="2158"/>
      <c r="R35" s="21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93" t="s">
        <v>2065</v>
      </c>
      <c r="B38" s="2194"/>
      <c r="C38" s="2194"/>
      <c r="D38" s="2194"/>
      <c r="E38" s="2194"/>
      <c r="F38" s="2158"/>
      <c r="G38" s="2158"/>
      <c r="H38" s="2159"/>
      <c r="I38" s="2186"/>
      <c r="J38" s="2187"/>
      <c r="K38" s="2187"/>
      <c r="L38" s="2187"/>
      <c r="M38" s="2187"/>
      <c r="N38" s="2187"/>
      <c r="O38" s="2187"/>
      <c r="P38" s="2188"/>
      <c r="Q38" s="2188"/>
      <c r="R38" s="2188"/>
      <c r="S38" s="2189"/>
      <c r="T38" s="2230"/>
      <c r="U38" s="2187"/>
      <c r="V38" s="2187"/>
      <c r="W38" s="2187"/>
      <c r="X38" s="2188"/>
      <c r="Y38" s="2188"/>
      <c r="Z38" s="2188"/>
      <c r="AA38" s="2189"/>
    </row>
    <row r="39" spans="1:27" ht="12" customHeight="1" x14ac:dyDescent="0.2">
      <c r="A39" s="2163" t="s">
        <v>528</v>
      </c>
      <c r="B39" s="2164"/>
      <c r="C39" s="69"/>
      <c r="D39" s="66"/>
      <c r="E39" s="66"/>
      <c r="F39" s="76"/>
      <c r="G39" s="66"/>
      <c r="H39" s="53"/>
      <c r="I39" s="2163" t="s">
        <v>528</v>
      </c>
      <c r="J39" s="2164"/>
      <c r="K39" s="2164"/>
      <c r="L39" s="2164"/>
      <c r="M39" s="2164"/>
      <c r="N39" s="64"/>
      <c r="O39" s="69"/>
      <c r="P39" s="69"/>
      <c r="Q39" s="75"/>
      <c r="R39" s="69"/>
      <c r="S39" s="53"/>
      <c r="T39" s="69" t="s">
        <v>528</v>
      </c>
      <c r="U39" s="48"/>
      <c r="V39" s="69"/>
      <c r="W39" s="47"/>
      <c r="X39" s="75"/>
      <c r="Y39" s="43"/>
      <c r="Z39" s="43"/>
      <c r="AA39" s="44"/>
    </row>
    <row r="40" spans="1:27" ht="13.5" customHeight="1" x14ac:dyDescent="0.2">
      <c r="A40" s="2171" t="s">
        <v>2219</v>
      </c>
      <c r="B40" s="2172"/>
      <c r="C40" s="2173"/>
      <c r="D40" s="2173"/>
      <c r="E40" s="2173"/>
      <c r="F40" s="2174"/>
      <c r="G40" s="2174"/>
      <c r="H40" s="2175"/>
      <c r="I40" s="2196"/>
      <c r="J40" s="2197"/>
      <c r="K40" s="2197"/>
      <c r="L40" s="2197"/>
      <c r="M40" s="2197"/>
      <c r="N40" s="2197"/>
      <c r="O40" s="2197"/>
      <c r="P40" s="2197"/>
      <c r="Q40" s="2197"/>
      <c r="R40" s="2197"/>
      <c r="S40" s="2198"/>
      <c r="T40" s="2196"/>
      <c r="U40" s="2250"/>
      <c r="V40" s="2197"/>
      <c r="W40" s="2197"/>
      <c r="X40" s="2197"/>
      <c r="Y40" s="2197"/>
      <c r="Z40" s="2197"/>
      <c r="AA40" s="219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85" t="s">
        <v>2220</v>
      </c>
      <c r="B42" s="2177"/>
      <c r="C42" s="2178"/>
      <c r="D42" s="2176" t="s">
        <v>2221</v>
      </c>
      <c r="E42" s="2177"/>
      <c r="F42" s="2177"/>
      <c r="G42" s="2177"/>
      <c r="H42" s="2178"/>
      <c r="I42" s="2160"/>
      <c r="J42" s="2161"/>
      <c r="K42" s="2161"/>
      <c r="L42" s="2161"/>
      <c r="M42" s="2161"/>
      <c r="N42" s="2161"/>
      <c r="O42" s="2162"/>
      <c r="P42" s="2195"/>
      <c r="Q42" s="2161"/>
      <c r="R42" s="2161"/>
      <c r="S42" s="2162"/>
      <c r="T42" s="2160"/>
      <c r="U42" s="2161"/>
      <c r="V42" s="2161"/>
      <c r="W42" s="2162"/>
      <c r="X42" s="2195"/>
      <c r="Y42" s="2161"/>
      <c r="Z42" s="2161"/>
      <c r="AA42" s="216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90"/>
      <c r="B44" s="2191"/>
      <c r="C44" s="2191"/>
      <c r="D44" s="2191"/>
      <c r="E44" s="2191"/>
      <c r="F44" s="2191"/>
      <c r="G44" s="2191"/>
      <c r="H44" s="2192"/>
      <c r="I44" s="2165"/>
      <c r="J44" s="2166"/>
      <c r="K44" s="2166"/>
      <c r="L44" s="2166"/>
      <c r="M44" s="2166"/>
      <c r="N44" s="2166"/>
      <c r="O44" s="2166"/>
      <c r="P44" s="2166"/>
      <c r="Q44" s="2166"/>
      <c r="R44" s="2166"/>
      <c r="S44" s="2167"/>
      <c r="T44" s="2165"/>
      <c r="U44" s="2184"/>
      <c r="V44" s="2184"/>
      <c r="W44" s="2184"/>
      <c r="X44" s="2184"/>
      <c r="Y44" s="2184"/>
      <c r="Z44" s="2166"/>
      <c r="AA44" s="216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40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409"/>
      <c r="B3" s="1294"/>
      <c r="C3" s="1295"/>
      <c r="D3" s="1296" t="s">
        <v>254</v>
      </c>
      <c r="E3" s="1295"/>
      <c r="F3" s="1296" t="s">
        <v>255</v>
      </c>
    </row>
    <row r="4" spans="1:8" ht="13.7" customHeight="1" x14ac:dyDescent="0.2">
      <c r="A4" s="579" t="s">
        <v>1145</v>
      </c>
      <c r="B4" s="1721">
        <f>'Revenues 9-14'!C5</f>
        <v>9081202</v>
      </c>
      <c r="C4" s="1722">
        <v>5278707</v>
      </c>
      <c r="D4" s="1723">
        <f>B4-C4</f>
        <v>3802495</v>
      </c>
      <c r="E4" s="1722">
        <v>9181490</v>
      </c>
      <c r="F4" s="1723">
        <f>E4-C4</f>
        <v>3902783</v>
      </c>
    </row>
    <row r="5" spans="1:8" ht="13.7" customHeight="1" x14ac:dyDescent="0.2">
      <c r="A5" s="579" t="s">
        <v>865</v>
      </c>
      <c r="B5" s="1724">
        <f>'Revenues 9-14'!D5</f>
        <v>1932171</v>
      </c>
      <c r="C5" s="1664">
        <v>1123129</v>
      </c>
      <c r="D5" s="1725">
        <f t="shared" ref="D5:D18" si="0">B5-C5</f>
        <v>809042</v>
      </c>
      <c r="E5" s="1664">
        <v>1953509</v>
      </c>
      <c r="F5" s="1725">
        <f>E5-C5</f>
        <v>830380</v>
      </c>
    </row>
    <row r="6" spans="1:8" ht="13.7" customHeight="1" x14ac:dyDescent="0.2">
      <c r="A6" s="579" t="s">
        <v>408</v>
      </c>
      <c r="B6" s="1724">
        <f>'Revenues 9-14'!E5</f>
        <v>2858528</v>
      </c>
      <c r="C6" s="1664">
        <v>1632131</v>
      </c>
      <c r="D6" s="1725">
        <f t="shared" si="0"/>
        <v>1226397</v>
      </c>
      <c r="E6" s="1664">
        <v>2838839</v>
      </c>
      <c r="F6" s="1725">
        <f t="shared" ref="F6:F18" si="1">E6-C6</f>
        <v>1206708</v>
      </c>
    </row>
    <row r="7" spans="1:8" ht="13.7" customHeight="1" x14ac:dyDescent="0.2">
      <c r="A7" s="579" t="s">
        <v>154</v>
      </c>
      <c r="B7" s="1724">
        <f>'Revenues 9-14'!F5</f>
        <v>772869</v>
      </c>
      <c r="C7" s="1664">
        <v>449252</v>
      </c>
      <c r="D7" s="1725">
        <f t="shared" si="0"/>
        <v>323617</v>
      </c>
      <c r="E7" s="1664">
        <v>781403</v>
      </c>
      <c r="F7" s="1725">
        <f t="shared" si="1"/>
        <v>332151</v>
      </c>
    </row>
    <row r="8" spans="1:8" ht="13.7" customHeight="1" x14ac:dyDescent="0.2">
      <c r="A8" s="579" t="s">
        <v>1169</v>
      </c>
      <c r="B8" s="1724">
        <f>'Revenues 9-14'!G5</f>
        <v>291951</v>
      </c>
      <c r="C8" s="1664">
        <v>172513</v>
      </c>
      <c r="D8" s="1725">
        <f t="shared" si="0"/>
        <v>119438</v>
      </c>
      <c r="E8" s="1664">
        <v>300059</v>
      </c>
      <c r="F8" s="1725">
        <f t="shared" si="1"/>
        <v>127546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193217</v>
      </c>
      <c r="C10" s="1664">
        <v>112313</v>
      </c>
      <c r="D10" s="1725">
        <f t="shared" si="0"/>
        <v>80904</v>
      </c>
      <c r="E10" s="1664">
        <v>195351</v>
      </c>
      <c r="F10" s="1725">
        <f t="shared" si="1"/>
        <v>83038</v>
      </c>
    </row>
    <row r="11" spans="1:8" x14ac:dyDescent="0.2">
      <c r="A11" s="579" t="s">
        <v>406</v>
      </c>
      <c r="B11" s="1724">
        <f>'Revenues 9-14'!J5</f>
        <v>924360</v>
      </c>
      <c r="C11" s="1664">
        <v>546290</v>
      </c>
      <c r="D11" s="1725">
        <f t="shared" si="0"/>
        <v>378070</v>
      </c>
      <c r="E11" s="1664">
        <v>950187</v>
      </c>
      <c r="F11" s="1725">
        <f t="shared" si="1"/>
        <v>403897</v>
      </c>
    </row>
    <row r="12" spans="1:8" ht="13.7" customHeight="1" x14ac:dyDescent="0.2">
      <c r="A12" s="579" t="s">
        <v>156</v>
      </c>
      <c r="B12" s="1724">
        <f>'Revenues 9-14'!K5</f>
        <v>23136</v>
      </c>
      <c r="C12" s="1664">
        <v>23136</v>
      </c>
      <c r="D12" s="1725">
        <f t="shared" si="0"/>
        <v>0</v>
      </c>
      <c r="E12" s="1664">
        <v>40242</v>
      </c>
      <c r="F12" s="1725">
        <f t="shared" si="1"/>
        <v>17106</v>
      </c>
    </row>
    <row r="13" spans="1:8" ht="13.7" customHeight="1" x14ac:dyDescent="0.2">
      <c r="A13" s="579" t="s">
        <v>930</v>
      </c>
      <c r="B13" s="1724">
        <f>SUM('Revenues 9-14'!C6:D6)</f>
        <v>16437</v>
      </c>
      <c r="C13" s="1664">
        <v>11681</v>
      </c>
      <c r="D13" s="1725">
        <f t="shared" si="0"/>
        <v>4756</v>
      </c>
      <c r="E13" s="1664">
        <v>20316</v>
      </c>
      <c r="F13" s="1725">
        <f t="shared" si="1"/>
        <v>8635</v>
      </c>
    </row>
    <row r="14" spans="1:8" ht="13.7" customHeight="1" x14ac:dyDescent="0.2">
      <c r="A14" s="579" t="s">
        <v>407</v>
      </c>
      <c r="B14" s="1724">
        <f>SUM('Revenues 9-14'!C7:D7,'Revenues 9-14'!F7:H7)</f>
        <v>154573</v>
      </c>
      <c r="C14" s="1664">
        <v>89850</v>
      </c>
      <c r="D14" s="1725">
        <f t="shared" si="0"/>
        <v>64723</v>
      </c>
      <c r="E14" s="1664">
        <v>156281</v>
      </c>
      <c r="F14" s="1725">
        <f t="shared" si="1"/>
        <v>66431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291951</v>
      </c>
      <c r="C16" s="1664">
        <v>172513</v>
      </c>
      <c r="D16" s="1725">
        <f t="shared" si="0"/>
        <v>119438</v>
      </c>
      <c r="E16" s="1664">
        <v>300059</v>
      </c>
      <c r="F16" s="1725">
        <f t="shared" si="1"/>
        <v>127546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16540395</v>
      </c>
      <c r="C19" s="1726">
        <f>SUM(C4:C18)</f>
        <v>9611515</v>
      </c>
      <c r="D19" s="1726">
        <f>SUM(D4:D18)</f>
        <v>6928880</v>
      </c>
      <c r="E19" s="1726">
        <f>SUM(E4:E18)</f>
        <v>16717736</v>
      </c>
      <c r="F19" s="1726">
        <f>SUM(F4:F18)</f>
        <v>7106221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30" t="s">
        <v>625</v>
      </c>
      <c r="B1" s="2428"/>
      <c r="C1" s="585"/>
    </row>
    <row r="2" spans="1:7" ht="33.75" x14ac:dyDescent="0.2">
      <c r="A2" s="2435" t="s">
        <v>1779</v>
      </c>
      <c r="B2" s="243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37" t="s">
        <v>1104</v>
      </c>
      <c r="B3" s="2438"/>
      <c r="C3" s="2431"/>
      <c r="D3" s="2432"/>
      <c r="E3" s="2432"/>
      <c r="F3" s="2433"/>
    </row>
    <row r="4" spans="1:7" ht="12.75" customHeight="1" thickBot="1" x14ac:dyDescent="0.25">
      <c r="A4" s="2425" t="s">
        <v>626</v>
      </c>
      <c r="B4" s="2426"/>
      <c r="C4" s="1656"/>
      <c r="D4" s="1656"/>
      <c r="E4" s="1656"/>
      <c r="F4" s="1732">
        <f>SUM(C4+D4)-E4</f>
        <v>0</v>
      </c>
    </row>
    <row r="5" spans="1:7" ht="15.75" customHeight="1" thickTop="1" x14ac:dyDescent="0.2">
      <c r="A5" s="2429" t="s">
        <v>1101</v>
      </c>
      <c r="B5" s="2424"/>
      <c r="C5" s="2418"/>
      <c r="D5" s="2419"/>
      <c r="E5" s="2419"/>
      <c r="F5" s="242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421" t="s">
        <v>627</v>
      </c>
      <c r="B15" s="2422"/>
      <c r="C15" s="1732">
        <f>SUM(C6:C14)</f>
        <v>0</v>
      </c>
      <c r="D15" s="1732">
        <f>SUM(D6:D14)</f>
        <v>0</v>
      </c>
      <c r="E15" s="1732">
        <f>SUM(E6:E14)</f>
        <v>0</v>
      </c>
      <c r="F15" s="1732">
        <f>SUM(F6:F14)</f>
        <v>0</v>
      </c>
      <c r="G15" s="473"/>
    </row>
    <row r="16" spans="1:7" s="197" customFormat="1" ht="15.75" customHeight="1" thickTop="1" x14ac:dyDescent="0.2">
      <c r="A16" s="2434" t="s">
        <v>1102</v>
      </c>
      <c r="B16" s="2424"/>
      <c r="C16" s="2418"/>
      <c r="D16" s="2419"/>
      <c r="E16" s="2419"/>
      <c r="F16" s="2420"/>
    </row>
    <row r="17" spans="1:11" ht="12.75" customHeight="1" thickBot="1" x14ac:dyDescent="0.25">
      <c r="A17" s="2416" t="s">
        <v>64</v>
      </c>
      <c r="B17" s="2417"/>
      <c r="C17" s="1733"/>
      <c r="D17" s="1664"/>
      <c r="E17" s="1733"/>
      <c r="F17" s="1732">
        <f>SUM(C17+D17)-E17</f>
        <v>0</v>
      </c>
    </row>
    <row r="18" spans="1:11" ht="12.75" customHeight="1" thickTop="1" thickBot="1" x14ac:dyDescent="0.25">
      <c r="A18" s="2416" t="s">
        <v>6</v>
      </c>
      <c r="B18" s="2417"/>
      <c r="C18" s="1733"/>
      <c r="D18" s="1664"/>
      <c r="E18" s="1733"/>
      <c r="F18" s="1732">
        <f>SUM(C18+D18)-E18</f>
        <v>0</v>
      </c>
    </row>
    <row r="19" spans="1:11" ht="12.75" customHeight="1" thickTop="1" thickBot="1" x14ac:dyDescent="0.25">
      <c r="A19" s="2416" t="s">
        <v>385</v>
      </c>
      <c r="B19" s="2417"/>
      <c r="C19" s="1733"/>
      <c r="D19" s="1664"/>
      <c r="E19" s="1733"/>
      <c r="F19" s="1732">
        <f>SUM(C19+D19)-E19</f>
        <v>0</v>
      </c>
    </row>
    <row r="20" spans="1:11" ht="12.75" customHeight="1" thickTop="1" thickBot="1" x14ac:dyDescent="0.25">
      <c r="A20" s="2416" t="s">
        <v>445</v>
      </c>
      <c r="B20" s="2417"/>
      <c r="C20" s="1733"/>
      <c r="D20" s="1664"/>
      <c r="E20" s="1733"/>
      <c r="F20" s="1732">
        <f>SUM(C20+D20)-E20</f>
        <v>0</v>
      </c>
    </row>
    <row r="21" spans="1:11" ht="14.25" thickTop="1" thickBot="1" x14ac:dyDescent="0.25">
      <c r="A21" s="2421" t="s">
        <v>628</v>
      </c>
      <c r="B21" s="2422"/>
      <c r="C21" s="1732">
        <f>SUM(C17:C20)</f>
        <v>0</v>
      </c>
      <c r="D21" s="1732">
        <f>SUM(D17:D20)</f>
        <v>0</v>
      </c>
      <c r="E21" s="1732">
        <f>SUM(E17:E20)</f>
        <v>0</v>
      </c>
      <c r="F21" s="1732">
        <f>SUM(F17:F20)</f>
        <v>0</v>
      </c>
      <c r="G21" s="473"/>
    </row>
    <row r="22" spans="1:11" ht="15.75" customHeight="1" thickTop="1" x14ac:dyDescent="0.2">
      <c r="A22" s="2423" t="s">
        <v>1103</v>
      </c>
      <c r="B22" s="2424"/>
      <c r="C22" s="2418"/>
      <c r="D22" s="2419"/>
      <c r="E22" s="2419"/>
      <c r="F22" s="2420"/>
    </row>
    <row r="23" spans="1:11" ht="13.5" thickBot="1" x14ac:dyDescent="0.25">
      <c r="A23" s="2425" t="s">
        <v>629</v>
      </c>
      <c r="B23" s="2426"/>
      <c r="C23" s="1656"/>
      <c r="D23" s="1656"/>
      <c r="E23" s="1656"/>
      <c r="F23" s="1732">
        <f>SUM(C23+D23)-E23</f>
        <v>0</v>
      </c>
      <c r="G23" s="473"/>
    </row>
    <row r="24" spans="1:11" ht="15.75" customHeight="1" thickTop="1" x14ac:dyDescent="0.2">
      <c r="A24" s="2423" t="s">
        <v>2006</v>
      </c>
      <c r="B24" s="2424"/>
      <c r="C24" s="2418"/>
      <c r="D24" s="2419"/>
      <c r="E24" s="2419"/>
      <c r="F24" s="2420"/>
    </row>
    <row r="25" spans="1:11" ht="13.5" thickBot="1" x14ac:dyDescent="0.25">
      <c r="A25" s="2425" t="s">
        <v>2007</v>
      </c>
      <c r="B25" s="2426"/>
      <c r="C25" s="1656"/>
      <c r="D25" s="1656"/>
      <c r="E25" s="1656"/>
      <c r="F25" s="1732">
        <f>SUM(C25+D25)-E25</f>
        <v>0</v>
      </c>
      <c r="G25" s="473"/>
    </row>
    <row r="26" spans="1:11" ht="15.75" customHeight="1" thickTop="1" x14ac:dyDescent="0.2">
      <c r="A26" s="2429" t="s">
        <v>652</v>
      </c>
      <c r="B26" s="2424"/>
      <c r="C26" s="589"/>
      <c r="D26" s="589"/>
      <c r="E26" s="589"/>
      <c r="F26" s="590"/>
    </row>
    <row r="27" spans="1:11" ht="13.5" thickBot="1" x14ac:dyDescent="0.25">
      <c r="A27" s="2421" t="s">
        <v>1061</v>
      </c>
      <c r="B27" s="2422"/>
      <c r="C27" s="1664"/>
      <c r="D27" s="1664"/>
      <c r="E27" s="1664"/>
      <c r="F27" s="1732">
        <f>SUM(C27+D27)-E27</f>
        <v>0</v>
      </c>
      <c r="G27" s="473"/>
    </row>
    <row r="28" spans="1:11" ht="7.5" customHeight="1" thickTop="1" x14ac:dyDescent="0.2">
      <c r="A28" s="489"/>
    </row>
    <row r="29" spans="1:11" ht="23.25" customHeight="1" x14ac:dyDescent="0.2">
      <c r="A29" s="2427" t="s">
        <v>578</v>
      </c>
      <c r="B29" s="242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2222</v>
      </c>
      <c r="B31" s="595">
        <v>42248</v>
      </c>
      <c r="C31" s="1734">
        <v>10685000</v>
      </c>
      <c r="D31" s="1735">
        <v>7</v>
      </c>
      <c r="E31" s="1734">
        <v>9880000</v>
      </c>
      <c r="F31" s="1734"/>
      <c r="G31" s="1734"/>
      <c r="H31" s="1734">
        <v>335000</v>
      </c>
      <c r="I31" s="1736">
        <f>((E31+F31)-H31)+G31</f>
        <v>9545000</v>
      </c>
      <c r="J31" s="1734">
        <f>9545000-483995</f>
        <v>9061005</v>
      </c>
      <c r="K31" s="596"/>
    </row>
    <row r="32" spans="1:11" ht="12" customHeight="1" x14ac:dyDescent="0.2">
      <c r="A32" s="594" t="s">
        <v>2224</v>
      </c>
      <c r="B32" s="595">
        <v>42248</v>
      </c>
      <c r="C32" s="1734">
        <v>15063327</v>
      </c>
      <c r="D32" s="1735">
        <v>1</v>
      </c>
      <c r="E32" s="1734">
        <v>13153327</v>
      </c>
      <c r="F32" s="1734"/>
      <c r="G32" s="1734"/>
      <c r="H32" s="1734">
        <v>1030000</v>
      </c>
      <c r="I32" s="1736">
        <f>((E32+F32)-H32)+G32</f>
        <v>12123327</v>
      </c>
      <c r="J32" s="1734">
        <f>12123327-969388</f>
        <v>11153939</v>
      </c>
      <c r="K32" s="596"/>
    </row>
    <row r="33" spans="1:11" ht="12" customHeight="1" x14ac:dyDescent="0.2">
      <c r="A33" s="594" t="s">
        <v>2226</v>
      </c>
      <c r="B33" s="595">
        <v>42424</v>
      </c>
      <c r="C33" s="1734">
        <v>9000000</v>
      </c>
      <c r="D33" s="1735">
        <v>4</v>
      </c>
      <c r="E33" s="1734">
        <v>9000000</v>
      </c>
      <c r="F33" s="1734"/>
      <c r="G33" s="1734"/>
      <c r="H33" s="1734"/>
      <c r="I33" s="1736">
        <f t="shared" ref="I33:I48" si="1">((E33+F33)-H33)+G33</f>
        <v>9000000</v>
      </c>
      <c r="J33" s="1734">
        <f>9000000-236799</f>
        <v>8763201</v>
      </c>
      <c r="K33" s="596"/>
    </row>
    <row r="34" spans="1:11" ht="12" customHeight="1" x14ac:dyDescent="0.2">
      <c r="A34" s="594" t="s">
        <v>2225</v>
      </c>
      <c r="B34" s="595">
        <v>43223</v>
      </c>
      <c r="C34" s="1734">
        <v>4170000</v>
      </c>
      <c r="D34" s="1735">
        <v>1</v>
      </c>
      <c r="E34" s="1734">
        <v>4170000</v>
      </c>
      <c r="F34" s="1734"/>
      <c r="G34" s="1734"/>
      <c r="H34" s="1734">
        <v>785000</v>
      </c>
      <c r="I34" s="1736">
        <f t="shared" si="1"/>
        <v>3385000</v>
      </c>
      <c r="J34" s="1734">
        <f>3385000-547613</f>
        <v>2837387</v>
      </c>
      <c r="K34" s="597"/>
    </row>
    <row r="35" spans="1:11" ht="12" customHeight="1" x14ac:dyDescent="0.2">
      <c r="A35" s="594" t="s">
        <v>2227</v>
      </c>
      <c r="B35" s="595">
        <v>42755</v>
      </c>
      <c r="C35" s="1737">
        <v>146500</v>
      </c>
      <c r="D35" s="1735">
        <v>8</v>
      </c>
      <c r="E35" s="1737">
        <v>24960</v>
      </c>
      <c r="F35" s="1737"/>
      <c r="G35" s="1737"/>
      <c r="H35" s="1737">
        <v>24960</v>
      </c>
      <c r="I35" s="1736">
        <f t="shared" si="1"/>
        <v>0</v>
      </c>
      <c r="J35" s="1737">
        <v>0</v>
      </c>
      <c r="K35" s="597"/>
    </row>
    <row r="36" spans="1:11" ht="12" customHeight="1" x14ac:dyDescent="0.2">
      <c r="A36" s="594" t="s">
        <v>2229</v>
      </c>
      <c r="B36" s="595">
        <v>43665</v>
      </c>
      <c r="C36" s="1734">
        <v>34810</v>
      </c>
      <c r="D36" s="1735">
        <v>8</v>
      </c>
      <c r="E36" s="1734"/>
      <c r="F36" s="1734"/>
      <c r="G36" s="1734">
        <v>34810</v>
      </c>
      <c r="H36" s="1734">
        <v>12181</v>
      </c>
      <c r="I36" s="1736">
        <f t="shared" si="1"/>
        <v>22629</v>
      </c>
      <c r="J36" s="1734">
        <v>22629</v>
      </c>
      <c r="K36" s="598"/>
    </row>
    <row r="37" spans="1:11" ht="12" customHeight="1" x14ac:dyDescent="0.2">
      <c r="A37" s="594" t="s">
        <v>2230</v>
      </c>
      <c r="B37" s="595">
        <v>44012</v>
      </c>
      <c r="C37" s="1574">
        <v>900000</v>
      </c>
      <c r="D37" s="1738">
        <v>9</v>
      </c>
      <c r="E37" s="1574"/>
      <c r="F37" s="1574"/>
      <c r="G37" s="1574">
        <v>900000</v>
      </c>
      <c r="H37" s="1574"/>
      <c r="I37" s="1736">
        <f t="shared" si="1"/>
        <v>900000</v>
      </c>
      <c r="J37" s="1574">
        <v>900000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39999637</v>
      </c>
      <c r="D49" s="1742"/>
      <c r="E49" s="1736">
        <f t="shared" ref="E49:J49" si="2">SUM(E31:E48)</f>
        <v>36228287</v>
      </c>
      <c r="F49" s="1736">
        <f t="shared" si="2"/>
        <v>0</v>
      </c>
      <c r="G49" s="1736">
        <f t="shared" si="2"/>
        <v>934810</v>
      </c>
      <c r="H49" s="1736">
        <f t="shared" si="2"/>
        <v>2187141</v>
      </c>
      <c r="I49" s="1736">
        <f t="shared" si="2"/>
        <v>34975956</v>
      </c>
      <c r="J49" s="1736">
        <f t="shared" si="2"/>
        <v>32738161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410" t="s">
        <v>580</v>
      </c>
      <c r="C52" s="2411"/>
      <c r="D52" s="2411"/>
      <c r="E52" s="603" t="s">
        <v>840</v>
      </c>
      <c r="F52" s="2412" t="s">
        <v>2223</v>
      </c>
      <c r="G52" s="2413"/>
      <c r="H52" s="596"/>
      <c r="I52" s="596"/>
      <c r="J52" s="600"/>
    </row>
    <row r="53" spans="1:11" ht="11.25" customHeight="1" x14ac:dyDescent="0.2">
      <c r="A53" s="604" t="s">
        <v>907</v>
      </c>
      <c r="B53" s="605" t="s">
        <v>945</v>
      </c>
      <c r="C53" s="600"/>
      <c r="D53" s="597"/>
      <c r="E53" s="603" t="s">
        <v>494</v>
      </c>
      <c r="F53" s="2414" t="s">
        <v>2228</v>
      </c>
      <c r="G53" s="2415"/>
      <c r="H53" s="596"/>
      <c r="I53" s="596"/>
      <c r="J53" s="600"/>
    </row>
    <row r="54" spans="1:11" ht="11.25" customHeight="1" x14ac:dyDescent="0.2">
      <c r="A54" s="606" t="s">
        <v>908</v>
      </c>
      <c r="B54" s="601" t="s">
        <v>946</v>
      </c>
      <c r="C54" s="600"/>
      <c r="D54" s="597"/>
      <c r="E54" s="603" t="s">
        <v>495</v>
      </c>
      <c r="F54" s="2414" t="s">
        <v>2231</v>
      </c>
      <c r="G54" s="24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39" t="s">
        <v>851</v>
      </c>
      <c r="B1" s="2440"/>
      <c r="C1" s="2440"/>
      <c r="D1" s="2440"/>
      <c r="E1" s="2440"/>
      <c r="F1" s="2440"/>
      <c r="G1" s="2441"/>
      <c r="H1" s="1298"/>
      <c r="I1" s="614"/>
      <c r="J1" s="400"/>
    </row>
    <row r="2" spans="1:11" ht="26.25" x14ac:dyDescent="0.2">
      <c r="A2" s="2458" t="s">
        <v>1658</v>
      </c>
      <c r="B2" s="2459"/>
      <c r="C2" s="2459"/>
      <c r="D2" s="2459"/>
      <c r="E2" s="2460"/>
      <c r="F2" s="615" t="s">
        <v>898</v>
      </c>
      <c r="G2" s="616" t="s">
        <v>1655</v>
      </c>
      <c r="H2" s="616" t="s">
        <v>407</v>
      </c>
      <c r="I2" s="616" t="s">
        <v>1148</v>
      </c>
      <c r="J2" s="616" t="s">
        <v>1789</v>
      </c>
      <c r="K2" s="616" t="s">
        <v>137</v>
      </c>
    </row>
    <row r="3" spans="1:11" x14ac:dyDescent="0.2">
      <c r="A3" s="2461" t="str">
        <f>"Cash Basis Fund Balance as of July 1, "&amp;'AFR20'!E2-1</f>
        <v>Cash Basis Fund Balance as of July 1, 2019</v>
      </c>
      <c r="B3" s="2462"/>
      <c r="C3" s="2462"/>
      <c r="D3" s="2462"/>
      <c r="E3" s="2463"/>
      <c r="F3" s="617"/>
      <c r="G3" s="1744"/>
      <c r="H3" s="1744"/>
      <c r="I3" s="1744"/>
      <c r="J3" s="1745">
        <v>266342</v>
      </c>
      <c r="K3" s="1745"/>
    </row>
    <row r="4" spans="1:11" x14ac:dyDescent="0.2">
      <c r="A4" s="2464" t="s">
        <v>366</v>
      </c>
      <c r="B4" s="2465"/>
      <c r="C4" s="2465"/>
      <c r="D4" s="2465"/>
      <c r="E4" s="2411"/>
      <c r="F4" s="620"/>
      <c r="G4" s="1746"/>
      <c r="H4" s="1747"/>
      <c r="I4" s="1746"/>
      <c r="J4" s="1748"/>
      <c r="K4" s="1748"/>
    </row>
    <row r="5" spans="1:11" x14ac:dyDescent="0.2">
      <c r="A5" s="2442" t="s">
        <v>1060</v>
      </c>
      <c r="B5" s="2443"/>
      <c r="C5" s="2443"/>
      <c r="D5" s="2443"/>
      <c r="E5" s="2444"/>
      <c r="F5" s="622" t="s">
        <v>843</v>
      </c>
      <c r="G5" s="1749"/>
      <c r="H5" s="1744">
        <v>154393</v>
      </c>
      <c r="I5" s="1750"/>
      <c r="J5" s="1751"/>
      <c r="K5" s="1751"/>
    </row>
    <row r="6" spans="1:11" x14ac:dyDescent="0.2">
      <c r="A6" s="625" t="s">
        <v>715</v>
      </c>
      <c r="B6" s="626"/>
      <c r="C6" s="626"/>
      <c r="D6" s="626"/>
      <c r="E6" s="627"/>
      <c r="F6" s="628" t="s">
        <v>844</v>
      </c>
      <c r="G6" s="1744"/>
      <c r="H6" s="1744">
        <v>31</v>
      </c>
      <c r="I6" s="1744"/>
      <c r="J6" s="1745">
        <v>1438</v>
      </c>
      <c r="K6" s="1745"/>
    </row>
    <row r="7" spans="1:11" x14ac:dyDescent="0.2">
      <c r="A7" s="629" t="s">
        <v>244</v>
      </c>
      <c r="B7" s="630"/>
      <c r="C7" s="630"/>
      <c r="D7" s="630"/>
      <c r="E7" s="631"/>
      <c r="F7" s="622" t="s">
        <v>845</v>
      </c>
      <c r="G7" s="1746"/>
      <c r="H7" s="1746"/>
      <c r="I7" s="1746"/>
      <c r="J7" s="1752"/>
      <c r="K7" s="1745">
        <v>24402</v>
      </c>
    </row>
    <row r="8" spans="1:11" x14ac:dyDescent="0.2">
      <c r="A8" s="629" t="s">
        <v>342</v>
      </c>
      <c r="B8" s="630"/>
      <c r="C8" s="630"/>
      <c r="D8" s="630"/>
      <c r="E8" s="631"/>
      <c r="F8" s="622" t="s">
        <v>846</v>
      </c>
      <c r="G8" s="1753"/>
      <c r="H8" s="1753"/>
      <c r="I8" s="1753"/>
      <c r="J8" s="1745">
        <v>1003501</v>
      </c>
      <c r="K8" s="1748"/>
    </row>
    <row r="9" spans="1:11" x14ac:dyDescent="0.2">
      <c r="A9" s="629" t="s">
        <v>137</v>
      </c>
      <c r="B9" s="630"/>
      <c r="C9" s="630"/>
      <c r="D9" s="630"/>
      <c r="E9" s="631"/>
      <c r="F9" s="628" t="s">
        <v>848</v>
      </c>
      <c r="G9" s="1753"/>
      <c r="H9" s="1749"/>
      <c r="I9" s="1749"/>
      <c r="J9" s="1752"/>
      <c r="K9" s="1745">
        <v>26793</v>
      </c>
    </row>
    <row r="10" spans="1:11" x14ac:dyDescent="0.2">
      <c r="A10" s="2442" t="s">
        <v>1790</v>
      </c>
      <c r="B10" s="2443"/>
      <c r="C10" s="2443"/>
      <c r="D10" s="2443"/>
      <c r="E10" s="2445"/>
      <c r="F10" s="633" t="s">
        <v>857</v>
      </c>
      <c r="G10" s="1753"/>
      <c r="H10" s="1754"/>
      <c r="I10" s="1744"/>
      <c r="J10" s="1745"/>
      <c r="K10" s="1745"/>
    </row>
    <row r="11" spans="1:11" x14ac:dyDescent="0.2">
      <c r="A11" s="2442" t="s">
        <v>159</v>
      </c>
      <c r="B11" s="2443"/>
      <c r="C11" s="2443"/>
      <c r="D11" s="2443"/>
      <c r="E11" s="2444"/>
      <c r="F11" s="622" t="s">
        <v>847</v>
      </c>
      <c r="G11" s="1749"/>
      <c r="H11" s="1744"/>
      <c r="I11" s="1744"/>
      <c r="J11" s="1745"/>
      <c r="K11" s="1751"/>
    </row>
    <row r="12" spans="1:11" ht="13.5" thickBot="1" x14ac:dyDescent="0.25">
      <c r="A12" s="2469" t="s">
        <v>899</v>
      </c>
      <c r="B12" s="2470"/>
      <c r="C12" s="2470"/>
      <c r="D12" s="2470"/>
      <c r="E12" s="2471"/>
      <c r="F12" s="1433"/>
      <c r="G12" s="1755">
        <f>SUM(G5:G11)</f>
        <v>0</v>
      </c>
      <c r="H12" s="1755">
        <f>SUM(H5:H11)</f>
        <v>154424</v>
      </c>
      <c r="I12" s="1755">
        <f>SUM(I5:I11)</f>
        <v>0</v>
      </c>
      <c r="J12" s="1755">
        <f>SUM(J5:J11)</f>
        <v>1004939</v>
      </c>
      <c r="K12" s="1755">
        <f>SUM(K5:K11)</f>
        <v>51195</v>
      </c>
    </row>
    <row r="13" spans="1:11" ht="13.5" thickTop="1" x14ac:dyDescent="0.2">
      <c r="A13" s="2466" t="s">
        <v>367</v>
      </c>
      <c r="B13" s="2467"/>
      <c r="C13" s="2467"/>
      <c r="D13" s="2467"/>
      <c r="E13" s="2468"/>
      <c r="F13" s="634"/>
      <c r="G13" s="1756"/>
      <c r="H13" s="1757"/>
      <c r="I13" s="1758"/>
      <c r="J13" s="1758"/>
      <c r="K13" s="1758"/>
    </row>
    <row r="14" spans="1:11" x14ac:dyDescent="0.2">
      <c r="A14" s="2449" t="s">
        <v>453</v>
      </c>
      <c r="B14" s="2449"/>
      <c r="C14" s="2449"/>
      <c r="D14" s="2449"/>
      <c r="E14" s="2450"/>
      <c r="F14" s="635" t="s">
        <v>849</v>
      </c>
      <c r="G14" s="1753"/>
      <c r="H14" s="1744">
        <v>154424</v>
      </c>
      <c r="I14" s="1749"/>
      <c r="J14" s="1751"/>
      <c r="K14" s="1745">
        <v>51195</v>
      </c>
    </row>
    <row r="15" spans="1:11" x14ac:dyDescent="0.2">
      <c r="A15" s="2443" t="s">
        <v>4</v>
      </c>
      <c r="B15" s="2443"/>
      <c r="C15" s="2443"/>
      <c r="D15" s="2443"/>
      <c r="E15" s="2444"/>
      <c r="F15" s="635" t="s">
        <v>850</v>
      </c>
      <c r="G15" s="1749"/>
      <c r="H15" s="1744"/>
      <c r="I15" s="1744"/>
      <c r="J15" s="1745">
        <v>41382</v>
      </c>
      <c r="K15" s="1745"/>
    </row>
    <row r="16" spans="1:11" x14ac:dyDescent="0.2">
      <c r="A16" s="2443" t="s">
        <v>295</v>
      </c>
      <c r="B16" s="2443"/>
      <c r="C16" s="2443"/>
      <c r="D16" s="2443"/>
      <c r="E16" s="2444"/>
      <c r="F16" s="635" t="s">
        <v>917</v>
      </c>
      <c r="G16" s="1750"/>
      <c r="H16" s="1746"/>
      <c r="I16" s="1746"/>
      <c r="J16" s="1748"/>
      <c r="K16" s="1748"/>
    </row>
    <row r="17" spans="1:15" x14ac:dyDescent="0.2">
      <c r="A17" s="2476" t="s">
        <v>929</v>
      </c>
      <c r="B17" s="2476"/>
      <c r="C17" s="2476"/>
      <c r="D17" s="2476"/>
      <c r="E17" s="2477"/>
      <c r="F17" s="636"/>
      <c r="G17" s="1759"/>
      <c r="H17" s="1760"/>
      <c r="I17" s="1760"/>
      <c r="J17" s="1761"/>
      <c r="K17" s="1762"/>
    </row>
    <row r="18" spans="1:15" x14ac:dyDescent="0.2">
      <c r="A18" s="2453" t="s">
        <v>365</v>
      </c>
      <c r="B18" s="2454"/>
      <c r="C18" s="2454"/>
      <c r="D18" s="2454"/>
      <c r="E18" s="2455"/>
      <c r="F18" s="635" t="s">
        <v>926</v>
      </c>
      <c r="G18" s="1753"/>
      <c r="H18" s="1753"/>
      <c r="I18" s="1753"/>
      <c r="J18" s="1745">
        <v>410626</v>
      </c>
      <c r="K18" s="1763"/>
    </row>
    <row r="19" spans="1:15" ht="21.75" customHeight="1" x14ac:dyDescent="0.2">
      <c r="A19" s="2451" t="s">
        <v>1786</v>
      </c>
      <c r="B19" s="2451"/>
      <c r="C19" s="2451"/>
      <c r="D19" s="2451"/>
      <c r="E19" s="2452"/>
      <c r="F19" s="635" t="s">
        <v>927</v>
      </c>
      <c r="G19" s="1753"/>
      <c r="H19" s="1753"/>
      <c r="I19" s="1753"/>
      <c r="J19" s="1745">
        <v>335000</v>
      </c>
      <c r="K19" s="1763"/>
    </row>
    <row r="20" spans="1:15" x14ac:dyDescent="0.2">
      <c r="A20" s="2453" t="s">
        <v>1791</v>
      </c>
      <c r="B20" s="2454"/>
      <c r="C20" s="2454"/>
      <c r="D20" s="2454"/>
      <c r="E20" s="2455"/>
      <c r="F20" s="635" t="s">
        <v>928</v>
      </c>
      <c r="G20" s="1753"/>
      <c r="H20" s="1753"/>
      <c r="I20" s="1753"/>
      <c r="J20" s="1745">
        <v>318</v>
      </c>
      <c r="K20" s="1763"/>
    </row>
    <row r="21" spans="1:15" ht="13.5" thickBot="1" x14ac:dyDescent="0.25">
      <c r="A21" s="2472" t="s">
        <v>633</v>
      </c>
      <c r="B21" s="2472"/>
      <c r="C21" s="2472"/>
      <c r="D21" s="2472"/>
      <c r="E21" s="2472"/>
      <c r="F21" s="1434"/>
      <c r="G21" s="1760"/>
      <c r="H21" s="1764"/>
      <c r="I21" s="1764"/>
      <c r="J21" s="1765">
        <f>SUM(J18:J20)</f>
        <v>745944</v>
      </c>
      <c r="K21" s="1761"/>
    </row>
    <row r="22" spans="1:15" ht="13.5" thickTop="1" x14ac:dyDescent="0.2">
      <c r="A22" s="2443" t="s">
        <v>1792</v>
      </c>
      <c r="B22" s="2443"/>
      <c r="C22" s="2443"/>
      <c r="D22" s="2443"/>
      <c r="E22" s="2444"/>
      <c r="F22" s="635" t="s">
        <v>857</v>
      </c>
      <c r="G22" s="1753"/>
      <c r="H22" s="1744"/>
      <c r="I22" s="1744"/>
      <c r="J22" s="1766"/>
      <c r="K22" s="1745"/>
    </row>
    <row r="23" spans="1:15" ht="13.5" thickBot="1" x14ac:dyDescent="0.25">
      <c r="A23" s="2473" t="s">
        <v>900</v>
      </c>
      <c r="B23" s="2472"/>
      <c r="C23" s="2472"/>
      <c r="D23" s="2472"/>
      <c r="E23" s="2472"/>
      <c r="F23" s="1436"/>
      <c r="G23" s="1755">
        <f>SUM(G14:G16,G21,G22)</f>
        <v>0</v>
      </c>
      <c r="H23" s="1755">
        <f>SUM(H14:H16,H21,H22)</f>
        <v>154424</v>
      </c>
      <c r="I23" s="1755">
        <f>SUM(I14:I16,I21,I22)</f>
        <v>0</v>
      </c>
      <c r="J23" s="1755">
        <f>SUM(J14:J16,J21,J22)</f>
        <v>787326</v>
      </c>
      <c r="K23" s="1755">
        <f>SUM(K14:K16,K21,K22)</f>
        <v>51195</v>
      </c>
      <c r="M23" s="1846"/>
      <c r="N23" s="1846"/>
      <c r="O23" s="1846"/>
    </row>
    <row r="24" spans="1:15" ht="14.25" thickTop="1" thickBot="1" x14ac:dyDescent="0.25">
      <c r="A24" s="2474" t="str">
        <f>"Ending Cash Basis Fund Balance as of June 30, "&amp;'AFR20'!E2</f>
        <v>Ending Cash Basis Fund Balance as of June 30, 2020</v>
      </c>
      <c r="B24" s="2475"/>
      <c r="C24" s="2475"/>
      <c r="D24" s="2475"/>
      <c r="E24" s="2475"/>
      <c r="F24" s="1437"/>
      <c r="G24" s="1767">
        <f>SUM(G3,G12)-G23</f>
        <v>0</v>
      </c>
      <c r="H24" s="1767">
        <f>SUM(H3,H12)-H23</f>
        <v>0</v>
      </c>
      <c r="I24" s="1767">
        <f>SUM(I3,I12)-I23</f>
        <v>0</v>
      </c>
      <c r="J24" s="1767">
        <f>SUM(J3,J12)-J23</f>
        <v>483955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483955</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2247</v>
      </c>
      <c r="E30" s="648" t="s">
        <v>763</v>
      </c>
      <c r="F30" s="197"/>
      <c r="G30" s="645"/>
    </row>
    <row r="31" spans="1:15" x14ac:dyDescent="0.2">
      <c r="A31" s="649"/>
      <c r="D31" s="232"/>
      <c r="E31" s="650" t="s">
        <v>764</v>
      </c>
      <c r="F31" s="651" t="s">
        <v>536</v>
      </c>
      <c r="G31" s="618"/>
      <c r="H31" s="2446"/>
      <c r="I31" s="2447"/>
      <c r="J31" s="2447"/>
      <c r="K31" s="2447"/>
    </row>
    <row r="32" spans="1:15" x14ac:dyDescent="0.2">
      <c r="A32" s="649"/>
      <c r="B32" s="232"/>
      <c r="C32" s="232"/>
      <c r="D32" s="232"/>
      <c r="E32" s="645"/>
      <c r="F32" s="651" t="s">
        <v>537</v>
      </c>
      <c r="G32" s="618"/>
      <c r="H32" s="2448"/>
      <c r="I32" s="2447"/>
      <c r="J32" s="2447"/>
      <c r="K32" s="2447"/>
    </row>
    <row r="33" spans="1:11" ht="1.5" customHeight="1" x14ac:dyDescent="0.2">
      <c r="A33" s="652" t="s">
        <v>1159</v>
      </c>
      <c r="B33" s="341"/>
      <c r="C33" s="341"/>
      <c r="D33" s="341"/>
      <c r="E33" s="341"/>
      <c r="F33" s="341"/>
      <c r="G33" s="653"/>
      <c r="H33" s="2448"/>
      <c r="I33" s="2447"/>
      <c r="J33" s="2447"/>
      <c r="K33" s="244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43" t="s">
        <v>538</v>
      </c>
      <c r="B41" s="2456"/>
      <c r="C41" s="2456"/>
      <c r="D41" s="2456"/>
      <c r="E41" s="2456"/>
      <c r="F41" s="245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80" t="s">
        <v>1875</v>
      </c>
      <c r="B1" s="2481"/>
      <c r="C1" s="2482"/>
      <c r="D1" s="666"/>
      <c r="E1" s="667"/>
      <c r="F1" s="667"/>
      <c r="G1" s="668"/>
      <c r="H1" s="669"/>
      <c r="I1" s="670"/>
      <c r="J1" s="2478"/>
      <c r="K1" s="2479"/>
      <c r="L1" s="247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542305</v>
      </c>
      <c r="D5" s="1770"/>
      <c r="E5" s="1770"/>
      <c r="F5" s="1765">
        <f>(C5+D5)-E5</f>
        <v>542305</v>
      </c>
      <c r="G5" s="676"/>
      <c r="H5" s="680"/>
      <c r="I5" s="680"/>
      <c r="J5" s="680"/>
      <c r="K5" s="637"/>
      <c r="L5" s="1442">
        <f>F5-K5</f>
        <v>542305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60204735</v>
      </c>
      <c r="D8" s="1771">
        <v>798861</v>
      </c>
      <c r="E8" s="1771"/>
      <c r="F8" s="1765">
        <f>(C8+D8)-E8</f>
        <v>61003596</v>
      </c>
      <c r="G8" s="681">
        <v>50</v>
      </c>
      <c r="H8" s="619">
        <v>16093550</v>
      </c>
      <c r="I8" s="619">
        <v>1142648</v>
      </c>
      <c r="J8" s="619"/>
      <c r="K8" s="1442">
        <f>(H8+I8)-J8</f>
        <v>17236198</v>
      </c>
      <c r="L8" s="1442">
        <f>F8-K8</f>
        <v>43767398</v>
      </c>
    </row>
    <row r="9" spans="1:14" ht="14.25" thickTop="1" thickBot="1" x14ac:dyDescent="0.25">
      <c r="A9" s="629" t="s">
        <v>1109</v>
      </c>
      <c r="B9" s="679">
        <v>232</v>
      </c>
      <c r="C9" s="1745">
        <v>12010</v>
      </c>
      <c r="D9" s="1745"/>
      <c r="E9" s="1745"/>
      <c r="F9" s="1765">
        <f>(C9+D9)-E9</f>
        <v>12010</v>
      </c>
      <c r="G9" s="681">
        <v>20</v>
      </c>
      <c r="H9" s="619">
        <v>1202</v>
      </c>
      <c r="I9" s="619">
        <v>601</v>
      </c>
      <c r="J9" s="619"/>
      <c r="K9" s="1442">
        <f>(H9+I9)-J9</f>
        <v>1803</v>
      </c>
      <c r="L9" s="1442">
        <f>F9-K9</f>
        <v>10207</v>
      </c>
    </row>
    <row r="10" spans="1:14" ht="24" thickTop="1" thickBot="1" x14ac:dyDescent="0.25">
      <c r="A10" s="682" t="s">
        <v>1110</v>
      </c>
      <c r="B10" s="679">
        <v>240</v>
      </c>
      <c r="C10" s="1772">
        <v>1395895</v>
      </c>
      <c r="D10" s="1772">
        <v>252750</v>
      </c>
      <c r="E10" s="1772"/>
      <c r="F10" s="1773">
        <f>(C10+D10)-E10</f>
        <v>1648645</v>
      </c>
      <c r="G10" s="681">
        <v>20</v>
      </c>
      <c r="H10" s="683">
        <v>446544</v>
      </c>
      <c r="I10" s="683">
        <v>71314</v>
      </c>
      <c r="J10" s="683"/>
      <c r="K10" s="1442">
        <f>(H10+I10)-J10</f>
        <v>517858</v>
      </c>
      <c r="L10" s="1442">
        <f>F10-K10</f>
        <v>1130787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2405223</v>
      </c>
      <c r="D12" s="1771">
        <v>50218</v>
      </c>
      <c r="E12" s="1771">
        <v>27446</v>
      </c>
      <c r="F12" s="1765">
        <f>(C12+D12)-E12</f>
        <v>2427995</v>
      </c>
      <c r="G12" s="681">
        <v>10</v>
      </c>
      <c r="H12" s="619">
        <v>1723747</v>
      </c>
      <c r="I12" s="619">
        <v>242800</v>
      </c>
      <c r="J12" s="619">
        <v>27446</v>
      </c>
      <c r="K12" s="1442">
        <f>(H12+I12)-J12</f>
        <v>1939101</v>
      </c>
      <c r="L12" s="1442">
        <f>F12-K12</f>
        <v>488894</v>
      </c>
    </row>
    <row r="13" spans="1:14" ht="14.25" thickTop="1" thickBot="1" x14ac:dyDescent="0.25">
      <c r="A13" s="684" t="s">
        <v>1112</v>
      </c>
      <c r="B13" s="679">
        <v>252</v>
      </c>
      <c r="C13" s="1771">
        <v>51316</v>
      </c>
      <c r="D13" s="1771"/>
      <c r="E13" s="1771"/>
      <c r="F13" s="1765">
        <f>(C13+D13)-E13</f>
        <v>51316</v>
      </c>
      <c r="G13" s="681">
        <v>5</v>
      </c>
      <c r="H13" s="619">
        <v>34874</v>
      </c>
      <c r="I13" s="619">
        <v>5361</v>
      </c>
      <c r="J13" s="619"/>
      <c r="K13" s="1442">
        <f>(H13+I13)-J13</f>
        <v>40235</v>
      </c>
      <c r="L13" s="1442">
        <f>F13-K13</f>
        <v>11081</v>
      </c>
    </row>
    <row r="14" spans="1:14" ht="14.25" thickTop="1" thickBot="1" x14ac:dyDescent="0.25">
      <c r="A14" s="684" t="s">
        <v>1113</v>
      </c>
      <c r="B14" s="679">
        <v>253</v>
      </c>
      <c r="C14" s="1745">
        <v>63223</v>
      </c>
      <c r="D14" s="1745"/>
      <c r="E14" s="1745"/>
      <c r="F14" s="1765">
        <f>(C14+D14)-E14</f>
        <v>63223</v>
      </c>
      <c r="G14" s="681">
        <v>3</v>
      </c>
      <c r="H14" s="619">
        <v>63223</v>
      </c>
      <c r="I14" s="619"/>
      <c r="J14" s="619"/>
      <c r="K14" s="1442">
        <f>(H14+I14)-J14</f>
        <v>63223</v>
      </c>
      <c r="L14" s="1442">
        <f>F14-K14</f>
        <v>0</v>
      </c>
    </row>
    <row r="15" spans="1:14" ht="15" customHeight="1" thickTop="1" thickBot="1" x14ac:dyDescent="0.25">
      <c r="A15" s="1366" t="s">
        <v>525</v>
      </c>
      <c r="B15" s="1365">
        <v>260</v>
      </c>
      <c r="C15" s="1771"/>
      <c r="D15" s="1771">
        <v>10000</v>
      </c>
      <c r="E15" s="1771"/>
      <c r="F15" s="1765">
        <f>(C15+D15)-E15</f>
        <v>10000</v>
      </c>
      <c r="G15" s="685" t="s">
        <v>857</v>
      </c>
      <c r="H15" s="632"/>
      <c r="I15" s="632"/>
      <c r="J15" s="632"/>
      <c r="K15" s="632"/>
      <c r="L15" s="1442">
        <f>F15-K15</f>
        <v>10000</v>
      </c>
    </row>
    <row r="16" spans="1:14" ht="15" customHeight="1" thickTop="1" thickBot="1" x14ac:dyDescent="0.25">
      <c r="A16" s="1438" t="s">
        <v>638</v>
      </c>
      <c r="B16" s="1439">
        <v>200</v>
      </c>
      <c r="C16" s="1765">
        <f>SUM(C3,C5:C6,C8:C10,C12:C15)</f>
        <v>64674707</v>
      </c>
      <c r="D16" s="1765">
        <f>SUM(D3,D5:D6,D8:D10,D12:D15)</f>
        <v>1111829</v>
      </c>
      <c r="E16" s="1765">
        <f>SUM(E3,E5:E6,E8:E10,E12:E15)</f>
        <v>27446</v>
      </c>
      <c r="F16" s="1765">
        <f>SUM(F3,F5:F6,F8:F10,F12:F15)</f>
        <v>65759090</v>
      </c>
      <c r="G16" s="681"/>
      <c r="H16" s="1435">
        <f>SUM(H3,H6,H8:H10,H12:H14,)</f>
        <v>18363140</v>
      </c>
      <c r="I16" s="1435">
        <f>SUM(I3,I6,I8:I10,I12:I14,)</f>
        <v>1462724</v>
      </c>
      <c r="J16" s="1435">
        <f>SUM(J3,J6,J8:J10,J12:J14,)</f>
        <v>27446</v>
      </c>
      <c r="K16" s="1435">
        <f>(H16+I16)-J16</f>
        <v>19798418</v>
      </c>
      <c r="L16" s="1435">
        <f>F16-K16</f>
        <v>45960672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213852</v>
      </c>
      <c r="G17" s="676">
        <v>10</v>
      </c>
      <c r="H17" s="621"/>
      <c r="I17" s="1442">
        <f>F17/G17</f>
        <v>21385.200000000001</v>
      </c>
      <c r="J17" s="621"/>
      <c r="K17" s="638"/>
      <c r="L17" s="638"/>
    </row>
    <row r="18" spans="1:12" ht="14.25" thickTop="1" thickBot="1" x14ac:dyDescent="0.25">
      <c r="A18" s="1440" t="s">
        <v>680</v>
      </c>
      <c r="B18" s="1441"/>
      <c r="C18" s="623"/>
      <c r="D18" s="623"/>
      <c r="E18" s="623"/>
      <c r="F18" s="686"/>
      <c r="G18" s="687"/>
      <c r="H18" s="624"/>
      <c r="I18" s="1435">
        <f>SUM(I16,I17)</f>
        <v>1484109.2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86" t="str">
        <f>"ESTIMATED OPERATING EXPENSE PER PUPIL (OEPP)/PER CAPITA TUITION CHARGE (PCTC) COMPUTATIONS ("&amp;'AFR20'!E2-1&amp;" - "&amp;'AFR20'!E2&amp;")"</f>
        <v>ESTIMATED OPERATING EXPENSE PER PUPIL (OEPP)/PER CAPITA TUITION CHARGE (PCTC) COMPUTATIONS (2019 - 2020)</v>
      </c>
      <c r="B1" s="2487"/>
      <c r="C1" s="2487"/>
      <c r="D1" s="2487"/>
      <c r="E1" s="2487"/>
      <c r="F1" s="2488"/>
      <c r="G1" s="691"/>
      <c r="I1" s="701"/>
    </row>
    <row r="2" spans="1:9" ht="15" customHeight="1" thickBot="1" x14ac:dyDescent="0.25">
      <c r="A2" s="2489" t="s">
        <v>474</v>
      </c>
      <c r="B2" s="2490"/>
      <c r="C2" s="2490"/>
      <c r="D2" s="2490"/>
      <c r="E2" s="2490"/>
      <c r="F2" s="249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92"/>
      <c r="B5" s="2493"/>
      <c r="C5" s="2493"/>
      <c r="D5" s="2493"/>
      <c r="E5" s="2493"/>
      <c r="F5" s="2493"/>
    </row>
    <row r="6" spans="1:9" ht="13.5" customHeight="1" thickBot="1" x14ac:dyDescent="0.25">
      <c r="A6" s="2483" t="s">
        <v>1095</v>
      </c>
      <c r="B6" s="2484"/>
      <c r="C6" s="2484"/>
      <c r="D6" s="2484"/>
      <c r="E6" s="2484"/>
      <c r="F6" s="248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18340106</v>
      </c>
      <c r="G8" s="701"/>
    </row>
    <row r="9" spans="1:9" x14ac:dyDescent="0.2">
      <c r="A9" s="705" t="s">
        <v>457</v>
      </c>
      <c r="B9" s="706" t="s">
        <v>1848</v>
      </c>
      <c r="C9" s="707"/>
      <c r="D9" s="705" t="s">
        <v>498</v>
      </c>
      <c r="E9" s="704"/>
      <c r="F9" s="1775">
        <f>'Expenditures 15-22'!K151</f>
        <v>2370348</v>
      </c>
      <c r="G9" s="708"/>
    </row>
    <row r="10" spans="1:9" x14ac:dyDescent="0.2">
      <c r="A10" s="705" t="s">
        <v>496</v>
      </c>
      <c r="B10" s="706" t="s">
        <v>1849</v>
      </c>
      <c r="C10" s="707"/>
      <c r="D10" s="705" t="s">
        <v>498</v>
      </c>
      <c r="E10" s="704"/>
      <c r="F10" s="1775">
        <f>'Expenditures 15-22'!K174</f>
        <v>3607045</v>
      </c>
      <c r="G10" s="708"/>
    </row>
    <row r="11" spans="1:9" x14ac:dyDescent="0.2">
      <c r="A11" s="705" t="s">
        <v>458</v>
      </c>
      <c r="B11" s="706" t="s">
        <v>1850</v>
      </c>
      <c r="C11" s="707"/>
      <c r="D11" s="705" t="s">
        <v>498</v>
      </c>
      <c r="E11" s="704"/>
      <c r="F11" s="1775">
        <f>'Expenditures 15-22'!K210</f>
        <v>1982870</v>
      </c>
      <c r="G11" s="708"/>
    </row>
    <row r="12" spans="1:9" x14ac:dyDescent="0.2">
      <c r="A12" s="705" t="s">
        <v>459</v>
      </c>
      <c r="B12" s="706" t="s">
        <v>1851</v>
      </c>
      <c r="C12" s="707"/>
      <c r="D12" s="705" t="s">
        <v>498</v>
      </c>
      <c r="E12" s="704"/>
      <c r="F12" s="1775">
        <f>'Expenditures 15-22'!K295</f>
        <v>627729</v>
      </c>
      <c r="G12" s="708"/>
    </row>
    <row r="13" spans="1:9" x14ac:dyDescent="0.2">
      <c r="A13" s="705" t="s">
        <v>106</v>
      </c>
      <c r="B13" s="706" t="s">
        <v>1852</v>
      </c>
      <c r="C13" s="707"/>
      <c r="D13" s="705" t="s">
        <v>498</v>
      </c>
      <c r="E13" s="704"/>
      <c r="F13" s="1775">
        <f>'Expenditures 15-22'!K342</f>
        <v>953655</v>
      </c>
      <c r="G13" s="709"/>
    </row>
    <row r="14" spans="1:9" ht="12" customHeight="1" thickBot="1" x14ac:dyDescent="0.25">
      <c r="A14" s="1443"/>
      <c r="B14" s="1444"/>
      <c r="C14" s="1445"/>
      <c r="D14" s="1446" t="s">
        <v>498</v>
      </c>
      <c r="E14" s="1447" t="s">
        <v>952</v>
      </c>
      <c r="F14" s="1776">
        <f>SUM(F8:F13)</f>
        <v>27881753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82380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416</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50451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151824</v>
      </c>
      <c r="G52" s="701"/>
    </row>
    <row r="53" spans="1:7" x14ac:dyDescent="0.2">
      <c r="A53" s="705" t="s">
        <v>456</v>
      </c>
      <c r="B53" s="705" t="s">
        <v>1458</v>
      </c>
      <c r="C53" s="724">
        <f>'Expenditures 15-22'!B102</f>
        <v>4000</v>
      </c>
      <c r="D53" s="723" t="str">
        <f>'Expenditures 15-22'!A102</f>
        <v>Total Payments to Other Govt Units</v>
      </c>
      <c r="E53" s="704"/>
      <c r="F53" s="1782">
        <f>'Expenditures 15-22'!K102</f>
        <v>2093014</v>
      </c>
      <c r="G53" s="701"/>
    </row>
    <row r="54" spans="1:7" x14ac:dyDescent="0.2">
      <c r="A54" s="705" t="s">
        <v>456</v>
      </c>
      <c r="B54" s="705" t="s">
        <v>1459</v>
      </c>
      <c r="C54" s="724" t="s">
        <v>975</v>
      </c>
      <c r="D54" s="720" t="s">
        <v>1086</v>
      </c>
      <c r="E54" s="704"/>
      <c r="F54" s="1782">
        <f>'Expenditures 15-22'!G114</f>
        <v>30063</v>
      </c>
      <c r="G54" s="701"/>
    </row>
    <row r="55" spans="1:7" x14ac:dyDescent="0.2">
      <c r="A55" s="705" t="s">
        <v>456</v>
      </c>
      <c r="B55" s="705" t="s">
        <v>1460</v>
      </c>
      <c r="C55" s="724" t="s">
        <v>975</v>
      </c>
      <c r="D55" s="720" t="s">
        <v>288</v>
      </c>
      <c r="E55" s="704"/>
      <c r="F55" s="1782">
        <f>'Expenditures 15-22'!I114</f>
        <v>195107</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431816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2187141</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13000</v>
      </c>
      <c r="G66" s="701"/>
    </row>
    <row r="67" spans="1:9" x14ac:dyDescent="0.2">
      <c r="A67" s="705" t="s">
        <v>459</v>
      </c>
      <c r="B67" s="705" t="s">
        <v>1863</v>
      </c>
      <c r="C67" s="721" t="str">
        <f>'Expenditures 15-22'!B216</f>
        <v>1125</v>
      </c>
      <c r="D67" s="727" t="str">
        <f>'Expenditures 15-22'!A216</f>
        <v>Pre-K Programs</v>
      </c>
      <c r="E67" s="704"/>
      <c r="F67" s="1782">
        <f>'Expenditures 15-22'!K216</f>
        <v>3448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5</v>
      </c>
      <c r="G71" s="701"/>
    </row>
    <row r="72" spans="1:9" x14ac:dyDescent="0.2">
      <c r="A72" s="705" t="s">
        <v>459</v>
      </c>
      <c r="B72" s="705" t="s">
        <v>1867</v>
      </c>
      <c r="C72" s="721">
        <f>'Expenditures 15-22'!B280</f>
        <v>3000</v>
      </c>
      <c r="D72" s="712" t="s">
        <v>446</v>
      </c>
      <c r="E72" s="704"/>
      <c r="F72" s="1782">
        <f>'Expenditures 15-22'!K280</f>
        <v>14817</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43436</v>
      </c>
      <c r="G73" s="701"/>
    </row>
    <row r="74" spans="1:9" x14ac:dyDescent="0.2">
      <c r="A74" s="705" t="s">
        <v>433</v>
      </c>
      <c r="B74" s="705" t="s">
        <v>1869</v>
      </c>
      <c r="C74" s="721" t="s">
        <v>855</v>
      </c>
      <c r="D74" s="722" t="s">
        <v>1470</v>
      </c>
      <c r="E74" s="704"/>
      <c r="F74" s="1786">
        <f>'Expenditures 15-22'!K334</f>
        <v>18297</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5745</v>
      </c>
      <c r="G76" s="703"/>
    </row>
    <row r="77" spans="1:9" ht="12" thickBot="1" x14ac:dyDescent="0.25">
      <c r="A77" s="1443"/>
      <c r="B77" s="1448"/>
      <c r="C77" s="1445"/>
      <c r="D77" s="1449" t="s">
        <v>2011</v>
      </c>
      <c r="E77" s="1447" t="s">
        <v>952</v>
      </c>
      <c r="F77" s="1787">
        <f>SUM(F18:F76)</f>
        <v>5320960</v>
      </c>
      <c r="G77" s="701"/>
    </row>
    <row r="78" spans="1:9" s="728" customFormat="1" ht="12" customHeight="1" thickTop="1" thickBot="1" x14ac:dyDescent="0.25">
      <c r="A78" s="1450"/>
      <c r="B78" s="1448"/>
      <c r="C78" s="1445"/>
      <c r="D78" s="1449" t="s">
        <v>2012</v>
      </c>
      <c r="E78" s="1447"/>
      <c r="F78" s="1788">
        <f>(F14-F77)</f>
        <v>22560793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2417.3000000000002</v>
      </c>
      <c r="G79" s="733"/>
      <c r="H79" s="705"/>
      <c r="I79" s="705"/>
    </row>
    <row r="80" spans="1:9" s="728" customFormat="1" ht="12" customHeight="1" thickBot="1" x14ac:dyDescent="0.25">
      <c r="A80" s="1452"/>
      <c r="B80" s="1448"/>
      <c r="C80" s="1445"/>
      <c r="D80" s="1449" t="s">
        <v>2013</v>
      </c>
      <c r="E80" s="1447" t="s">
        <v>952</v>
      </c>
      <c r="F80" s="1790">
        <f>IF(F79&gt;0,F78/F79," Complete Line 79")</f>
        <v>9333.0546477474854</v>
      </c>
      <c r="G80" s="705"/>
    </row>
    <row r="81" spans="1:7" s="728" customFormat="1" ht="8.25" customHeight="1" thickTop="1" x14ac:dyDescent="0.2">
      <c r="A81" s="734"/>
      <c r="B81" s="705"/>
      <c r="C81" s="707"/>
      <c r="D81" s="735"/>
      <c r="E81" s="704"/>
      <c r="F81" s="1791"/>
      <c r="G81" s="705"/>
    </row>
    <row r="82" spans="1:7" s="728" customFormat="1" ht="12" thickBot="1" x14ac:dyDescent="0.25">
      <c r="A82" s="2483" t="s">
        <v>1096</v>
      </c>
      <c r="B82" s="2484"/>
      <c r="C82" s="2484"/>
      <c r="D82" s="2484"/>
      <c r="E82" s="2484"/>
      <c r="F82" s="248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2384</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719973</v>
      </c>
      <c r="G95" s="745"/>
    </row>
    <row r="96" spans="1:7" x14ac:dyDescent="0.2">
      <c r="A96" s="741" t="s">
        <v>139</v>
      </c>
      <c r="B96" s="741" t="s">
        <v>174</v>
      </c>
      <c r="C96" s="743">
        <v>1700</v>
      </c>
      <c r="D96" s="751" t="str">
        <f>'Revenues 9-14'!A82</f>
        <v>Total District/School Activity Income</v>
      </c>
      <c r="E96" s="739"/>
      <c r="F96" s="1793">
        <f>SUM('Revenues 9-14'!C82,'Revenues 9-14'!D82)</f>
        <v>253610</v>
      </c>
      <c r="G96" s="745"/>
    </row>
    <row r="97" spans="1:7" x14ac:dyDescent="0.2">
      <c r="A97" s="741" t="s">
        <v>456</v>
      </c>
      <c r="B97" s="741" t="s">
        <v>175</v>
      </c>
      <c r="C97" s="743">
        <f>'Revenues 9-14'!B84</f>
        <v>1811</v>
      </c>
      <c r="D97" s="744" t="str">
        <f>'Revenues 9-14'!A84</f>
        <v>Rentals - Regular Textbooks</v>
      </c>
      <c r="E97" s="739"/>
      <c r="F97" s="1793">
        <f>'Revenues 9-14'!C84</f>
        <v>261260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47700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129522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26615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55616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3808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26793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1122852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456712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251549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11700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553412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44970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12932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26808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503040.65</v>
      </c>
      <c r="G172" s="760"/>
    </row>
    <row r="173" spans="1:7" x14ac:dyDescent="0.2">
      <c r="A173" s="1529" t="s">
        <v>659</v>
      </c>
      <c r="B173" s="1530" t="s">
        <v>1885</v>
      </c>
      <c r="C173" s="1531">
        <v>3300</v>
      </c>
      <c r="D173" s="1532" t="s">
        <v>1888</v>
      </c>
      <c r="E173" s="739"/>
      <c r="F173" s="1794">
        <v>44.5</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4561301.1500000004</v>
      </c>
    </row>
    <row r="176" spans="1:7" ht="12" customHeight="1" x14ac:dyDescent="0.2">
      <c r="A176" s="1443"/>
      <c r="B176" s="1453"/>
      <c r="C176" s="1454"/>
      <c r="D176" s="1455" t="s">
        <v>2014</v>
      </c>
      <c r="E176" s="1456"/>
      <c r="F176" s="1793">
        <f>'PCTC-OEPP 27-28'!F78-F175</f>
        <v>17999491.850000001</v>
      </c>
    </row>
    <row r="177" spans="1:9" ht="12" customHeight="1" x14ac:dyDescent="0.2">
      <c r="A177" s="1443"/>
      <c r="B177" s="1453"/>
      <c r="C177" s="1454"/>
      <c r="D177" s="1455" t="s">
        <v>1794</v>
      </c>
      <c r="E177" s="1456"/>
      <c r="F177" s="1793">
        <f>'Cap Outlay Deprec 26'!I18</f>
        <v>1484109.2</v>
      </c>
    </row>
    <row r="178" spans="1:9" ht="12" customHeight="1" x14ac:dyDescent="0.2">
      <c r="A178" s="1443"/>
      <c r="B178" s="1453"/>
      <c r="C178" s="1454"/>
      <c r="D178" s="1455" t="s">
        <v>2015</v>
      </c>
      <c r="E178" s="1456"/>
      <c r="F178" s="1793">
        <f>F176+F177</f>
        <v>19483601.050000001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2417.3000000000002</v>
      </c>
      <c r="G179" s="763"/>
      <c r="I179" s="701"/>
    </row>
    <row r="180" spans="1:9" ht="12" customHeight="1" thickBot="1" x14ac:dyDescent="0.25">
      <c r="A180" s="1443"/>
      <c r="B180" s="1457"/>
      <c r="C180" s="1454"/>
      <c r="D180" s="1455" t="s">
        <v>2017</v>
      </c>
      <c r="E180" s="1456" t="s">
        <v>1528</v>
      </c>
      <c r="F180" s="1798">
        <f>F178/F179</f>
        <v>8060.0674512886271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90" zoomScaleNormal="9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497" t="s">
        <v>1795</v>
      </c>
      <c r="B4" s="2498"/>
      <c r="C4" s="2498"/>
      <c r="D4" s="2498"/>
      <c r="E4" s="2498"/>
      <c r="F4" s="2499"/>
    </row>
    <row r="5" spans="1:6" x14ac:dyDescent="0.25">
      <c r="A5" s="2500"/>
      <c r="B5" s="2501"/>
      <c r="C5" s="2501"/>
      <c r="D5" s="2501"/>
      <c r="E5" s="2501"/>
      <c r="F5" s="2502"/>
    </row>
    <row r="6" spans="1:6" ht="18.75" x14ac:dyDescent="0.25">
      <c r="A6" s="1867" t="s">
        <v>1796</v>
      </c>
      <c r="B6" s="1868"/>
      <c r="C6" s="1869"/>
      <c r="D6" s="1869"/>
      <c r="E6" s="1869"/>
      <c r="F6" s="1870"/>
    </row>
    <row r="7" spans="1:6" ht="47.25" customHeight="1" x14ac:dyDescent="0.25">
      <c r="A7" s="2503" t="s">
        <v>1985</v>
      </c>
      <c r="B7" s="2504"/>
      <c r="C7" s="2504"/>
      <c r="D7" s="2504"/>
      <c r="E7" s="2504"/>
      <c r="F7" s="2505"/>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506" t="s">
        <v>1981</v>
      </c>
      <c r="B10" s="2507"/>
      <c r="C10" s="2507"/>
      <c r="D10" s="2507"/>
      <c r="E10" s="2507"/>
      <c r="F10" s="2508"/>
    </row>
    <row r="11" spans="1:6" ht="33" customHeight="1" x14ac:dyDescent="0.25">
      <c r="A11" s="2503" t="s">
        <v>1986</v>
      </c>
      <c r="B11" s="2504"/>
      <c r="C11" s="2504"/>
      <c r="D11" s="2504"/>
      <c r="E11" s="2504"/>
      <c r="F11" s="2505"/>
    </row>
    <row r="12" spans="1:6" ht="15" customHeight="1" x14ac:dyDescent="0.25">
      <c r="A12" s="1873" t="s">
        <v>1982</v>
      </c>
      <c r="B12" s="1874"/>
      <c r="C12" s="1875"/>
      <c r="D12" s="1875"/>
      <c r="E12" s="1875"/>
      <c r="F12" s="1876"/>
    </row>
    <row r="13" spans="1:6" ht="17.25" customHeight="1" x14ac:dyDescent="0.25">
      <c r="A13" s="2503" t="s">
        <v>1983</v>
      </c>
      <c r="B13" s="2504"/>
      <c r="C13" s="2504"/>
      <c r="D13" s="2504"/>
      <c r="E13" s="2504"/>
      <c r="F13" s="2505"/>
    </row>
    <row r="14" spans="1:6" ht="15" customHeight="1" x14ac:dyDescent="0.25">
      <c r="A14" s="1873" t="s">
        <v>1800</v>
      </c>
      <c r="B14" s="1874"/>
      <c r="C14" s="1875"/>
      <c r="D14" s="1875"/>
      <c r="E14" s="1875"/>
      <c r="F14" s="1876"/>
    </row>
    <row r="15" spans="1:6" ht="32.25" customHeight="1" x14ac:dyDescent="0.25">
      <c r="A15" s="24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5"/>
      <c r="C15" s="2495"/>
      <c r="D15" s="2495"/>
      <c r="E15" s="2495"/>
      <c r="F15" s="249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153" t="s">
        <v>2232</v>
      </c>
      <c r="B18" s="1907">
        <v>802300300</v>
      </c>
      <c r="C18" s="2154" t="s">
        <v>2233</v>
      </c>
      <c r="D18" s="1886">
        <v>52303</v>
      </c>
      <c r="E18" s="1905" t="str">
        <f>IF(D18&lt;25000,D18,"25,000")</f>
        <v>25,000</v>
      </c>
      <c r="F18" s="1905">
        <f t="shared" ref="F18:F81" si="0">IF(D18&gt;=25000,(D18-E18),"0")</f>
        <v>27303</v>
      </c>
      <c r="G18" s="1887"/>
    </row>
    <row r="19" spans="1:7" x14ac:dyDescent="0.25">
      <c r="A19" s="2153" t="s">
        <v>2234</v>
      </c>
      <c r="B19" s="1907">
        <v>102560400</v>
      </c>
      <c r="C19" s="2154" t="s">
        <v>2235</v>
      </c>
      <c r="D19" s="1886">
        <v>26541</v>
      </c>
      <c r="E19" s="1905" t="str">
        <f t="shared" ref="E19:E81" si="1">IF(D19&lt;25000,D19,"25,000")</f>
        <v>25,000</v>
      </c>
      <c r="F19" s="1905">
        <f t="shared" si="0"/>
        <v>1541</v>
      </c>
    </row>
    <row r="20" spans="1:7" x14ac:dyDescent="0.25">
      <c r="A20" s="2153" t="s">
        <v>2236</v>
      </c>
      <c r="B20" s="1907">
        <v>102200300</v>
      </c>
      <c r="C20" s="2154" t="s">
        <v>2237</v>
      </c>
      <c r="D20" s="1886">
        <v>45953</v>
      </c>
      <c r="E20" s="1905" t="str">
        <f t="shared" si="1"/>
        <v>25,000</v>
      </c>
      <c r="F20" s="1905">
        <f t="shared" si="0"/>
        <v>20953</v>
      </c>
    </row>
    <row r="21" spans="1:7" x14ac:dyDescent="0.25">
      <c r="A21" s="2153" t="s">
        <v>2239</v>
      </c>
      <c r="B21" s="1907">
        <v>202540300</v>
      </c>
      <c r="C21" s="2154" t="s">
        <v>2238</v>
      </c>
      <c r="D21" s="1886">
        <v>39965</v>
      </c>
      <c r="E21" s="1905" t="str">
        <f t="shared" si="1"/>
        <v>25,000</v>
      </c>
      <c r="F21" s="1905">
        <f t="shared" si="0"/>
        <v>14965</v>
      </c>
    </row>
    <row r="22" spans="1:7" x14ac:dyDescent="0.25">
      <c r="A22" s="2153" t="s">
        <v>2236</v>
      </c>
      <c r="B22" s="1907">
        <v>102520300</v>
      </c>
      <c r="C22" s="2154" t="s">
        <v>2240</v>
      </c>
      <c r="D22" s="1886">
        <v>70063</v>
      </c>
      <c r="E22" s="1905" t="str">
        <f t="shared" si="1"/>
        <v>25,000</v>
      </c>
      <c r="F22" s="1905">
        <f t="shared" si="0"/>
        <v>45063</v>
      </c>
    </row>
    <row r="23" spans="1:7" ht="15" customHeight="1" x14ac:dyDescent="0.25">
      <c r="A23" s="2155" t="s">
        <v>2241</v>
      </c>
      <c r="B23" s="1907">
        <v>402550300</v>
      </c>
      <c r="C23" s="2154" t="s">
        <v>2242</v>
      </c>
      <c r="D23" s="1886">
        <v>1814482</v>
      </c>
      <c r="E23" s="1905" t="str">
        <f t="shared" si="1"/>
        <v>25,000</v>
      </c>
      <c r="F23" s="1905">
        <f t="shared" si="0"/>
        <v>1789482</v>
      </c>
    </row>
    <row r="24" spans="1:7" x14ac:dyDescent="0.25">
      <c r="A24" s="2153" t="s">
        <v>2243</v>
      </c>
      <c r="B24" s="1907">
        <v>102660300</v>
      </c>
      <c r="C24" s="2154" t="s">
        <v>2244</v>
      </c>
      <c r="D24" s="1886">
        <v>40714</v>
      </c>
      <c r="E24" s="1905" t="str">
        <f t="shared" si="1"/>
        <v>25,000</v>
      </c>
      <c r="F24" s="1905">
        <f t="shared" si="0"/>
        <v>15714</v>
      </c>
    </row>
    <row r="25" spans="1:7" x14ac:dyDescent="0.25">
      <c r="A25" s="2153" t="s">
        <v>2246</v>
      </c>
      <c r="B25" s="1907">
        <v>402550400</v>
      </c>
      <c r="C25" s="2154" t="s">
        <v>2245</v>
      </c>
      <c r="D25" s="1886">
        <v>142111</v>
      </c>
      <c r="E25" s="1905" t="str">
        <f t="shared" si="1"/>
        <v>25,000</v>
      </c>
      <c r="F25" s="1905">
        <f t="shared" si="0"/>
        <v>117111</v>
      </c>
    </row>
    <row r="26" spans="1:7" hidden="1" x14ac:dyDescent="0.25">
      <c r="A26" s="1888"/>
      <c r="B26" s="1907"/>
      <c r="C26" s="1885"/>
      <c r="D26" s="1886"/>
      <c r="E26" s="1905">
        <f t="shared" si="1"/>
        <v>0</v>
      </c>
      <c r="F26" s="1905" t="str">
        <f t="shared" si="0"/>
        <v>0</v>
      </c>
    </row>
    <row r="27" spans="1:7" hidden="1" x14ac:dyDescent="0.25">
      <c r="A27" s="1888"/>
      <c r="B27" s="1907"/>
      <c r="C27" s="2156"/>
      <c r="D27" s="1886"/>
      <c r="E27" s="1905">
        <f t="shared" si="1"/>
        <v>0</v>
      </c>
      <c r="F27" s="1905" t="str">
        <f t="shared" si="0"/>
        <v>0</v>
      </c>
    </row>
    <row r="28" spans="1:7" hidden="1" x14ac:dyDescent="0.25">
      <c r="A28" s="1888"/>
      <c r="B28" s="1907"/>
      <c r="C28" s="1889"/>
      <c r="D28" s="1886"/>
      <c r="E28" s="1905">
        <f t="shared" si="1"/>
        <v>0</v>
      </c>
      <c r="F28" s="1905" t="str">
        <f t="shared" si="0"/>
        <v>0</v>
      </c>
    </row>
    <row r="29" spans="1:7" hidden="1" x14ac:dyDescent="0.25">
      <c r="A29" s="1888"/>
      <c r="B29" s="1907"/>
      <c r="C29" s="1889"/>
      <c r="D29" s="1886"/>
      <c r="E29" s="1905">
        <f t="shared" si="1"/>
        <v>0</v>
      </c>
      <c r="F29" s="1905" t="str">
        <f t="shared" si="0"/>
        <v>0</v>
      </c>
    </row>
    <row r="30" spans="1:7" hidden="1" x14ac:dyDescent="0.25">
      <c r="A30" s="1888"/>
      <c r="B30" s="1907"/>
      <c r="C30" s="1889"/>
      <c r="D30" s="1886"/>
      <c r="E30" s="1905">
        <f t="shared" si="1"/>
        <v>0</v>
      </c>
      <c r="F30" s="1905" t="str">
        <f t="shared" si="0"/>
        <v>0</v>
      </c>
    </row>
    <row r="31" spans="1:7" hidden="1" x14ac:dyDescent="0.25">
      <c r="A31" s="1888"/>
      <c r="B31" s="1907"/>
      <c r="C31" s="1889"/>
      <c r="D31" s="1886"/>
      <c r="E31" s="1905">
        <f t="shared" si="1"/>
        <v>0</v>
      </c>
      <c r="F31" s="1905" t="str">
        <f t="shared" si="0"/>
        <v>0</v>
      </c>
    </row>
    <row r="32" spans="1:7" hidden="1" x14ac:dyDescent="0.25">
      <c r="A32" s="1888"/>
      <c r="B32" s="1907"/>
      <c r="C32" s="1889"/>
      <c r="D32" s="1886"/>
      <c r="E32" s="1905">
        <f t="shared" si="1"/>
        <v>0</v>
      </c>
      <c r="F32" s="1905" t="str">
        <f t="shared" si="0"/>
        <v>0</v>
      </c>
    </row>
    <row r="33" spans="1:6" hidden="1" x14ac:dyDescent="0.25">
      <c r="A33" s="1888"/>
      <c r="B33" s="1907"/>
      <c r="C33" s="1889"/>
      <c r="D33" s="1886"/>
      <c r="E33" s="1905">
        <f t="shared" si="1"/>
        <v>0</v>
      </c>
      <c r="F33" s="1905" t="str">
        <f t="shared" si="0"/>
        <v>0</v>
      </c>
    </row>
    <row r="34" spans="1:6" hidden="1" x14ac:dyDescent="0.25">
      <c r="A34" s="1888"/>
      <c r="B34" s="1907"/>
      <c r="C34" s="1889"/>
      <c r="D34" s="1886"/>
      <c r="E34" s="1905">
        <f t="shared" si="1"/>
        <v>0</v>
      </c>
      <c r="F34" s="1905" t="str">
        <f t="shared" si="0"/>
        <v>0</v>
      </c>
    </row>
    <row r="35" spans="1:6" hidden="1" x14ac:dyDescent="0.25">
      <c r="A35" s="1888"/>
      <c r="B35" s="1907"/>
      <c r="C35" s="1889"/>
      <c r="D35" s="1886"/>
      <c r="E35" s="1905">
        <f t="shared" si="1"/>
        <v>0</v>
      </c>
      <c r="F35" s="1905" t="str">
        <f t="shared" si="0"/>
        <v>0</v>
      </c>
    </row>
    <row r="36" spans="1:6" hidden="1" x14ac:dyDescent="0.25">
      <c r="A36" s="1888"/>
      <c r="B36" s="1907"/>
      <c r="C36" s="1889"/>
      <c r="D36" s="1886"/>
      <c r="E36" s="1905">
        <f t="shared" si="1"/>
        <v>0</v>
      </c>
      <c r="F36" s="1905" t="str">
        <f t="shared" si="0"/>
        <v>0</v>
      </c>
    </row>
    <row r="37" spans="1:6" hidden="1" x14ac:dyDescent="0.25">
      <c r="A37" s="1888"/>
      <c r="B37" s="1907"/>
      <c r="C37" s="1889"/>
      <c r="D37" s="1886"/>
      <c r="E37" s="1905">
        <f t="shared" si="1"/>
        <v>0</v>
      </c>
      <c r="F37" s="1905" t="str">
        <f t="shared" si="0"/>
        <v>0</v>
      </c>
    </row>
    <row r="38" spans="1:6" hidden="1" x14ac:dyDescent="0.25">
      <c r="A38" s="1888"/>
      <c r="B38" s="1907"/>
      <c r="C38" s="1889"/>
      <c r="D38" s="1886"/>
      <c r="E38" s="1905">
        <f t="shared" si="1"/>
        <v>0</v>
      </c>
      <c r="F38" s="1905" t="str">
        <f t="shared" si="0"/>
        <v>0</v>
      </c>
    </row>
    <row r="39" spans="1:6" hidden="1" x14ac:dyDescent="0.25">
      <c r="A39" s="1888"/>
      <c r="B39" s="1908"/>
      <c r="C39" s="1889"/>
      <c r="D39" s="1886"/>
      <c r="E39" s="1905">
        <f t="shared" si="1"/>
        <v>0</v>
      </c>
      <c r="F39" s="1905" t="str">
        <f t="shared" si="0"/>
        <v>0</v>
      </c>
    </row>
    <row r="40" spans="1:6" hidden="1" x14ac:dyDescent="0.25">
      <c r="A40" s="1888"/>
      <c r="B40" s="1908"/>
      <c r="C40" s="1889"/>
      <c r="D40" s="1886"/>
      <c r="E40" s="1905">
        <f t="shared" si="1"/>
        <v>0</v>
      </c>
      <c r="F40" s="1905" t="str">
        <f t="shared" si="0"/>
        <v>0</v>
      </c>
    </row>
    <row r="41" spans="1:6" hidden="1" x14ac:dyDescent="0.25">
      <c r="A41" s="1888"/>
      <c r="B41" s="1908"/>
      <c r="C41" s="1889"/>
      <c r="D41" s="1886"/>
      <c r="E41" s="1905">
        <f t="shared" si="1"/>
        <v>0</v>
      </c>
      <c r="F41" s="1905" t="str">
        <f t="shared" si="0"/>
        <v>0</v>
      </c>
    </row>
    <row r="42" spans="1:6" hidden="1" x14ac:dyDescent="0.25">
      <c r="A42" s="1888"/>
      <c r="B42" s="1908"/>
      <c r="C42" s="1889"/>
      <c r="D42" s="1886"/>
      <c r="E42" s="1905">
        <f t="shared" si="1"/>
        <v>0</v>
      </c>
      <c r="F42" s="1905" t="str">
        <f t="shared" si="0"/>
        <v>0</v>
      </c>
    </row>
    <row r="43" spans="1:6" hidden="1" x14ac:dyDescent="0.25">
      <c r="A43" s="1888"/>
      <c r="B43" s="1908"/>
      <c r="C43" s="1889"/>
      <c r="D43" s="1886"/>
      <c r="E43" s="1905">
        <f t="shared" si="1"/>
        <v>0</v>
      </c>
      <c r="F43" s="1905" t="str">
        <f t="shared" si="0"/>
        <v>0</v>
      </c>
    </row>
    <row r="44" spans="1:6" hidden="1" x14ac:dyDescent="0.25">
      <c r="A44" s="1888"/>
      <c r="B44" s="1908"/>
      <c r="C44" s="1889"/>
      <c r="D44" s="1886"/>
      <c r="E44" s="1905">
        <f t="shared" si="1"/>
        <v>0</v>
      </c>
      <c r="F44" s="1905" t="str">
        <f t="shared" si="0"/>
        <v>0</v>
      </c>
    </row>
    <row r="45" spans="1:6" hidden="1" x14ac:dyDescent="0.25">
      <c r="A45" s="1888"/>
      <c r="B45" s="1908"/>
      <c r="C45" s="1889"/>
      <c r="D45" s="1886"/>
      <c r="E45" s="1905">
        <f t="shared" si="1"/>
        <v>0</v>
      </c>
      <c r="F45" s="1905" t="str">
        <f t="shared" si="0"/>
        <v>0</v>
      </c>
    </row>
    <row r="46" spans="1:6" hidden="1" x14ac:dyDescent="0.25">
      <c r="A46" s="1888"/>
      <c r="B46" s="1908"/>
      <c r="C46" s="1889"/>
      <c r="D46" s="1886"/>
      <c r="E46" s="1905">
        <f t="shared" si="1"/>
        <v>0</v>
      </c>
      <c r="F46" s="1905" t="str">
        <f t="shared" si="0"/>
        <v>0</v>
      </c>
    </row>
    <row r="47" spans="1:6" hidden="1" x14ac:dyDescent="0.25">
      <c r="A47" s="1888"/>
      <c r="B47" s="1908"/>
      <c r="C47" s="1889"/>
      <c r="D47" s="1886"/>
      <c r="E47" s="1905">
        <f t="shared" si="1"/>
        <v>0</v>
      </c>
      <c r="F47" s="1905" t="str">
        <f t="shared" si="0"/>
        <v>0</v>
      </c>
    </row>
    <row r="48" spans="1:6" hidden="1" x14ac:dyDescent="0.25">
      <c r="A48" s="1888"/>
      <c r="B48" s="1908"/>
      <c r="C48" s="1889"/>
      <c r="D48" s="1886"/>
      <c r="E48" s="1905">
        <f t="shared" si="1"/>
        <v>0</v>
      </c>
      <c r="F48" s="1905" t="str">
        <f t="shared" si="0"/>
        <v>0</v>
      </c>
    </row>
    <row r="49" spans="1:6" hidden="1" x14ac:dyDescent="0.25">
      <c r="A49" s="1888"/>
      <c r="B49" s="1908"/>
      <c r="C49" s="1889"/>
      <c r="D49" s="1886"/>
      <c r="E49" s="1905">
        <f t="shared" si="1"/>
        <v>0</v>
      </c>
      <c r="F49" s="1905" t="str">
        <f t="shared" si="0"/>
        <v>0</v>
      </c>
    </row>
    <row r="50" spans="1:6" hidden="1" x14ac:dyDescent="0.25">
      <c r="A50" s="1888"/>
      <c r="B50" s="1908"/>
      <c r="C50" s="1889"/>
      <c r="D50" s="1886"/>
      <c r="E50" s="1905">
        <f t="shared" si="1"/>
        <v>0</v>
      </c>
      <c r="F50" s="1905" t="str">
        <f t="shared" si="0"/>
        <v>0</v>
      </c>
    </row>
    <row r="51" spans="1:6" hidden="1" x14ac:dyDescent="0.25">
      <c r="A51" s="1888"/>
      <c r="B51" s="1908"/>
      <c r="C51" s="1889"/>
      <c r="D51" s="1886"/>
      <c r="E51" s="1905">
        <f t="shared" si="1"/>
        <v>0</v>
      </c>
      <c r="F51" s="1905" t="str">
        <f t="shared" si="0"/>
        <v>0</v>
      </c>
    </row>
    <row r="52" spans="1:6" hidden="1" x14ac:dyDescent="0.25">
      <c r="A52" s="1888"/>
      <c r="B52" s="1908"/>
      <c r="C52" s="1889"/>
      <c r="D52" s="1886"/>
      <c r="E52" s="1905">
        <f t="shared" si="1"/>
        <v>0</v>
      </c>
      <c r="F52" s="1905" t="str">
        <f t="shared" si="0"/>
        <v>0</v>
      </c>
    </row>
    <row r="53" spans="1:6" hidden="1" x14ac:dyDescent="0.25">
      <c r="A53" s="1888"/>
      <c r="B53" s="1908"/>
      <c r="C53" s="1889"/>
      <c r="D53" s="1886"/>
      <c r="E53" s="1905">
        <f t="shared" si="1"/>
        <v>0</v>
      </c>
      <c r="F53" s="1905" t="str">
        <f t="shared" si="0"/>
        <v>0</v>
      </c>
    </row>
    <row r="54" spans="1:6" hidden="1" x14ac:dyDescent="0.25">
      <c r="A54" s="1888"/>
      <c r="B54" s="1908"/>
      <c r="C54" s="1889"/>
      <c r="D54" s="1886"/>
      <c r="E54" s="1905">
        <f t="shared" si="1"/>
        <v>0</v>
      </c>
      <c r="F54" s="1905" t="str">
        <f t="shared" si="0"/>
        <v>0</v>
      </c>
    </row>
    <row r="55" spans="1:6" hidden="1" x14ac:dyDescent="0.25">
      <c r="A55" s="1888"/>
      <c r="B55" s="1908"/>
      <c r="C55" s="1889"/>
      <c r="D55" s="1886"/>
      <c r="E55" s="1905">
        <f t="shared" si="1"/>
        <v>0</v>
      </c>
      <c r="F55" s="1905" t="str">
        <f t="shared" si="0"/>
        <v>0</v>
      </c>
    </row>
    <row r="56" spans="1:6" hidden="1" x14ac:dyDescent="0.25">
      <c r="A56" s="1888"/>
      <c r="B56" s="1908"/>
      <c r="C56" s="1889"/>
      <c r="D56" s="1886"/>
      <c r="E56" s="1905">
        <f t="shared" si="1"/>
        <v>0</v>
      </c>
      <c r="F56" s="1905" t="str">
        <f t="shared" si="0"/>
        <v>0</v>
      </c>
    </row>
    <row r="57" spans="1:6" hidden="1" x14ac:dyDescent="0.25">
      <c r="A57" s="1888"/>
      <c r="B57" s="1908"/>
      <c r="C57" s="1889"/>
      <c r="D57" s="1886"/>
      <c r="E57" s="1905">
        <f t="shared" si="1"/>
        <v>0</v>
      </c>
      <c r="F57" s="1905" t="str">
        <f t="shared" si="0"/>
        <v>0</v>
      </c>
    </row>
    <row r="58" spans="1:6" hidden="1" x14ac:dyDescent="0.25">
      <c r="A58" s="1888"/>
      <c r="B58" s="1908"/>
      <c r="C58" s="1889"/>
      <c r="D58" s="1886"/>
      <c r="E58" s="1905">
        <f t="shared" si="1"/>
        <v>0</v>
      </c>
      <c r="F58" s="1905" t="str">
        <f t="shared" si="0"/>
        <v>0</v>
      </c>
    </row>
    <row r="59" spans="1:6" hidden="1" x14ac:dyDescent="0.25">
      <c r="A59" s="1888"/>
      <c r="B59" s="1908"/>
      <c r="C59" s="1889"/>
      <c r="D59" s="1886"/>
      <c r="E59" s="1905">
        <f t="shared" si="1"/>
        <v>0</v>
      </c>
      <c r="F59" s="1905" t="str">
        <f t="shared" si="0"/>
        <v>0</v>
      </c>
    </row>
    <row r="60" spans="1:6" hidden="1" x14ac:dyDescent="0.25">
      <c r="A60" s="1888"/>
      <c r="B60" s="1908"/>
      <c r="C60" s="1889"/>
      <c r="D60" s="1886"/>
      <c r="E60" s="1905">
        <f t="shared" si="1"/>
        <v>0</v>
      </c>
      <c r="F60" s="1905" t="str">
        <f t="shared" si="0"/>
        <v>0</v>
      </c>
    </row>
    <row r="61" spans="1:6" hidden="1" x14ac:dyDescent="0.25">
      <c r="A61" s="1888"/>
      <c r="B61" s="1908"/>
      <c r="C61" s="1889"/>
      <c r="D61" s="1886"/>
      <c r="E61" s="1905">
        <f t="shared" si="1"/>
        <v>0</v>
      </c>
      <c r="F61" s="1905" t="str">
        <f t="shared" si="0"/>
        <v>0</v>
      </c>
    </row>
    <row r="62" spans="1:6" hidden="1" x14ac:dyDescent="0.25">
      <c r="A62" s="1888"/>
      <c r="B62" s="1908"/>
      <c r="C62" s="1889"/>
      <c r="D62" s="1886"/>
      <c r="E62" s="1905">
        <f t="shared" si="1"/>
        <v>0</v>
      </c>
      <c r="F62" s="1905" t="str">
        <f t="shared" si="0"/>
        <v>0</v>
      </c>
    </row>
    <row r="63" spans="1:6" hidden="1" x14ac:dyDescent="0.25">
      <c r="A63" s="1888"/>
      <c r="B63" s="1908"/>
      <c r="C63" s="1889"/>
      <c r="D63" s="1886"/>
      <c r="E63" s="1905">
        <f t="shared" si="1"/>
        <v>0</v>
      </c>
      <c r="F63" s="1905" t="str">
        <f t="shared" si="0"/>
        <v>0</v>
      </c>
    </row>
    <row r="64" spans="1:6" hidden="1" x14ac:dyDescent="0.25">
      <c r="A64" s="1888"/>
      <c r="B64" s="1908"/>
      <c r="C64" s="1889"/>
      <c r="D64" s="1886"/>
      <c r="E64" s="1905">
        <f t="shared" si="1"/>
        <v>0</v>
      </c>
      <c r="F64" s="1905" t="str">
        <f t="shared" si="0"/>
        <v>0</v>
      </c>
    </row>
    <row r="65" spans="1:6" hidden="1" x14ac:dyDescent="0.25">
      <c r="A65" s="1884"/>
      <c r="B65" s="1908"/>
      <c r="C65" s="1885"/>
      <c r="D65" s="1886"/>
      <c r="E65" s="1905">
        <f t="shared" si="1"/>
        <v>0</v>
      </c>
      <c r="F65" s="1905" t="str">
        <f t="shared" si="0"/>
        <v>0</v>
      </c>
    </row>
    <row r="66" spans="1:6" hidden="1" x14ac:dyDescent="0.25">
      <c r="A66" s="1888"/>
      <c r="B66" s="1908"/>
      <c r="C66" s="1889"/>
      <c r="D66" s="1886"/>
      <c r="E66" s="1905">
        <f t="shared" si="1"/>
        <v>0</v>
      </c>
      <c r="F66" s="1905" t="str">
        <f t="shared" si="0"/>
        <v>0</v>
      </c>
    </row>
    <row r="67" spans="1:6" hidden="1" x14ac:dyDescent="0.25">
      <c r="A67" s="1888"/>
      <c r="B67" s="1908"/>
      <c r="C67" s="1889"/>
      <c r="D67" s="1886"/>
      <c r="E67" s="1905">
        <f t="shared" si="1"/>
        <v>0</v>
      </c>
      <c r="F67" s="1905" t="str">
        <f t="shared" si="0"/>
        <v>0</v>
      </c>
    </row>
    <row r="68" spans="1:6" hidden="1" x14ac:dyDescent="0.25">
      <c r="A68" s="1888"/>
      <c r="B68" s="1908"/>
      <c r="C68" s="1889"/>
      <c r="D68" s="1886"/>
      <c r="E68" s="1905">
        <f t="shared" si="1"/>
        <v>0</v>
      </c>
      <c r="F68" s="1905" t="str">
        <f t="shared" si="0"/>
        <v>0</v>
      </c>
    </row>
    <row r="69" spans="1:6" hidden="1" x14ac:dyDescent="0.25">
      <c r="A69" s="1888"/>
      <c r="B69" s="1908"/>
      <c r="C69" s="1889"/>
      <c r="D69" s="1886"/>
      <c r="E69" s="1905">
        <f t="shared" si="1"/>
        <v>0</v>
      </c>
      <c r="F69" s="1905" t="str">
        <f t="shared" si="0"/>
        <v>0</v>
      </c>
    </row>
    <row r="70" spans="1:6" hidden="1" x14ac:dyDescent="0.25">
      <c r="A70" s="1888"/>
      <c r="B70" s="1908"/>
      <c r="C70" s="1889"/>
      <c r="D70" s="1886"/>
      <c r="E70" s="1905">
        <f t="shared" si="1"/>
        <v>0</v>
      </c>
      <c r="F70" s="1905" t="str">
        <f t="shared" si="0"/>
        <v>0</v>
      </c>
    </row>
    <row r="71" spans="1:6" hidden="1" x14ac:dyDescent="0.25">
      <c r="A71" s="1888"/>
      <c r="B71" s="1908"/>
      <c r="C71" s="1889"/>
      <c r="D71" s="1886"/>
      <c r="E71" s="1905">
        <f t="shared" si="1"/>
        <v>0</v>
      </c>
      <c r="F71" s="1905" t="str">
        <f t="shared" si="0"/>
        <v>0</v>
      </c>
    </row>
    <row r="72" spans="1:6" hidden="1" x14ac:dyDescent="0.25">
      <c r="A72" s="1888"/>
      <c r="B72" s="1908"/>
      <c r="C72" s="1889"/>
      <c r="D72" s="1886"/>
      <c r="E72" s="1905">
        <f t="shared" si="1"/>
        <v>0</v>
      </c>
      <c r="F72" s="1905" t="str">
        <f t="shared" si="0"/>
        <v>0</v>
      </c>
    </row>
    <row r="73" spans="1:6" hidden="1" x14ac:dyDescent="0.25">
      <c r="A73" s="1888"/>
      <c r="B73" s="1908"/>
      <c r="C73" s="1889"/>
      <c r="D73" s="1886"/>
      <c r="E73" s="1905">
        <f t="shared" si="1"/>
        <v>0</v>
      </c>
      <c r="F73" s="1905" t="str">
        <f t="shared" si="0"/>
        <v>0</v>
      </c>
    </row>
    <row r="74" spans="1:6" hidden="1" x14ac:dyDescent="0.25">
      <c r="A74" s="1888"/>
      <c r="B74" s="1908"/>
      <c r="C74" s="1889"/>
      <c r="D74" s="1886"/>
      <c r="E74" s="1905">
        <f t="shared" si="1"/>
        <v>0</v>
      </c>
      <c r="F74" s="1905" t="str">
        <f t="shared" si="0"/>
        <v>0</v>
      </c>
    </row>
    <row r="75" spans="1:6" hidden="1" x14ac:dyDescent="0.25">
      <c r="A75" s="1888"/>
      <c r="B75" s="1908"/>
      <c r="C75" s="1889"/>
      <c r="D75" s="1886"/>
      <c r="E75" s="1905">
        <f t="shared" si="1"/>
        <v>0</v>
      </c>
      <c r="F75" s="1905" t="str">
        <f t="shared" si="0"/>
        <v>0</v>
      </c>
    </row>
    <row r="76" spans="1:6" hidden="1" x14ac:dyDescent="0.25">
      <c r="A76" s="1888"/>
      <c r="B76" s="1908"/>
      <c r="C76" s="1889"/>
      <c r="D76" s="1886"/>
      <c r="E76" s="1905">
        <f t="shared" si="1"/>
        <v>0</v>
      </c>
      <c r="F76" s="1905" t="str">
        <f t="shared" si="0"/>
        <v>0</v>
      </c>
    </row>
    <row r="77" spans="1:6" hidden="1" x14ac:dyDescent="0.25">
      <c r="A77" s="1888"/>
      <c r="B77" s="1908"/>
      <c r="C77" s="1889"/>
      <c r="D77" s="1886"/>
      <c r="E77" s="1905">
        <f t="shared" si="1"/>
        <v>0</v>
      </c>
      <c r="F77" s="1905" t="str">
        <f t="shared" si="0"/>
        <v>0</v>
      </c>
    </row>
    <row r="78" spans="1:6" hidden="1" x14ac:dyDescent="0.25">
      <c r="A78" s="1888"/>
      <c r="B78" s="1908"/>
      <c r="C78" s="1889"/>
      <c r="D78" s="1886"/>
      <c r="E78" s="1905">
        <f t="shared" si="1"/>
        <v>0</v>
      </c>
      <c r="F78" s="1905" t="str">
        <f t="shared" si="0"/>
        <v>0</v>
      </c>
    </row>
    <row r="79" spans="1:6" hidden="1" x14ac:dyDescent="0.25">
      <c r="A79" s="1888"/>
      <c r="B79" s="1908"/>
      <c r="C79" s="1889"/>
      <c r="D79" s="1886"/>
      <c r="E79" s="1905">
        <f t="shared" si="1"/>
        <v>0</v>
      </c>
      <c r="F79" s="1905" t="str">
        <f t="shared" si="0"/>
        <v>0</v>
      </c>
    </row>
    <row r="80" spans="1:6" hidden="1" x14ac:dyDescent="0.25">
      <c r="A80" s="1888"/>
      <c r="B80" s="1908"/>
      <c r="C80" s="1889"/>
      <c r="D80" s="1886"/>
      <c r="E80" s="1905">
        <f t="shared" si="1"/>
        <v>0</v>
      </c>
      <c r="F80" s="1905" t="str">
        <f t="shared" si="0"/>
        <v>0</v>
      </c>
    </row>
    <row r="81" spans="1:6" hidden="1" x14ac:dyDescent="0.25">
      <c r="A81" s="1888"/>
      <c r="B81" s="1908"/>
      <c r="C81" s="1889"/>
      <c r="D81" s="1886"/>
      <c r="E81" s="1905">
        <f t="shared" si="1"/>
        <v>0</v>
      </c>
      <c r="F81" s="1905" t="str">
        <f t="shared" si="0"/>
        <v>0</v>
      </c>
    </row>
    <row r="82" spans="1:6" hidden="1" x14ac:dyDescent="0.25">
      <c r="A82" s="1888"/>
      <c r="B82" s="1908"/>
      <c r="C82" s="1889"/>
      <c r="D82" s="1886"/>
      <c r="E82" s="1905">
        <f t="shared" ref="E82:E141" si="2">IF(D82&lt;25000,D82,"25,000")</f>
        <v>0</v>
      </c>
      <c r="F82" s="1905" t="str">
        <f t="shared" ref="F82:F141" si="3">IF(D82&gt;=25000,(D82-E82),"0")</f>
        <v>0</v>
      </c>
    </row>
    <row r="83" spans="1:6" hidden="1" x14ac:dyDescent="0.25">
      <c r="A83" s="1888"/>
      <c r="B83" s="1908"/>
      <c r="C83" s="1889"/>
      <c r="D83" s="1886"/>
      <c r="E83" s="1905">
        <f t="shared" si="2"/>
        <v>0</v>
      </c>
      <c r="F83" s="1905" t="str">
        <f t="shared" si="3"/>
        <v>0</v>
      </c>
    </row>
    <row r="84" spans="1:6" hidden="1" x14ac:dyDescent="0.25">
      <c r="A84" s="1888"/>
      <c r="B84" s="1908"/>
      <c r="C84" s="1889"/>
      <c r="D84" s="1886"/>
      <c r="E84" s="1905">
        <f t="shared" si="2"/>
        <v>0</v>
      </c>
      <c r="F84" s="1905" t="str">
        <f t="shared" si="3"/>
        <v>0</v>
      </c>
    </row>
    <row r="85" spans="1:6" hidden="1" x14ac:dyDescent="0.25">
      <c r="A85" s="1888"/>
      <c r="B85" s="1908"/>
      <c r="C85" s="1889"/>
      <c r="D85" s="1886"/>
      <c r="E85" s="1905">
        <f t="shared" si="2"/>
        <v>0</v>
      </c>
      <c r="F85" s="1905" t="str">
        <f t="shared" si="3"/>
        <v>0</v>
      </c>
    </row>
    <row r="86" spans="1:6" hidden="1" x14ac:dyDescent="0.25">
      <c r="A86" s="1888"/>
      <c r="B86" s="1908"/>
      <c r="C86" s="1889"/>
      <c r="D86" s="1886"/>
      <c r="E86" s="1905">
        <f t="shared" si="2"/>
        <v>0</v>
      </c>
      <c r="F86" s="1905" t="str">
        <f t="shared" si="3"/>
        <v>0</v>
      </c>
    </row>
    <row r="87" spans="1:6" hidden="1" x14ac:dyDescent="0.25">
      <c r="A87" s="1888"/>
      <c r="B87" s="1908"/>
      <c r="C87" s="1889"/>
      <c r="D87" s="1886"/>
      <c r="E87" s="1905">
        <f t="shared" si="2"/>
        <v>0</v>
      </c>
      <c r="F87" s="1905" t="str">
        <f t="shared" si="3"/>
        <v>0</v>
      </c>
    </row>
    <row r="88" spans="1:6" hidden="1" x14ac:dyDescent="0.25">
      <c r="A88" s="1888"/>
      <c r="B88" s="1908"/>
      <c r="C88" s="1889"/>
      <c r="D88" s="1886"/>
      <c r="E88" s="1905">
        <f t="shared" si="2"/>
        <v>0</v>
      </c>
      <c r="F88" s="1905" t="str">
        <f t="shared" si="3"/>
        <v>0</v>
      </c>
    </row>
    <row r="89" spans="1:6" hidden="1" x14ac:dyDescent="0.25">
      <c r="A89" s="1888"/>
      <c r="B89" s="1908"/>
      <c r="C89" s="1889"/>
      <c r="D89" s="1886"/>
      <c r="E89" s="1905">
        <f t="shared" si="2"/>
        <v>0</v>
      </c>
      <c r="F89" s="1905" t="str">
        <f t="shared" si="3"/>
        <v>0</v>
      </c>
    </row>
    <row r="90" spans="1:6" hidden="1" x14ac:dyDescent="0.25">
      <c r="A90" s="1888"/>
      <c r="B90" s="1908"/>
      <c r="C90" s="1889"/>
      <c r="D90" s="1886"/>
      <c r="E90" s="1905">
        <f t="shared" si="2"/>
        <v>0</v>
      </c>
      <c r="F90" s="1905" t="str">
        <f t="shared" si="3"/>
        <v>0</v>
      </c>
    </row>
    <row r="91" spans="1:6" hidden="1" x14ac:dyDescent="0.25">
      <c r="A91" s="1888"/>
      <c r="B91" s="1908"/>
      <c r="C91" s="1889"/>
      <c r="D91" s="1886"/>
      <c r="E91" s="1905">
        <f t="shared" si="2"/>
        <v>0</v>
      </c>
      <c r="F91" s="1905" t="str">
        <f t="shared" si="3"/>
        <v>0</v>
      </c>
    </row>
    <row r="92" spans="1:6" hidden="1" x14ac:dyDescent="0.25">
      <c r="A92" s="1888"/>
      <c r="B92" s="1908"/>
      <c r="C92" s="1889"/>
      <c r="D92" s="1886"/>
      <c r="E92" s="1905">
        <f t="shared" si="2"/>
        <v>0</v>
      </c>
      <c r="F92" s="1905" t="str">
        <f t="shared" si="3"/>
        <v>0</v>
      </c>
    </row>
    <row r="93" spans="1:6" hidden="1" x14ac:dyDescent="0.25">
      <c r="A93" s="1888"/>
      <c r="B93" s="1908"/>
      <c r="C93" s="1889"/>
      <c r="D93" s="1886"/>
      <c r="E93" s="1905">
        <f t="shared" si="2"/>
        <v>0</v>
      </c>
      <c r="F93" s="1905" t="str">
        <f t="shared" si="3"/>
        <v>0</v>
      </c>
    </row>
    <row r="94" spans="1:6" hidden="1" x14ac:dyDescent="0.25">
      <c r="A94" s="1888"/>
      <c r="B94" s="1908"/>
      <c r="C94" s="1889"/>
      <c r="D94" s="1886"/>
      <c r="E94" s="1905">
        <f t="shared" si="2"/>
        <v>0</v>
      </c>
      <c r="F94" s="1905" t="str">
        <f t="shared" si="3"/>
        <v>0</v>
      </c>
    </row>
    <row r="95" spans="1:6" hidden="1" x14ac:dyDescent="0.25">
      <c r="A95" s="1888"/>
      <c r="B95" s="1908"/>
      <c r="C95" s="1889"/>
      <c r="D95" s="1886"/>
      <c r="E95" s="1905">
        <f t="shared" si="2"/>
        <v>0</v>
      </c>
      <c r="F95" s="1905" t="str">
        <f t="shared" si="3"/>
        <v>0</v>
      </c>
    </row>
    <row r="96" spans="1:6" hidden="1" x14ac:dyDescent="0.25">
      <c r="A96" s="1888"/>
      <c r="B96" s="1908"/>
      <c r="C96" s="1889"/>
      <c r="D96" s="1886"/>
      <c r="E96" s="1905">
        <f t="shared" si="2"/>
        <v>0</v>
      </c>
      <c r="F96" s="1905" t="str">
        <f t="shared" si="3"/>
        <v>0</v>
      </c>
    </row>
    <row r="97" spans="1:6" hidden="1" x14ac:dyDescent="0.25">
      <c r="A97" s="1888"/>
      <c r="B97" s="1908"/>
      <c r="C97" s="1889"/>
      <c r="D97" s="1886"/>
      <c r="E97" s="1905">
        <f t="shared" si="2"/>
        <v>0</v>
      </c>
      <c r="F97" s="1905" t="str">
        <f t="shared" si="3"/>
        <v>0</v>
      </c>
    </row>
    <row r="98" spans="1:6" hidden="1" x14ac:dyDescent="0.25">
      <c r="A98" s="1888"/>
      <c r="B98" s="1908"/>
      <c r="C98" s="1889"/>
      <c r="D98" s="1886"/>
      <c r="E98" s="1905">
        <f t="shared" si="2"/>
        <v>0</v>
      </c>
      <c r="F98" s="1905" t="str">
        <f t="shared" si="3"/>
        <v>0</v>
      </c>
    </row>
    <row r="99" spans="1:6" hidden="1" x14ac:dyDescent="0.25">
      <c r="A99" s="1888"/>
      <c r="B99" s="1908"/>
      <c r="C99" s="1889"/>
      <c r="D99" s="1886"/>
      <c r="E99" s="1905">
        <f t="shared" si="2"/>
        <v>0</v>
      </c>
      <c r="F99" s="1905" t="str">
        <f t="shared" si="3"/>
        <v>0</v>
      </c>
    </row>
    <row r="100" spans="1:6" hidden="1" x14ac:dyDescent="0.25">
      <c r="A100" s="1888"/>
      <c r="B100" s="1908"/>
      <c r="C100" s="1889"/>
      <c r="D100" s="1886"/>
      <c r="E100" s="1905">
        <f t="shared" si="2"/>
        <v>0</v>
      </c>
      <c r="F100" s="1905" t="str">
        <f t="shared" si="3"/>
        <v>0</v>
      </c>
    </row>
    <row r="101" spans="1:6" hidden="1" x14ac:dyDescent="0.25">
      <c r="A101" s="1888"/>
      <c r="B101" s="1908"/>
      <c r="C101" s="1889"/>
      <c r="D101" s="1886"/>
      <c r="E101" s="1905">
        <f t="shared" si="2"/>
        <v>0</v>
      </c>
      <c r="F101" s="1905" t="str">
        <f t="shared" si="3"/>
        <v>0</v>
      </c>
    </row>
    <row r="102" spans="1:6" hidden="1" x14ac:dyDescent="0.25">
      <c r="A102" s="1888"/>
      <c r="B102" s="1908"/>
      <c r="C102" s="1889"/>
      <c r="D102" s="1886"/>
      <c r="E102" s="1905">
        <f t="shared" si="2"/>
        <v>0</v>
      </c>
      <c r="F102" s="1905" t="str">
        <f t="shared" si="3"/>
        <v>0</v>
      </c>
    </row>
    <row r="103" spans="1:6" x14ac:dyDescent="0.25">
      <c r="A103" s="1888"/>
      <c r="B103" s="1908"/>
      <c r="C103" s="1889"/>
      <c r="D103" s="1886"/>
      <c r="E103" s="1905">
        <f t="shared" si="2"/>
        <v>0</v>
      </c>
      <c r="F103" s="1905" t="str">
        <f t="shared" si="3"/>
        <v>0</v>
      </c>
    </row>
    <row r="104" spans="1:6" x14ac:dyDescent="0.25">
      <c r="A104" s="1888"/>
      <c r="B104" s="1908"/>
      <c r="C104" s="1889"/>
      <c r="D104" s="1886"/>
      <c r="E104" s="1905">
        <f t="shared" si="2"/>
        <v>0</v>
      </c>
      <c r="F104" s="1905" t="str">
        <f t="shared" si="3"/>
        <v>0</v>
      </c>
    </row>
    <row r="105" spans="1:6" x14ac:dyDescent="0.25">
      <c r="A105" s="1888"/>
      <c r="B105" s="1908"/>
      <c r="C105" s="1889"/>
      <c r="D105" s="1886"/>
      <c r="E105" s="1905">
        <f t="shared" si="2"/>
        <v>0</v>
      </c>
      <c r="F105" s="1905" t="str">
        <f t="shared" si="3"/>
        <v>0</v>
      </c>
    </row>
    <row r="106" spans="1:6" x14ac:dyDescent="0.25">
      <c r="A106" s="1888"/>
      <c r="B106" s="1908"/>
      <c r="C106" s="1889"/>
      <c r="D106" s="1886"/>
      <c r="E106" s="1905">
        <f t="shared" si="2"/>
        <v>0</v>
      </c>
      <c r="F106" s="1905" t="str">
        <f t="shared" si="3"/>
        <v>0</v>
      </c>
    </row>
    <row r="107" spans="1:6" x14ac:dyDescent="0.25">
      <c r="A107" s="1888"/>
      <c r="B107" s="1908"/>
      <c r="C107" s="1889"/>
      <c r="D107" s="1886"/>
      <c r="E107" s="1905">
        <f t="shared" si="2"/>
        <v>0</v>
      </c>
      <c r="F107" s="1905" t="str">
        <f t="shared" si="3"/>
        <v>0</v>
      </c>
    </row>
    <row r="108" spans="1:6" x14ac:dyDescent="0.25">
      <c r="A108" s="1888"/>
      <c r="B108" s="1908"/>
      <c r="C108" s="1889"/>
      <c r="D108" s="1886"/>
      <c r="E108" s="1905">
        <f t="shared" si="2"/>
        <v>0</v>
      </c>
      <c r="F108" s="1905" t="str">
        <f t="shared" si="3"/>
        <v>0</v>
      </c>
    </row>
    <row r="109" spans="1:6" x14ac:dyDescent="0.25">
      <c r="A109" s="1888"/>
      <c r="B109" s="1908"/>
      <c r="C109" s="1889"/>
      <c r="D109" s="1886"/>
      <c r="E109" s="1905">
        <f t="shared" si="2"/>
        <v>0</v>
      </c>
      <c r="F109" s="1905" t="str">
        <f t="shared" si="3"/>
        <v>0</v>
      </c>
    </row>
    <row r="110" spans="1:6" x14ac:dyDescent="0.25">
      <c r="A110" s="1888"/>
      <c r="B110" s="1908"/>
      <c r="C110" s="1889"/>
      <c r="D110" s="1886"/>
      <c r="E110" s="1905">
        <f t="shared" si="2"/>
        <v>0</v>
      </c>
      <c r="F110" s="1905" t="str">
        <f t="shared" si="3"/>
        <v>0</v>
      </c>
    </row>
    <row r="111" spans="1:6" x14ac:dyDescent="0.25">
      <c r="A111" s="1888"/>
      <c r="B111" s="1908"/>
      <c r="C111" s="1889"/>
      <c r="D111" s="1886"/>
      <c r="E111" s="1905">
        <f t="shared" si="2"/>
        <v>0</v>
      </c>
      <c r="F111" s="1905" t="str">
        <f t="shared" si="3"/>
        <v>0</v>
      </c>
    </row>
    <row r="112" spans="1:6" x14ac:dyDescent="0.25">
      <c r="A112" s="1888"/>
      <c r="B112" s="1908"/>
      <c r="C112" s="1889"/>
      <c r="D112" s="1886"/>
      <c r="E112" s="1905">
        <f t="shared" si="2"/>
        <v>0</v>
      </c>
      <c r="F112" s="1905" t="str">
        <f t="shared" si="3"/>
        <v>0</v>
      </c>
    </row>
    <row r="113" spans="1:6" x14ac:dyDescent="0.25">
      <c r="A113" s="1888"/>
      <c r="B113" s="1908"/>
      <c r="C113" s="1889"/>
      <c r="D113" s="1886"/>
      <c r="E113" s="1905">
        <f t="shared" si="2"/>
        <v>0</v>
      </c>
      <c r="F113" s="1905" t="str">
        <f t="shared" si="3"/>
        <v>0</v>
      </c>
    </row>
    <row r="114" spans="1:6" hidden="1" x14ac:dyDescent="0.25">
      <c r="A114" s="1888"/>
      <c r="B114" s="1908"/>
      <c r="C114" s="1889"/>
      <c r="D114" s="1886"/>
      <c r="E114" s="1905">
        <f t="shared" si="2"/>
        <v>0</v>
      </c>
      <c r="F114" s="1905" t="str">
        <f t="shared" si="3"/>
        <v>0</v>
      </c>
    </row>
    <row r="115" spans="1:6" hidden="1" x14ac:dyDescent="0.25">
      <c r="A115" s="1888"/>
      <c r="B115" s="1908"/>
      <c r="C115" s="1889"/>
      <c r="D115" s="1886"/>
      <c r="E115" s="1905">
        <f t="shared" si="2"/>
        <v>0</v>
      </c>
      <c r="F115" s="1905" t="str">
        <f t="shared" si="3"/>
        <v>0</v>
      </c>
    </row>
    <row r="116" spans="1:6" hidden="1" x14ac:dyDescent="0.25">
      <c r="A116" s="1888"/>
      <c r="B116" s="1908"/>
      <c r="C116" s="1889"/>
      <c r="D116" s="1886"/>
      <c r="E116" s="1905">
        <f t="shared" si="2"/>
        <v>0</v>
      </c>
      <c r="F116" s="1905" t="str">
        <f t="shared" si="3"/>
        <v>0</v>
      </c>
    </row>
    <row r="117" spans="1:6" hidden="1" x14ac:dyDescent="0.25">
      <c r="A117" s="1888"/>
      <c r="B117" s="1908"/>
      <c r="C117" s="1889"/>
      <c r="D117" s="1886"/>
      <c r="E117" s="1905">
        <f t="shared" si="2"/>
        <v>0</v>
      </c>
      <c r="F117" s="1905" t="str">
        <f t="shared" si="3"/>
        <v>0</v>
      </c>
    </row>
    <row r="118" spans="1:6" hidden="1" x14ac:dyDescent="0.25">
      <c r="A118" s="1888"/>
      <c r="B118" s="1908"/>
      <c r="C118" s="1889"/>
      <c r="D118" s="1886"/>
      <c r="E118" s="1905">
        <f t="shared" si="2"/>
        <v>0</v>
      </c>
      <c r="F118" s="1905" t="str">
        <f t="shared" si="3"/>
        <v>0</v>
      </c>
    </row>
    <row r="119" spans="1:6" hidden="1" x14ac:dyDescent="0.25">
      <c r="A119" s="1888"/>
      <c r="B119" s="1908"/>
      <c r="C119" s="1889"/>
      <c r="D119" s="1886"/>
      <c r="E119" s="1905">
        <f t="shared" si="2"/>
        <v>0</v>
      </c>
      <c r="F119" s="1905" t="str">
        <f t="shared" si="3"/>
        <v>0</v>
      </c>
    </row>
    <row r="120" spans="1:6" hidden="1" x14ac:dyDescent="0.25">
      <c r="A120" s="1888"/>
      <c r="B120" s="1908"/>
      <c r="C120" s="1889"/>
      <c r="D120" s="1886"/>
      <c r="E120" s="1905">
        <f t="shared" si="2"/>
        <v>0</v>
      </c>
      <c r="F120" s="1905" t="str">
        <f t="shared" si="3"/>
        <v>0</v>
      </c>
    </row>
    <row r="121" spans="1:6" hidden="1" x14ac:dyDescent="0.25">
      <c r="A121" s="1888"/>
      <c r="B121" s="1908"/>
      <c r="C121" s="1889"/>
      <c r="D121" s="1886"/>
      <c r="E121" s="1905">
        <f t="shared" si="2"/>
        <v>0</v>
      </c>
      <c r="F121" s="1905" t="str">
        <f t="shared" si="3"/>
        <v>0</v>
      </c>
    </row>
    <row r="122" spans="1:6" hidden="1" x14ac:dyDescent="0.25">
      <c r="A122" s="1888"/>
      <c r="B122" s="1908"/>
      <c r="C122" s="1889"/>
      <c r="D122" s="1886"/>
      <c r="E122" s="1905">
        <f t="shared" si="2"/>
        <v>0</v>
      </c>
      <c r="F122" s="1905" t="str">
        <f t="shared" si="3"/>
        <v>0</v>
      </c>
    </row>
    <row r="123" spans="1:6" hidden="1" x14ac:dyDescent="0.25">
      <c r="A123" s="1888"/>
      <c r="B123" s="1908"/>
      <c r="C123" s="1889"/>
      <c r="D123" s="1886"/>
      <c r="E123" s="1905">
        <f t="shared" si="2"/>
        <v>0</v>
      </c>
      <c r="F123" s="1905" t="str">
        <f t="shared" si="3"/>
        <v>0</v>
      </c>
    </row>
    <row r="124" spans="1:6" hidden="1" x14ac:dyDescent="0.25">
      <c r="A124" s="1888"/>
      <c r="B124" s="1908"/>
      <c r="C124" s="1889"/>
      <c r="D124" s="1886"/>
      <c r="E124" s="1905">
        <f t="shared" si="2"/>
        <v>0</v>
      </c>
      <c r="F124" s="1905" t="str">
        <f t="shared" si="3"/>
        <v>0</v>
      </c>
    </row>
    <row r="125" spans="1:6" hidden="1" x14ac:dyDescent="0.25">
      <c r="A125" s="1888"/>
      <c r="B125" s="1908"/>
      <c r="C125" s="1889"/>
      <c r="D125" s="1886"/>
      <c r="E125" s="1905">
        <f t="shared" si="2"/>
        <v>0</v>
      </c>
      <c r="F125" s="1905" t="str">
        <f t="shared" si="3"/>
        <v>0</v>
      </c>
    </row>
    <row r="126" spans="1:6" hidden="1" x14ac:dyDescent="0.25">
      <c r="A126" s="1888"/>
      <c r="B126" s="1908"/>
      <c r="C126" s="1889"/>
      <c r="D126" s="1886"/>
      <c r="E126" s="1905">
        <f t="shared" si="2"/>
        <v>0</v>
      </c>
      <c r="F126" s="1905" t="str">
        <f t="shared" si="3"/>
        <v>0</v>
      </c>
    </row>
    <row r="127" spans="1:6" hidden="1" x14ac:dyDescent="0.25">
      <c r="A127" s="1888"/>
      <c r="B127" s="1908"/>
      <c r="C127" s="1889"/>
      <c r="D127" s="1886"/>
      <c r="E127" s="1905">
        <f t="shared" si="2"/>
        <v>0</v>
      </c>
      <c r="F127" s="1905" t="str">
        <f t="shared" si="3"/>
        <v>0</v>
      </c>
    </row>
    <row r="128" spans="1:6" hidden="1" x14ac:dyDescent="0.25">
      <c r="A128" s="1888"/>
      <c r="B128" s="1908"/>
      <c r="C128" s="1889"/>
      <c r="D128" s="1886"/>
      <c r="E128" s="1905">
        <f t="shared" si="2"/>
        <v>0</v>
      </c>
      <c r="F128" s="1905" t="str">
        <f t="shared" si="3"/>
        <v>0</v>
      </c>
    </row>
    <row r="129" spans="1:6" hidden="1" x14ac:dyDescent="0.25">
      <c r="A129" s="1888"/>
      <c r="B129" s="1908"/>
      <c r="C129" s="1889"/>
      <c r="D129" s="1886"/>
      <c r="E129" s="1905">
        <f t="shared" si="2"/>
        <v>0</v>
      </c>
      <c r="F129" s="1905" t="str">
        <f t="shared" si="3"/>
        <v>0</v>
      </c>
    </row>
    <row r="130" spans="1:6" hidden="1" x14ac:dyDescent="0.25">
      <c r="A130" s="1888"/>
      <c r="B130" s="1908"/>
      <c r="C130" s="1889"/>
      <c r="D130" s="1886"/>
      <c r="E130" s="1905">
        <f t="shared" si="2"/>
        <v>0</v>
      </c>
      <c r="F130" s="1905" t="str">
        <f t="shared" si="3"/>
        <v>0</v>
      </c>
    </row>
    <row r="131" spans="1:6" hidden="1" x14ac:dyDescent="0.25">
      <c r="A131" s="1888"/>
      <c r="B131" s="1908"/>
      <c r="C131" s="1889"/>
      <c r="D131" s="1886"/>
      <c r="E131" s="1905">
        <f t="shared" si="2"/>
        <v>0</v>
      </c>
      <c r="F131" s="1905" t="str">
        <f t="shared" si="3"/>
        <v>0</v>
      </c>
    </row>
    <row r="132" spans="1:6" hidden="1" x14ac:dyDescent="0.25">
      <c r="A132" s="1888"/>
      <c r="B132" s="1908"/>
      <c r="C132" s="1889"/>
      <c r="D132" s="1886"/>
      <c r="E132" s="1905">
        <f t="shared" si="2"/>
        <v>0</v>
      </c>
      <c r="F132" s="1905" t="str">
        <f t="shared" si="3"/>
        <v>0</v>
      </c>
    </row>
    <row r="133" spans="1:6" hidden="1" x14ac:dyDescent="0.25">
      <c r="A133" s="1888"/>
      <c r="B133" s="1908"/>
      <c r="C133" s="1889"/>
      <c r="D133" s="1886"/>
      <c r="E133" s="1905">
        <f t="shared" si="2"/>
        <v>0</v>
      </c>
      <c r="F133" s="1905" t="str">
        <f t="shared" si="3"/>
        <v>0</v>
      </c>
    </row>
    <row r="134" spans="1:6" hidden="1" x14ac:dyDescent="0.25">
      <c r="A134" s="1888"/>
      <c r="B134" s="1908"/>
      <c r="C134" s="1889"/>
      <c r="D134" s="1886"/>
      <c r="E134" s="1905">
        <f t="shared" si="2"/>
        <v>0</v>
      </c>
      <c r="F134" s="1905" t="str">
        <f t="shared" si="3"/>
        <v>0</v>
      </c>
    </row>
    <row r="135" spans="1:6" hidden="1" x14ac:dyDescent="0.25">
      <c r="A135" s="1888"/>
      <c r="B135" s="1908"/>
      <c r="C135" s="1889"/>
      <c r="D135" s="1886"/>
      <c r="E135" s="1905">
        <f t="shared" si="2"/>
        <v>0</v>
      </c>
      <c r="F135" s="1905" t="str">
        <f t="shared" si="3"/>
        <v>0</v>
      </c>
    </row>
    <row r="136" spans="1:6" hidden="1" x14ac:dyDescent="0.25">
      <c r="A136" s="1888"/>
      <c r="B136" s="1908"/>
      <c r="C136" s="1889"/>
      <c r="D136" s="1886"/>
      <c r="E136" s="1905">
        <f t="shared" si="2"/>
        <v>0</v>
      </c>
      <c r="F136" s="1905" t="str">
        <f t="shared" si="3"/>
        <v>0</v>
      </c>
    </row>
    <row r="137" spans="1:6" hidden="1" x14ac:dyDescent="0.25">
      <c r="A137" s="1888"/>
      <c r="B137" s="1908"/>
      <c r="C137" s="1889"/>
      <c r="D137" s="1886"/>
      <c r="E137" s="1905">
        <f t="shared" si="2"/>
        <v>0</v>
      </c>
      <c r="F137" s="1905" t="str">
        <f t="shared" si="3"/>
        <v>0</v>
      </c>
    </row>
    <row r="138" spans="1:6" hidden="1" x14ac:dyDescent="0.25">
      <c r="A138" s="1888"/>
      <c r="B138" s="1908"/>
      <c r="C138" s="1889"/>
      <c r="D138" s="1886"/>
      <c r="E138" s="1905">
        <f t="shared" si="2"/>
        <v>0</v>
      </c>
      <c r="F138" s="1905" t="str">
        <f t="shared" si="3"/>
        <v>0</v>
      </c>
    </row>
    <row r="139" spans="1:6" hidden="1" x14ac:dyDescent="0.25">
      <c r="A139" s="1888"/>
      <c r="B139" s="1908"/>
      <c r="C139" s="1889"/>
      <c r="D139" s="1886"/>
      <c r="E139" s="1905">
        <f t="shared" si="2"/>
        <v>0</v>
      </c>
      <c r="F139" s="1905" t="str">
        <f t="shared" si="3"/>
        <v>0</v>
      </c>
    </row>
    <row r="140" spans="1:6" hidden="1" x14ac:dyDescent="0.25">
      <c r="A140" s="1888"/>
      <c r="B140" s="1908"/>
      <c r="C140" s="1889"/>
      <c r="D140" s="1886"/>
      <c r="E140" s="1905">
        <f t="shared" si="2"/>
        <v>0</v>
      </c>
      <c r="F140" s="1905" t="str">
        <f t="shared" si="3"/>
        <v>0</v>
      </c>
    </row>
    <row r="141" spans="1:6" x14ac:dyDescent="0.25">
      <c r="A141" s="1888"/>
      <c r="B141" s="1909"/>
      <c r="C141" s="1889"/>
      <c r="D141" s="1886"/>
      <c r="E141" s="1905">
        <f t="shared" si="2"/>
        <v>0</v>
      </c>
      <c r="F141" s="1905" t="str">
        <f t="shared" si="3"/>
        <v>0</v>
      </c>
    </row>
    <row r="142" spans="1:6" x14ac:dyDescent="0.25">
      <c r="A142" s="1890" t="s">
        <v>155</v>
      </c>
      <c r="B142" s="1910"/>
      <c r="C142" s="1891"/>
      <c r="D142" s="1892">
        <f>SUM(D18:D141)</f>
        <v>2232132</v>
      </c>
      <c r="E142" s="1892">
        <f>25000*8</f>
        <v>200000</v>
      </c>
      <c r="F142" s="1893">
        <f>SUM(F18:F141)</f>
        <v>2032132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ignoredErrors>
    <ignoredError sqref="D142" formulaRange="1"/>
  </ignoredErrors>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09" t="s">
        <v>1660</v>
      </c>
      <c r="B5" s="2510"/>
      <c r="C5" s="2510"/>
      <c r="D5" s="2510"/>
      <c r="E5" s="2510"/>
      <c r="F5" s="2510"/>
      <c r="G5" s="251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506001</v>
      </c>
      <c r="F10" s="805"/>
      <c r="G10" s="806"/>
      <c r="H10" s="157"/>
      <c r="I10" s="157"/>
    </row>
    <row r="11" spans="1:13" s="542" customFormat="1" ht="22.5" customHeight="1" x14ac:dyDescent="0.2">
      <c r="A11" s="25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5"/>
      <c r="C11" s="2515"/>
      <c r="D11" s="2516"/>
      <c r="E11" s="1801">
        <v>85243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11027403</v>
      </c>
      <c r="F19" s="1802"/>
      <c r="G19" s="1804">
        <f>'Expenditures 15-22'!K33-SUM('Expenditures 15-22'!G33,'Expenditures 15-22'!I33)+'Expenditures 15-22'!D229</f>
        <v>11027403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654315</v>
      </c>
      <c r="F21" s="1805"/>
      <c r="G21" s="1808">
        <f>'Expenditures 15-22'!K42-SUM('Expenditures 15-22'!G42,'Expenditures 15-22'!I42)+'Expenditures 15-22'!K120-SUM('Expenditures 15-22'!G120,'Expenditures 15-22'!I120)+'Expenditures 15-22'!K180-SUM('Expenditures 15-22'!G180,'Expenditures 15-22'!I180)+'Expenditures 15-22'!D238</f>
        <v>654315</v>
      </c>
      <c r="H21" s="817"/>
      <c r="I21" s="157"/>
    </row>
    <row r="22" spans="1:9" s="542" customFormat="1" ht="12" customHeight="1" x14ac:dyDescent="0.2">
      <c r="A22" s="824" t="s">
        <v>560</v>
      </c>
      <c r="B22" s="825"/>
      <c r="C22" s="823">
        <v>2200</v>
      </c>
      <c r="D22" s="1805"/>
      <c r="E22" s="1807">
        <f>'Expenditures 15-22'!K47-SUM('Expenditures 15-22'!G47,'Expenditures 15-22'!I47)+'Expenditures 15-22'!D243</f>
        <v>1070418</v>
      </c>
      <c r="F22" s="1805"/>
      <c r="G22" s="1808">
        <f>'Expenditures 15-22'!K47-SUM('Expenditures 15-22'!G47,'Expenditures 15-22'!I47)+'Expenditures 15-22'!D243</f>
        <v>1070418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1217643</v>
      </c>
      <c r="F23" s="1805"/>
      <c r="G23" s="1807">
        <f>'Expenditures 15-22'!K53-SUM('Expenditures 15-22'!G53,'Expenditures 15-22'!I53)+'Expenditures 15-22'!D257+'Expenditures 15-22'!K330-SUM('Expenditures 15-22'!G330,'Expenditures 15-22'!I330)</f>
        <v>1217643</v>
      </c>
      <c r="H23" s="817"/>
      <c r="I23" s="157"/>
    </row>
    <row r="24" spans="1:9" s="542" customFormat="1" ht="12" customHeight="1" x14ac:dyDescent="0.2">
      <c r="A24" s="824" t="s">
        <v>562</v>
      </c>
      <c r="B24" s="825"/>
      <c r="C24" s="823">
        <v>2400</v>
      </c>
      <c r="D24" s="1805"/>
      <c r="E24" s="1807">
        <f>'Expenditures 15-22'!K57-SUM('Expenditures 15-22'!G57,'Expenditures 15-22'!I57)+'Expenditures 15-22'!D261</f>
        <v>1450965</v>
      </c>
      <c r="F24" s="1805"/>
      <c r="G24" s="1808">
        <f>'Expenditures 15-22'!K57-SUM('Expenditures 15-22'!G57,'Expenditures 15-22'!I57)+'Expenditures 15-22'!D261</f>
        <v>1450965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475039</v>
      </c>
      <c r="E27" s="1807">
        <f>E8</f>
        <v>0</v>
      </c>
      <c r="F27" s="1807">
        <f>'Expenditures 15-22'!K60-SUM('Expenditures 15-22'!G60,'Expenditures 15-22'!I60)+'Expenditures 15-22'!D264-E8</f>
        <v>475039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2076563</v>
      </c>
      <c r="F28" s="1809">
        <f>'Expenditures 15-22'!K61-SUM('Expenditures 15-22'!G61,'Expenditures 15-22'!I61)+'Expenditures 15-22'!K124-SUM('Expenditures 15-22'!G124,'Expenditures 15-22'!I124)+'Expenditures 15-22'!D266-E9</f>
        <v>2076563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1973010</v>
      </c>
      <c r="F29" s="1805"/>
      <c r="G29" s="1808">
        <f>'Expenditures 15-22'!K62-SUM('Expenditures 15-22'!G62,'Expenditures 15-22'!I62)+'Expenditures 15-22'!K125-SUM('Expenditures 15-22'!G125,'Expenditures 15-22'!I125)+'Expenditures 15-22'!K182-SUM('Expenditures 15-22'!G182,'Expenditures 15-22'!I182)+'Expenditures 15-22'!D267</f>
        <v>1973010</v>
      </c>
      <c r="H29" s="815"/>
    </row>
    <row r="30" spans="1:9" ht="12" customHeight="1" x14ac:dyDescent="0.2">
      <c r="A30" s="824" t="s">
        <v>100</v>
      </c>
      <c r="B30" s="827"/>
      <c r="C30" s="823">
        <v>2560</v>
      </c>
      <c r="D30" s="1805"/>
      <c r="E30" s="1807">
        <f>'Expenditures 15-22'!K63-SUM('Expenditures 15-22'!G63,'Expenditures 15-22'!I63)+'Expenditures 15-22'!D268-E10</f>
        <v>673854</v>
      </c>
      <c r="F30" s="1805"/>
      <c r="G30" s="1807">
        <f>'Expenditures 15-22'!K63-SUM('Expenditures 15-22'!G63,'Expenditures 15-22'!I63)+'Expenditures 15-22'!D268-E10</f>
        <v>673854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11995</v>
      </c>
      <c r="F35" s="1805"/>
      <c r="G35" s="1807">
        <f>'Expenditures 15-22'!K69-SUM('Expenditures 15-22'!G69,'Expenditures 15-22'!I69)+'Expenditures 15-22'!D274</f>
        <v>11995</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41923</v>
      </c>
      <c r="E37" s="1807">
        <f>E14</f>
        <v>0</v>
      </c>
      <c r="F37" s="1807">
        <f>'Expenditures 15-22'!K71-SUM('Expenditures 15-22'!G71,'Expenditures 15-22'!I71)+'Expenditures 15-22'!D276-E14</f>
        <v>41923</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77202</v>
      </c>
      <c r="F38" s="1805"/>
      <c r="G38" s="1807">
        <f>'Expenditures 15-22'!K73-SUM('Expenditures 15-22'!G73,'Expenditures 15-22'!I73)+'Expenditures 15-22'!K128-SUM('Expenditures 15-22'!G128,'Expenditures 15-22'!I128)+'Expenditures 15-22'!K183-SUM('Expenditures 15-22'!G183,'Expenditures 15-22'!I183)+'Expenditures 15-22'!D278</f>
        <v>77202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166641</v>
      </c>
      <c r="F39" s="1805"/>
      <c r="G39" s="1807">
        <f>'Expenditures 15-22'!K75-SUM('Expenditures 15-22'!G75,'Expenditures 15-22'!I75)+'Expenditures 15-22'!K130-SUM('Expenditures 15-22'!G130,'Expenditures 15-22'!I130)+'Expenditures 15-22'!K185-SUM('Expenditures 15-22'!G185,'Expenditures 15-22'!I185)+'Expenditures 15-22'!D280</f>
        <v>166641</v>
      </c>
    </row>
    <row r="40" spans="1:7" ht="12" customHeight="1" x14ac:dyDescent="0.2">
      <c r="A40" s="820" t="s">
        <v>1798</v>
      </c>
      <c r="B40" s="821"/>
      <c r="C40" s="823"/>
      <c r="D40" s="1805"/>
      <c r="E40" s="1809">
        <f>-'Contracts Paid in CY 29'!F142</f>
        <v>-2032132</v>
      </c>
      <c r="F40" s="1805"/>
      <c r="G40" s="1809">
        <f>-'Contracts Paid in CY 29'!F142</f>
        <v>-2032132</v>
      </c>
    </row>
    <row r="41" spans="1:7" ht="12" customHeight="1" x14ac:dyDescent="0.2">
      <c r="A41" s="828" t="s">
        <v>155</v>
      </c>
      <c r="B41" s="829"/>
      <c r="C41" s="830"/>
      <c r="D41" s="1809">
        <f>SUM(D19:D39)</f>
        <v>516962</v>
      </c>
      <c r="E41" s="1809">
        <f>SUM(E19:E40)</f>
        <v>18367877</v>
      </c>
      <c r="F41" s="1809">
        <f>SUM(F19:F39)</f>
        <v>2593525</v>
      </c>
      <c r="G41" s="1809">
        <f>SUM(G19:G40)</f>
        <v>16291314</v>
      </c>
    </row>
    <row r="42" spans="1:7" x14ac:dyDescent="0.2">
      <c r="A42" s="817"/>
      <c r="B42" s="157"/>
      <c r="C42" s="831"/>
      <c r="D42" s="2512" t="s">
        <v>519</v>
      </c>
      <c r="E42" s="2513"/>
      <c r="F42" s="832" t="s">
        <v>520</v>
      </c>
      <c r="G42" s="833"/>
    </row>
    <row r="43" spans="1:7" ht="12" customHeight="1" x14ac:dyDescent="0.2">
      <c r="A43" s="817"/>
      <c r="B43" s="157"/>
      <c r="C43" s="831"/>
      <c r="D43" s="1458" t="s">
        <v>470</v>
      </c>
      <c r="E43" s="1810">
        <f>D41</f>
        <v>516962</v>
      </c>
      <c r="F43" s="1458" t="s">
        <v>470</v>
      </c>
      <c r="G43" s="1810">
        <f>F41</f>
        <v>2593525</v>
      </c>
    </row>
    <row r="44" spans="1:7" ht="12" customHeight="1" x14ac:dyDescent="0.2">
      <c r="A44" s="817"/>
      <c r="B44" s="157"/>
      <c r="C44" s="831"/>
      <c r="D44" s="1458" t="s">
        <v>471</v>
      </c>
      <c r="E44" s="1810">
        <f>E41</f>
        <v>18367877</v>
      </c>
      <c r="F44" s="1458" t="s">
        <v>471</v>
      </c>
      <c r="G44" s="1810">
        <f>G41</f>
        <v>16291314</v>
      </c>
    </row>
    <row r="45" spans="1:7" ht="12" customHeight="1" x14ac:dyDescent="0.2">
      <c r="A45" s="817"/>
      <c r="B45" s="157"/>
      <c r="C45" s="157"/>
      <c r="D45" s="1459" t="s">
        <v>999</v>
      </c>
      <c r="E45" s="1811">
        <f>(E43/E44)</f>
        <v>2.8144896658443434E-2</v>
      </c>
      <c r="F45" s="1459" t="s">
        <v>999</v>
      </c>
      <c r="G45" s="1811">
        <f>(G43/G44)</f>
        <v>0.15919679652605062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531" t="s">
        <v>1363</v>
      </c>
      <c r="B1" s="2531"/>
      <c r="C1" s="2531"/>
      <c r="D1" s="2531"/>
      <c r="E1" s="2531"/>
      <c r="F1" s="253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32" t="s">
        <v>1529</v>
      </c>
      <c r="B5" s="2533"/>
      <c r="C5" s="2534"/>
      <c r="D5" s="2534"/>
      <c r="E5" s="2534"/>
      <c r="F5" s="2534"/>
      <c r="G5" s="1507"/>
      <c r="L5" s="1507"/>
      <c r="M5" s="1855"/>
      <c r="N5" s="1855"/>
      <c r="O5" s="1855"/>
    </row>
    <row r="6" spans="1:15" ht="12" customHeight="1" x14ac:dyDescent="0.25">
      <c r="A6" s="1480"/>
      <c r="B6" s="1481"/>
      <c r="C6" s="2535" t="str">
        <f>COVER!A17</f>
        <v xml:space="preserve">  Geneseo CUSD 228</v>
      </c>
      <c r="D6" s="2535"/>
      <c r="E6" s="2535"/>
      <c r="F6" s="1482"/>
      <c r="G6" s="1507"/>
      <c r="L6" s="1507"/>
      <c r="M6" s="1855"/>
      <c r="N6" s="1855"/>
      <c r="O6" s="1855"/>
    </row>
    <row r="7" spans="1:15" ht="11.25" customHeight="1" thickBot="1" x14ac:dyDescent="0.3">
      <c r="A7" s="1480"/>
      <c r="B7" s="1481"/>
      <c r="C7" s="2536">
        <f>COVER!A13</f>
        <v>28037228026</v>
      </c>
      <c r="D7" s="2536"/>
      <c r="E7" s="253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2247</v>
      </c>
      <c r="D13" s="1495" t="s">
        <v>2247</v>
      </c>
      <c r="E13" s="1498"/>
      <c r="F13" s="1497" t="s">
        <v>2254</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2247</v>
      </c>
      <c r="D15" s="1495" t="s">
        <v>2247</v>
      </c>
      <c r="E15" s="1498"/>
      <c r="F15" s="1497" t="s">
        <v>2248</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2255</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2051</v>
      </c>
      <c r="D20" s="1495" t="s">
        <v>2051</v>
      </c>
      <c r="E20" s="1498"/>
      <c r="F20" s="1497" t="s">
        <v>2249</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t="s">
        <v>2051</v>
      </c>
      <c r="E23" s="1498"/>
      <c r="F23" s="1497" t="s">
        <v>2250</v>
      </c>
      <c r="G23" s="1507"/>
      <c r="H23" s="1507">
        <f t="shared" si="0"/>
        <v>5</v>
      </c>
      <c r="I23" s="1507">
        <f t="shared" si="1"/>
        <v>5</v>
      </c>
      <c r="J23" s="1507">
        <f t="shared" si="2"/>
        <v>0</v>
      </c>
      <c r="L23" s="1507"/>
      <c r="M23" s="1855"/>
      <c r="N23" s="1855"/>
      <c r="O23" s="1855"/>
    </row>
    <row r="24" spans="1:15" ht="12" customHeight="1" x14ac:dyDescent="0.2">
      <c r="A24" s="1493" t="s">
        <v>1515</v>
      </c>
      <c r="B24" s="1494"/>
      <c r="C24" s="1495" t="s">
        <v>2051</v>
      </c>
      <c r="D24" s="1495" t="s">
        <v>2051</v>
      </c>
      <c r="E24" s="1498"/>
      <c r="F24" s="1497" t="s">
        <v>2251</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2256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2257</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2258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45</v>
      </c>
      <c r="I34" s="1507">
        <f>SUM(I11:I32)</f>
        <v>45</v>
      </c>
      <c r="J34" s="1507">
        <f>SUM(J11:J32)</f>
        <v>0</v>
      </c>
      <c r="K34" s="1507">
        <f>SUM(H34:J34)</f>
        <v>90</v>
      </c>
      <c r="L34" s="1507"/>
      <c r="M34" s="1855"/>
      <c r="N34" s="1855"/>
      <c r="O34" s="1855"/>
    </row>
    <row r="35" spans="1:15" ht="12" customHeight="1" x14ac:dyDescent="0.2">
      <c r="A35" s="1500" t="s">
        <v>1376</v>
      </c>
      <c r="B35" s="1501"/>
      <c r="C35" s="2537"/>
      <c r="D35" s="2537"/>
      <c r="E35" s="2537"/>
      <c r="F35" s="2538"/>
    </row>
    <row r="36" spans="1:15" ht="12" customHeight="1" x14ac:dyDescent="0.2">
      <c r="A36" s="2520"/>
      <c r="B36" s="2521"/>
      <c r="C36" s="2521"/>
      <c r="D36" s="2521"/>
      <c r="E36" s="2521"/>
      <c r="F36" s="2522"/>
    </row>
    <row r="37" spans="1:15" ht="12" customHeight="1" x14ac:dyDescent="0.2">
      <c r="A37" s="2520"/>
      <c r="B37" s="2521"/>
      <c r="C37" s="2521"/>
      <c r="D37" s="2521"/>
      <c r="E37" s="2521"/>
      <c r="F37" s="2522"/>
    </row>
    <row r="38" spans="1:15" ht="12" customHeight="1" x14ac:dyDescent="0.2">
      <c r="A38" s="2523"/>
      <c r="B38" s="2524"/>
      <c r="C38" s="2524"/>
      <c r="D38" s="2524"/>
      <c r="E38" s="2524"/>
      <c r="F38" s="2525"/>
    </row>
    <row r="39" spans="1:15" ht="4.5" hidden="1" customHeight="1" x14ac:dyDescent="0.2">
      <c r="A39" s="1502"/>
      <c r="B39" s="1502"/>
      <c r="C39" s="1502"/>
      <c r="D39" s="1502"/>
      <c r="E39" s="1502"/>
      <c r="F39" s="1502"/>
    </row>
    <row r="40" spans="1:15" s="1499" customFormat="1" ht="12" customHeight="1" x14ac:dyDescent="0.25">
      <c r="A40" s="1503" t="s">
        <v>1375</v>
      </c>
      <c r="B40" s="1504"/>
      <c r="C40" s="2526"/>
      <c r="D40" s="2526"/>
      <c r="E40" s="2526"/>
      <c r="F40" s="2527"/>
      <c r="H40" s="1508"/>
      <c r="I40" s="1508"/>
      <c r="J40" s="1508"/>
      <c r="K40" s="1508"/>
    </row>
    <row r="41" spans="1:15" s="1499" customFormat="1" ht="12" customHeight="1" x14ac:dyDescent="0.25">
      <c r="A41" s="2528"/>
      <c r="B41" s="2529"/>
      <c r="C41" s="2529"/>
      <c r="D41" s="2529"/>
      <c r="E41" s="2529"/>
      <c r="F41" s="2530"/>
      <c r="H41" s="1508"/>
      <c r="I41" s="1508"/>
      <c r="J41" s="1508"/>
      <c r="K41" s="1508"/>
    </row>
    <row r="42" spans="1:15" s="1499" customFormat="1" ht="12" customHeight="1" x14ac:dyDescent="0.25">
      <c r="A42" s="2528"/>
      <c r="B42" s="2529"/>
      <c r="C42" s="2529"/>
      <c r="D42" s="2529"/>
      <c r="E42" s="2529"/>
      <c r="F42" s="2530"/>
      <c r="H42" s="1508"/>
      <c r="I42" s="1508"/>
      <c r="J42" s="1508"/>
      <c r="K42" s="1508"/>
    </row>
    <row r="43" spans="1:15" s="1499" customFormat="1" ht="15" x14ac:dyDescent="0.25">
      <c r="A43" s="2517"/>
      <c r="B43" s="2518"/>
      <c r="C43" s="2518"/>
      <c r="D43" s="2518"/>
      <c r="E43" s="2518"/>
      <c r="F43" s="2519"/>
      <c r="H43" s="1508"/>
      <c r="I43" s="1508"/>
      <c r="J43" s="1508"/>
      <c r="K43" s="1508"/>
    </row>
    <row r="44" spans="1:15" s="1499" customFormat="1" ht="12" hidden="1" customHeight="1" x14ac:dyDescent="0.25">
      <c r="A44" s="2517"/>
      <c r="B44" s="2518"/>
      <c r="C44" s="2518"/>
      <c r="D44" s="2518"/>
      <c r="E44" s="2518"/>
      <c r="F44" s="251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557" t="str">
        <f>COVER!A17</f>
        <v xml:space="preserve">  Geneseo CUSD 228</v>
      </c>
      <c r="K6" s="2557"/>
      <c r="L6" s="2571"/>
      <c r="M6" s="838"/>
      <c r="N6" s="1997"/>
    </row>
    <row r="7" spans="1:14" x14ac:dyDescent="0.2">
      <c r="A7" s="2572" t="s">
        <v>864</v>
      </c>
      <c r="B7" s="2573"/>
      <c r="C7" s="2573"/>
      <c r="D7" s="2573"/>
      <c r="E7" s="2574"/>
      <c r="F7" s="839"/>
      <c r="G7" s="838"/>
      <c r="H7" s="838"/>
      <c r="I7" s="1923" t="s">
        <v>369</v>
      </c>
      <c r="J7" s="2559">
        <f>COVER!A13</f>
        <v>28037228026</v>
      </c>
      <c r="K7" s="2559"/>
      <c r="L7" s="255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575" t="s">
        <v>478</v>
      </c>
      <c r="B11" s="2576"/>
      <c r="C11" s="2577"/>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183439</v>
      </c>
      <c r="F12" s="1941"/>
      <c r="G12" s="1967">
        <f>G68</f>
        <v>6750</v>
      </c>
      <c r="H12" s="1943">
        <f t="shared" ref="H12:H18" si="0">SUM(E12:G12)</f>
        <v>190189</v>
      </c>
      <c r="I12" s="1942">
        <v>184200</v>
      </c>
      <c r="J12" s="1941"/>
      <c r="K12" s="1942"/>
      <c r="L12" s="1943">
        <f t="shared" ref="L12:L18" si="1">SUM(I12:K12)</f>
        <v>184200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578" t="s">
        <v>7</v>
      </c>
      <c r="C18" s="2579"/>
      <c r="D18" s="2580"/>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183439</v>
      </c>
      <c r="F19" s="1949">
        <f t="shared" si="2"/>
        <v>0</v>
      </c>
      <c r="G19" s="1949">
        <f t="shared" ref="G19" si="3">SUM(G12:G17)-G18</f>
        <v>6750</v>
      </c>
      <c r="H19" s="1949">
        <f t="shared" si="2"/>
        <v>190189</v>
      </c>
      <c r="I19" s="1949">
        <f t="shared" si="2"/>
        <v>184200</v>
      </c>
      <c r="J19" s="1949">
        <f t="shared" si="2"/>
        <v>0</v>
      </c>
      <c r="K19" s="1949">
        <f t="shared" si="2"/>
        <v>0</v>
      </c>
      <c r="L19" s="1949">
        <f t="shared" si="2"/>
        <v>184200</v>
      </c>
      <c r="M19" s="838"/>
      <c r="N19" s="1997"/>
    </row>
    <row r="20" spans="1:14" ht="13.5" thickTop="1" x14ac:dyDescent="0.2">
      <c r="A20" s="2002">
        <v>9</v>
      </c>
      <c r="B20" s="2581" t="s">
        <v>2021</v>
      </c>
      <c r="C20" s="2581"/>
      <c r="D20" s="2582"/>
      <c r="E20" s="1950"/>
      <c r="F20" s="1950"/>
      <c r="G20" s="1950"/>
      <c r="H20" s="1950"/>
      <c r="I20" s="1950"/>
      <c r="J20" s="1950"/>
      <c r="K20" s="1950"/>
      <c r="L20" s="1951">
        <f>IF(AND(H19&gt;0,L19&gt;0),(((L19-H19)/H19)),"Enter Budget Data")</f>
        <v>-3.1489728638354482E-2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583"/>
      <c r="D27" s="2583"/>
      <c r="E27" s="843"/>
      <c r="F27" s="2584"/>
      <c r="G27" s="2584"/>
      <c r="H27" s="2584"/>
      <c r="I27" s="838"/>
      <c r="J27" s="838"/>
      <c r="K27" s="838"/>
      <c r="L27" s="838"/>
      <c r="M27" s="838"/>
      <c r="N27" s="1997"/>
    </row>
    <row r="28" spans="1:14" x14ac:dyDescent="0.2">
      <c r="A28" s="1996"/>
      <c r="B28" s="2006"/>
      <c r="C28" s="1956" t="s">
        <v>1026</v>
      </c>
      <c r="D28" s="844"/>
      <c r="E28" s="1957"/>
      <c r="F28" s="2585" t="s">
        <v>1492</v>
      </c>
      <c r="G28" s="2585"/>
      <c r="H28" s="2585"/>
      <c r="I28" s="838"/>
      <c r="J28" s="838"/>
      <c r="K28" s="838"/>
      <c r="L28" s="838"/>
      <c r="M28" s="838"/>
      <c r="N28" s="1997"/>
    </row>
    <row r="29" spans="1:14" x14ac:dyDescent="0.2">
      <c r="A29" s="1996"/>
      <c r="B29" s="2006"/>
      <c r="C29" s="2586"/>
      <c r="D29" s="2586"/>
      <c r="E29" s="845"/>
      <c r="F29" s="2586"/>
      <c r="G29" s="2586"/>
      <c r="H29" s="2586"/>
      <c r="I29" s="838"/>
      <c r="J29" s="838"/>
      <c r="K29" s="838"/>
      <c r="L29" s="838"/>
      <c r="M29" s="838"/>
      <c r="N29" s="1997"/>
    </row>
    <row r="30" spans="1:14" x14ac:dyDescent="0.2">
      <c r="A30" s="1996"/>
      <c r="B30" s="2006"/>
      <c r="C30" s="1959" t="s">
        <v>1544</v>
      </c>
      <c r="D30" s="838"/>
      <c r="E30" s="1958"/>
      <c r="F30" s="2570" t="s">
        <v>1493</v>
      </c>
      <c r="G30" s="2570"/>
      <c r="H30" s="257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547" t="s">
        <v>2024</v>
      </c>
      <c r="D34" s="2548"/>
      <c r="E34" s="2548"/>
      <c r="F34" s="2548"/>
      <c r="G34" s="2548"/>
      <c r="H34" s="2548"/>
      <c r="I34" s="2548"/>
      <c r="J34" s="2548"/>
      <c r="K34" s="2015"/>
      <c r="L34" s="838"/>
      <c r="M34" s="838"/>
      <c r="N34" s="1997"/>
    </row>
    <row r="35" spans="1:14" x14ac:dyDescent="0.2">
      <c r="A35" s="1996"/>
      <c r="B35" s="838"/>
      <c r="C35" s="2548"/>
      <c r="D35" s="2548"/>
      <c r="E35" s="2548"/>
      <c r="F35" s="2548"/>
      <c r="G35" s="2548"/>
      <c r="H35" s="2548"/>
      <c r="I35" s="2548"/>
      <c r="J35" s="254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547" t="s">
        <v>2025</v>
      </c>
      <c r="D37" s="2548"/>
      <c r="E37" s="2548"/>
      <c r="F37" s="2548"/>
      <c r="G37" s="2548"/>
      <c r="H37" s="2548"/>
      <c r="I37" s="2548"/>
      <c r="J37" s="2548"/>
      <c r="K37" s="2015"/>
      <c r="L37" s="2017"/>
      <c r="M37" s="838"/>
      <c r="N37" s="1997"/>
    </row>
    <row r="38" spans="1:14" x14ac:dyDescent="0.2">
      <c r="A38" s="1996"/>
      <c r="B38" s="838"/>
      <c r="C38" s="2548"/>
      <c r="D38" s="2548"/>
      <c r="E38" s="2548"/>
      <c r="F38" s="2548"/>
      <c r="G38" s="2548"/>
      <c r="H38" s="2548"/>
      <c r="I38" s="2548"/>
      <c r="J38" s="254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549" t="s">
        <v>2026</v>
      </c>
      <c r="D40" s="2550"/>
      <c r="E40" s="2550"/>
      <c r="F40" s="2550"/>
      <c r="G40" s="2550"/>
      <c r="H40" s="2550"/>
      <c r="I40" s="2550"/>
      <c r="J40" s="255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551" t="s">
        <v>2027</v>
      </c>
      <c r="B43" s="2552"/>
      <c r="C43" s="2552"/>
      <c r="D43" s="2552"/>
      <c r="E43" s="2552"/>
      <c r="F43" s="2552"/>
      <c r="G43" s="2552"/>
      <c r="H43" s="2552"/>
      <c r="I43" s="2552"/>
      <c r="J43" s="2552"/>
      <c r="K43" s="2552"/>
      <c r="L43" s="2552"/>
      <c r="M43" s="2552"/>
      <c r="N43" s="255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554" t="s">
        <v>2029</v>
      </c>
      <c r="B46" s="2555"/>
      <c r="C46" s="2555"/>
      <c r="D46" s="2555"/>
      <c r="E46" s="2555"/>
      <c r="F46" s="2555"/>
      <c r="G46" s="2555"/>
      <c r="H46" s="2555"/>
      <c r="I46" s="2555"/>
      <c r="J46" s="2555"/>
      <c r="K46" s="2555"/>
      <c r="L46" s="2555"/>
      <c r="M46" s="2555"/>
      <c r="N46" s="2556"/>
    </row>
    <row r="47" spans="1:14" x14ac:dyDescent="0.2">
      <c r="A47" s="2554"/>
      <c r="B47" s="2555"/>
      <c r="C47" s="2555"/>
      <c r="D47" s="2555"/>
      <c r="E47" s="2555"/>
      <c r="F47" s="2555"/>
      <c r="G47" s="2555"/>
      <c r="H47" s="2555"/>
      <c r="I47" s="2555"/>
      <c r="J47" s="2555"/>
      <c r="K47" s="2555"/>
      <c r="L47" s="2555"/>
      <c r="M47" s="2555"/>
      <c r="N47" s="255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557" t="str">
        <f>J6</f>
        <v xml:space="preserve">  Geneseo CUSD 228</v>
      </c>
      <c r="M52" s="2557"/>
      <c r="N52" s="2558"/>
    </row>
    <row r="53" spans="1:14" x14ac:dyDescent="0.2">
      <c r="A53" s="1981"/>
      <c r="B53" s="1982"/>
      <c r="C53" s="1982"/>
      <c r="D53" s="1982"/>
      <c r="E53" s="1982"/>
      <c r="F53" s="1982"/>
      <c r="G53" s="1982"/>
      <c r="H53" s="1982"/>
      <c r="I53" s="1982"/>
      <c r="J53" s="1982"/>
      <c r="K53" s="1923" t="s">
        <v>369</v>
      </c>
      <c r="L53" s="2559">
        <f>J7</f>
        <v>28037228026</v>
      </c>
      <c r="M53" s="2559"/>
      <c r="N53" s="256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561"/>
      <c r="B55" s="2562"/>
      <c r="C55" s="2562"/>
      <c r="D55" s="1969"/>
      <c r="E55" s="1969"/>
      <c r="F55" s="1969"/>
      <c r="G55" s="2563" t="s">
        <v>2030</v>
      </c>
      <c r="H55" s="2563"/>
      <c r="I55" s="2563"/>
      <c r="J55" s="2563"/>
      <c r="K55" s="2563"/>
      <c r="L55" s="2563"/>
      <c r="M55" s="2563"/>
      <c r="N55" s="2564"/>
    </row>
    <row r="56" spans="1:14" ht="63.75" x14ac:dyDescent="0.2">
      <c r="A56" s="2565" t="s">
        <v>2031</v>
      </c>
      <c r="B56" s="2566"/>
      <c r="C56" s="256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568" t="s">
        <v>296</v>
      </c>
      <c r="B57" s="2569"/>
      <c r="C57" s="256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545" t="s">
        <v>2041</v>
      </c>
      <c r="B58" s="2546"/>
      <c r="C58" s="2546"/>
      <c r="D58" s="1966">
        <v>2362</v>
      </c>
      <c r="E58" s="1976">
        <f>'Expenditures 15-22'!K320</f>
        <v>56774</v>
      </c>
      <c r="F58" s="1971"/>
      <c r="G58" s="2030"/>
      <c r="H58" s="2031"/>
      <c r="I58" s="2031"/>
      <c r="J58" s="2031"/>
      <c r="K58" s="2031"/>
      <c r="L58" s="2031"/>
      <c r="M58" s="2031">
        <v>56774</v>
      </c>
      <c r="N58" s="1974">
        <f>IF((SUM(G58:M58))=E58,SUM(G58:M58),"Column N does not agree with Column E")</f>
        <v>56774</v>
      </c>
    </row>
    <row r="59" spans="1:14" ht="24.75" customHeight="1" x14ac:dyDescent="0.2">
      <c r="A59" s="2539" t="s">
        <v>297</v>
      </c>
      <c r="B59" s="2540"/>
      <c r="C59" s="2540"/>
      <c r="D59" s="1966">
        <v>2363</v>
      </c>
      <c r="E59" s="1976">
        <f>'Expenditures 15-22'!K321</f>
        <v>531</v>
      </c>
      <c r="F59" s="1971"/>
      <c r="G59" s="2030"/>
      <c r="H59" s="2031"/>
      <c r="I59" s="2031"/>
      <c r="J59" s="2031"/>
      <c r="K59" s="2031"/>
      <c r="L59" s="2031"/>
      <c r="M59" s="2031">
        <v>531</v>
      </c>
      <c r="N59" s="1974">
        <f>IF((SUM(G59:M59))=E59,SUM(G59:M59),"Column N does not agree with Column E")</f>
        <v>531</v>
      </c>
    </row>
    <row r="60" spans="1:14" ht="24" customHeight="1" x14ac:dyDescent="0.2">
      <c r="A60" s="2539" t="s">
        <v>236</v>
      </c>
      <c r="B60" s="2540"/>
      <c r="C60" s="2540"/>
      <c r="D60" s="1966">
        <v>2364</v>
      </c>
      <c r="E60" s="1976">
        <f>'Expenditures 15-22'!K322</f>
        <v>203897</v>
      </c>
      <c r="F60" s="1971"/>
      <c r="G60" s="2030"/>
      <c r="H60" s="2031"/>
      <c r="I60" s="2031"/>
      <c r="J60" s="2031"/>
      <c r="K60" s="2031"/>
      <c r="L60" s="2031"/>
      <c r="M60" s="2031">
        <v>203897</v>
      </c>
      <c r="N60" s="1974">
        <f t="shared" ref="N60:N67" si="4">IF((SUM(G60:M60))=E60,SUM(G60:M60),"Column N does not agree with Column E")</f>
        <v>203897</v>
      </c>
    </row>
    <row r="61" spans="1:14" ht="24.75" customHeight="1" x14ac:dyDescent="0.2">
      <c r="A61" s="2539" t="s">
        <v>697</v>
      </c>
      <c r="B61" s="2540"/>
      <c r="C61" s="2540"/>
      <c r="D61" s="1966">
        <v>2365</v>
      </c>
      <c r="E61" s="1976">
        <f>'Expenditures 15-22'!K323</f>
        <v>618802</v>
      </c>
      <c r="F61" s="1971"/>
      <c r="G61" s="2030">
        <v>6750</v>
      </c>
      <c r="H61" s="2031"/>
      <c r="I61" s="2031"/>
      <c r="J61" s="2031"/>
      <c r="K61" s="2031"/>
      <c r="L61" s="2031"/>
      <c r="M61" s="2031">
        <v>612052</v>
      </c>
      <c r="N61" s="1974">
        <f t="shared" si="4"/>
        <v>618802</v>
      </c>
    </row>
    <row r="62" spans="1:14" ht="24" customHeight="1" x14ac:dyDescent="0.2">
      <c r="A62" s="2539" t="s">
        <v>237</v>
      </c>
      <c r="B62" s="2540"/>
      <c r="C62" s="2540"/>
      <c r="D62" s="1966">
        <v>2366</v>
      </c>
      <c r="E62" s="1976">
        <f>'Expenditures 15-22'!K324</f>
        <v>0</v>
      </c>
      <c r="F62" s="1971"/>
      <c r="G62" s="2030"/>
      <c r="H62" s="2031"/>
      <c r="I62" s="2031"/>
      <c r="J62" s="2031"/>
      <c r="K62" s="2031"/>
      <c r="L62" s="2031"/>
      <c r="M62" s="2031"/>
      <c r="N62" s="1974">
        <f t="shared" si="4"/>
        <v>0</v>
      </c>
    </row>
    <row r="63" spans="1:14" ht="24" customHeight="1" x14ac:dyDescent="0.2">
      <c r="A63" s="2545" t="s">
        <v>1022</v>
      </c>
      <c r="B63" s="2546"/>
      <c r="C63" s="2546"/>
      <c r="D63" s="1966">
        <v>2367</v>
      </c>
      <c r="E63" s="1976">
        <f>'Expenditures 15-22'!K325</f>
        <v>46638</v>
      </c>
      <c r="F63" s="1971"/>
      <c r="G63" s="2030"/>
      <c r="H63" s="2031"/>
      <c r="I63" s="2031"/>
      <c r="J63" s="2031"/>
      <c r="K63" s="2031"/>
      <c r="L63" s="2031"/>
      <c r="M63" s="2031">
        <v>46638</v>
      </c>
      <c r="N63" s="1974">
        <f t="shared" si="4"/>
        <v>46638</v>
      </c>
    </row>
    <row r="64" spans="1:14" ht="24" customHeight="1" x14ac:dyDescent="0.2">
      <c r="A64" s="2539" t="s">
        <v>1023</v>
      </c>
      <c r="B64" s="2540"/>
      <c r="C64" s="2540"/>
      <c r="D64" s="1966">
        <v>2368</v>
      </c>
      <c r="E64" s="1976">
        <f>'Expenditures 15-22'!K326</f>
        <v>0</v>
      </c>
      <c r="F64" s="1971"/>
      <c r="G64" s="2030"/>
      <c r="H64" s="2031"/>
      <c r="I64" s="2031"/>
      <c r="J64" s="2031"/>
      <c r="K64" s="2031"/>
      <c r="L64" s="2031"/>
      <c r="M64" s="2031"/>
      <c r="N64" s="1974">
        <f t="shared" si="4"/>
        <v>0</v>
      </c>
    </row>
    <row r="65" spans="1:14" ht="24" customHeight="1" x14ac:dyDescent="0.2">
      <c r="A65" s="2539" t="s">
        <v>965</v>
      </c>
      <c r="B65" s="2540"/>
      <c r="C65" s="2540"/>
      <c r="D65" s="1966">
        <v>2369</v>
      </c>
      <c r="E65" s="1976">
        <f>'Expenditures 15-22'!K327</f>
        <v>8716</v>
      </c>
      <c r="F65" s="1971"/>
      <c r="G65" s="2030"/>
      <c r="H65" s="2031"/>
      <c r="I65" s="2031"/>
      <c r="J65" s="2031"/>
      <c r="K65" s="2031"/>
      <c r="L65" s="2031"/>
      <c r="M65" s="2031">
        <v>8716</v>
      </c>
      <c r="N65" s="1974">
        <f t="shared" si="4"/>
        <v>8716</v>
      </c>
    </row>
    <row r="66" spans="1:14" ht="24" customHeight="1" x14ac:dyDescent="0.2">
      <c r="A66" s="2539" t="s">
        <v>469</v>
      </c>
      <c r="B66" s="2540"/>
      <c r="C66" s="2540"/>
      <c r="D66" s="1966">
        <v>2371</v>
      </c>
      <c r="E66" s="1976">
        <f>'Expenditures 15-22'!K328</f>
        <v>0</v>
      </c>
      <c r="F66" s="1971"/>
      <c r="G66" s="2030"/>
      <c r="H66" s="2031"/>
      <c r="I66" s="2031"/>
      <c r="J66" s="2031"/>
      <c r="K66" s="2031"/>
      <c r="L66" s="2031"/>
      <c r="M66" s="2031"/>
      <c r="N66" s="1974">
        <f t="shared" si="4"/>
        <v>0</v>
      </c>
    </row>
    <row r="67" spans="1:14" ht="24.75" customHeight="1" x14ac:dyDescent="0.2">
      <c r="A67" s="2541" t="s">
        <v>2042</v>
      </c>
      <c r="B67" s="2542"/>
      <c r="C67" s="2542"/>
      <c r="D67" s="1968">
        <v>2372</v>
      </c>
      <c r="E67" s="1977">
        <f>'Expenditures 15-22'!K329</f>
        <v>0</v>
      </c>
      <c r="F67" s="1971"/>
      <c r="G67" s="2032"/>
      <c r="H67" s="2033"/>
      <c r="I67" s="2033"/>
      <c r="J67" s="2033"/>
      <c r="K67" s="2033"/>
      <c r="L67" s="2033"/>
      <c r="M67" s="2033"/>
      <c r="N67" s="1974">
        <f t="shared" si="4"/>
        <v>0</v>
      </c>
    </row>
    <row r="68" spans="1:14" x14ac:dyDescent="0.2">
      <c r="A68" s="2543" t="s">
        <v>1151</v>
      </c>
      <c r="B68" s="2544"/>
      <c r="C68" s="2544"/>
      <c r="D68" s="1969"/>
      <c r="E68" s="1973">
        <f>SUM(E57:E67)</f>
        <v>935358</v>
      </c>
      <c r="F68" s="1972"/>
      <c r="G68" s="1973">
        <f t="shared" ref="G68:N68" si="5">SUM(G57:G67)</f>
        <v>6750</v>
      </c>
      <c r="H68" s="1973">
        <f t="shared" si="5"/>
        <v>0</v>
      </c>
      <c r="I68" s="1973">
        <f t="shared" si="5"/>
        <v>0</v>
      </c>
      <c r="J68" s="1973">
        <f t="shared" si="5"/>
        <v>0</v>
      </c>
      <c r="K68" s="1973">
        <f t="shared" si="5"/>
        <v>0</v>
      </c>
      <c r="L68" s="1973">
        <f t="shared" si="5"/>
        <v>0</v>
      </c>
      <c r="M68" s="1973">
        <f t="shared" si="5"/>
        <v>928608</v>
      </c>
      <c r="N68" s="1987">
        <f t="shared" si="5"/>
        <v>935358</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2259</v>
      </c>
    </row>
    <row r="6" spans="1:2" x14ac:dyDescent="0.2">
      <c r="A6" s="847">
        <v>2</v>
      </c>
      <c r="B6" s="307" t="s">
        <v>2260</v>
      </c>
    </row>
    <row r="7" spans="1:2" x14ac:dyDescent="0.2">
      <c r="A7" s="847">
        <v>3</v>
      </c>
      <c r="B7" s="307" t="s">
        <v>2261</v>
      </c>
    </row>
    <row r="8" spans="1:2" x14ac:dyDescent="0.2">
      <c r="A8" s="847">
        <v>4</v>
      </c>
      <c r="B8" s="307" t="s">
        <v>2262</v>
      </c>
    </row>
    <row r="9" spans="1:2" x14ac:dyDescent="0.2">
      <c r="A9" s="847">
        <v>5</v>
      </c>
      <c r="B9" s="307" t="s">
        <v>2266</v>
      </c>
    </row>
    <row r="10" spans="1:2" x14ac:dyDescent="0.2">
      <c r="A10" s="847">
        <v>6</v>
      </c>
      <c r="B10" s="307" t="s">
        <v>2263</v>
      </c>
    </row>
    <row r="11" spans="1:2" x14ac:dyDescent="0.2">
      <c r="A11" s="847">
        <v>7</v>
      </c>
      <c r="B11" s="307" t="s">
        <v>2264</v>
      </c>
    </row>
    <row r="12" spans="1:2" x14ac:dyDescent="0.2">
      <c r="A12" s="847">
        <v>8</v>
      </c>
      <c r="B12" s="307" t="s">
        <v>2267</v>
      </c>
    </row>
    <row r="13" spans="1:2" x14ac:dyDescent="0.2">
      <c r="A13" s="847">
        <v>9</v>
      </c>
      <c r="B13" s="307" t="s">
        <v>2265</v>
      </c>
    </row>
    <row r="14" spans="1:2" x14ac:dyDescent="0.2">
      <c r="A14" s="847">
        <v>10</v>
      </c>
      <c r="B14" s="307" t="s">
        <v>2269</v>
      </c>
    </row>
    <row r="15" spans="1:2" x14ac:dyDescent="0.2">
      <c r="A15" s="847">
        <v>11</v>
      </c>
      <c r="B15" s="307" t="s">
        <v>2268</v>
      </c>
    </row>
    <row r="16" spans="1:2" x14ac:dyDescent="0.2">
      <c r="A16" s="847"/>
    </row>
    <row r="17" spans="1:1" x14ac:dyDescent="0.2">
      <c r="A17" s="847"/>
    </row>
    <row r="18" spans="1:1" x14ac:dyDescent="0.2">
      <c r="A18" s="847"/>
    </row>
    <row r="19" spans="1:1" x14ac:dyDescent="0.2">
      <c r="A19" s="847"/>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Geneseo CUSD 228</v>
      </c>
    </row>
    <row r="65" spans="2:2" x14ac:dyDescent="0.2">
      <c r="B65" s="849">
        <f>COVER!A13</f>
        <v>28037228026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73" t="s">
        <v>1056</v>
      </c>
      <c r="B35" s="2273"/>
      <c r="C35" s="2273"/>
      <c r="D35" s="2273"/>
      <c r="E35" s="227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70" t="s">
        <v>686</v>
      </c>
      <c r="B40" s="2270"/>
      <c r="C40" s="2270"/>
      <c r="D40" s="2270"/>
      <c r="E40" s="2270"/>
    </row>
    <row r="41" spans="1:5" x14ac:dyDescent="0.2">
      <c r="A41" s="2271" t="s">
        <v>1591</v>
      </c>
      <c r="B41" s="2271"/>
      <c r="C41" s="2271"/>
      <c r="D41" s="2271"/>
      <c r="E41" s="2271"/>
    </row>
    <row r="42" spans="1:5" ht="12.75" customHeight="1" x14ac:dyDescent="0.2">
      <c r="A42" s="2272" t="s">
        <v>1015</v>
      </c>
      <c r="B42" s="2272"/>
      <c r="C42" s="2272"/>
      <c r="D42" s="2272"/>
      <c r="E42" s="227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5" sqref="C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87" t="s">
        <v>1665</v>
      </c>
      <c r="B18" s="258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autoPict="0" r:id="rId7">
            <anchor moveWithCells="1">
              <from>
                <xdr:col>1</xdr:col>
                <xdr:colOff>1257300</xdr:colOff>
                <xdr:row>1</xdr:row>
                <xdr:rowOff>47625</xdr:rowOff>
              </from>
              <to>
                <xdr:col>1</xdr:col>
                <xdr:colOff>2143125</xdr:colOff>
                <xdr:row>5</xdr:row>
                <xdr:rowOff>47625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autoPict="0" r:id="rId9">
            <anchor moveWithCells="1">
              <from>
                <xdr:col>1</xdr:col>
                <xdr:colOff>2333625</xdr:colOff>
                <xdr:row>1</xdr:row>
                <xdr:rowOff>95250</xdr:rowOff>
              </from>
              <to>
                <xdr:col>1</xdr:col>
                <xdr:colOff>3409950</xdr:colOff>
                <xdr:row>7</xdr:row>
                <xdr:rowOff>38100</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88" t="s">
        <v>1669</v>
      </c>
      <c r="B1" s="2589"/>
      <c r="C1" s="2589"/>
      <c r="D1" s="2589"/>
      <c r="E1" s="2589"/>
      <c r="F1" s="2590"/>
    </row>
    <row r="2" spans="1:8" ht="45" customHeight="1" x14ac:dyDescent="0.2">
      <c r="A2" s="259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9"/>
      <c r="C2" s="2599"/>
      <c r="D2" s="2599"/>
      <c r="E2" s="2599"/>
      <c r="F2" s="2600"/>
      <c r="G2" s="853"/>
      <c r="H2" s="853"/>
    </row>
    <row r="3" spans="1:8" ht="57" customHeight="1" x14ac:dyDescent="0.2">
      <c r="A3" s="2601" t="s">
        <v>1972</v>
      </c>
      <c r="B3" s="2602"/>
      <c r="C3" s="2602"/>
      <c r="D3" s="2602"/>
      <c r="E3" s="2602"/>
      <c r="F3" s="2603"/>
      <c r="G3" s="853"/>
      <c r="H3" s="853"/>
    </row>
    <row r="4" spans="1:8" ht="14.25" customHeight="1" x14ac:dyDescent="0.2">
      <c r="A4" s="260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8"/>
      <c r="C4" s="2608"/>
      <c r="D4" s="2608"/>
      <c r="E4" s="2608"/>
      <c r="F4" s="2609"/>
      <c r="G4" s="853"/>
      <c r="H4" s="853"/>
    </row>
    <row r="5" spans="1:8" ht="14.25" customHeight="1" x14ac:dyDescent="0.2">
      <c r="A5" s="261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11"/>
      <c r="C5" s="2611"/>
      <c r="D5" s="2611"/>
      <c r="E5" s="2611"/>
      <c r="F5" s="2612"/>
      <c r="G5" s="853"/>
      <c r="H5" s="853"/>
    </row>
    <row r="6" spans="1:8" s="854" customFormat="1" ht="41.25" customHeight="1" x14ac:dyDescent="0.2">
      <c r="A6" s="2604" t="s">
        <v>1670</v>
      </c>
      <c r="B6" s="2605"/>
      <c r="C6" s="2605"/>
      <c r="D6" s="2605"/>
      <c r="E6" s="2605"/>
      <c r="F6" s="260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17948706</v>
      </c>
      <c r="C8" s="1813">
        <f>'Acct Summary 7-8'!D8</f>
        <v>2072281</v>
      </c>
      <c r="D8" s="1813">
        <f>'Acct Summary 7-8'!F8</f>
        <v>1907567</v>
      </c>
      <c r="E8" s="1813">
        <f>'Acct Summary 7-8'!I8</f>
        <v>225746</v>
      </c>
      <c r="F8" s="1813">
        <f>SUM(B8:E8)</f>
        <v>22154300</v>
      </c>
    </row>
    <row r="9" spans="1:8" s="858" customFormat="1" ht="14.25" customHeight="1" thickBot="1" x14ac:dyDescent="0.25">
      <c r="A9" s="857" t="s">
        <v>1353</v>
      </c>
      <c r="B9" s="1814">
        <f>'Acct Summary 7-8'!C17</f>
        <v>18340106</v>
      </c>
      <c r="C9" s="1814">
        <f>'Acct Summary 7-8'!D17</f>
        <v>2370348</v>
      </c>
      <c r="D9" s="1814">
        <f>'Acct Summary 7-8'!F17</f>
        <v>1982870</v>
      </c>
      <c r="E9" s="1813"/>
      <c r="F9" s="1813">
        <f>SUM(B9:E9)</f>
        <v>22693324</v>
      </c>
    </row>
    <row r="10" spans="1:8" s="858" customFormat="1" ht="14.25" thickTop="1" thickBot="1" x14ac:dyDescent="0.25">
      <c r="A10" s="859" t="s">
        <v>1354</v>
      </c>
      <c r="B10" s="1815">
        <f>(B8-B9)</f>
        <v>-391400</v>
      </c>
      <c r="C10" s="1815">
        <f>(C8-C9)</f>
        <v>-298067</v>
      </c>
      <c r="D10" s="1815">
        <f>(D8-D9)</f>
        <v>-75303</v>
      </c>
      <c r="E10" s="1814">
        <f>(E8-E9)</f>
        <v>225746</v>
      </c>
      <c r="F10" s="1816">
        <f>SUM(F8-F9)</f>
        <v>-539024</v>
      </c>
    </row>
    <row r="11" spans="1:8" s="858" customFormat="1" ht="14.25" thickTop="1" thickBot="1" x14ac:dyDescent="0.25">
      <c r="A11" s="860" t="s">
        <v>1903</v>
      </c>
      <c r="B11" s="1817">
        <f>'Acct Summary 7-8'!C81</f>
        <v>6197538</v>
      </c>
      <c r="C11" s="1817">
        <f>'Acct Summary 7-8'!D81</f>
        <v>3077659</v>
      </c>
      <c r="D11" s="1817">
        <f>'Acct Summary 7-8'!F81</f>
        <v>1324942</v>
      </c>
      <c r="E11" s="1817">
        <f>'Acct Summary 7-8'!I81</f>
        <v>4570773</v>
      </c>
      <c r="F11" s="1818">
        <f>SUM(B11:E11)</f>
        <v>15170912</v>
      </c>
    </row>
    <row r="12" spans="1:8" ht="16.5" customHeight="1" thickTop="1" x14ac:dyDescent="0.2">
      <c r="A12" s="861"/>
      <c r="B12" s="862"/>
      <c r="C12" s="2592" t="str">
        <f>IF(AND(F10&lt;0,F11&gt;=0,ABS(F10*3)&gt;ABS(F11)),A16,IF(AND(F10&lt;0,F11&gt;0,ABS(F10*3)&lt;=ABS(F11)),A17,IF(AND(F10&lt;0,F11&lt;0),A16,IF(F11=0,A19,A18))))</f>
        <v>Unbalanced -  however, a deficit reduction plan is not required at this time.</v>
      </c>
      <c r="D12" s="2593"/>
      <c r="E12" s="2593"/>
      <c r="F12" s="2594"/>
    </row>
    <row r="13" spans="1:8" ht="19.5" customHeight="1" x14ac:dyDescent="0.2">
      <c r="A13" s="863"/>
      <c r="B13" s="864"/>
      <c r="C13" s="2592"/>
      <c r="D13" s="2593"/>
      <c r="E13" s="2593"/>
      <c r="F13" s="2594"/>
      <c r="H13" s="853"/>
    </row>
    <row r="14" spans="1:8" ht="19.5" customHeight="1" x14ac:dyDescent="0.2">
      <c r="A14" s="863"/>
      <c r="B14" s="864"/>
      <c r="C14" s="2592"/>
      <c r="D14" s="2593"/>
      <c r="E14" s="2593"/>
      <c r="F14" s="2594"/>
      <c r="H14" s="853"/>
    </row>
    <row r="15" spans="1:8" ht="17.25" customHeight="1" x14ac:dyDescent="0.2">
      <c r="A15" s="863"/>
      <c r="B15" s="864"/>
      <c r="C15" s="2595"/>
      <c r="D15" s="2596"/>
      <c r="E15" s="2596"/>
      <c r="F15" s="2597"/>
      <c r="H15" s="853"/>
    </row>
    <row r="16" spans="1:8" s="288" customFormat="1" ht="51.75" hidden="1" customHeight="1" x14ac:dyDescent="0.2">
      <c r="A16" s="2591" t="s">
        <v>1666</v>
      </c>
      <c r="B16" s="2591"/>
      <c r="C16" s="2591"/>
      <c r="D16" s="2591"/>
      <c r="E16" s="259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613" t="s">
        <v>660</v>
      </c>
      <c r="B3" s="2614"/>
      <c r="C3" s="2614"/>
      <c r="D3" s="261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24" t="s">
        <v>1487</v>
      </c>
      <c r="D7" s="262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16" t="s">
        <v>1001</v>
      </c>
      <c r="B15" s="2617"/>
      <c r="C15" s="2617"/>
      <c r="D15" s="2618"/>
    </row>
    <row r="16" spans="1:4" s="542" customFormat="1" ht="24" customHeight="1" x14ac:dyDescent="0.2">
      <c r="A16" s="2619" t="s">
        <v>658</v>
      </c>
      <c r="B16" s="2620"/>
      <c r="C16" s="2620"/>
      <c r="D16" s="262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28" t="s">
        <v>311</v>
      </c>
      <c r="D21" s="2629"/>
    </row>
    <row r="22" spans="1:10" ht="12.75" x14ac:dyDescent="0.2">
      <c r="A22" s="918"/>
      <c r="B22" s="919">
        <v>2</v>
      </c>
      <c r="C22" s="2626" t="s">
        <v>1507</v>
      </c>
      <c r="D22" s="262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30" t="s">
        <v>533</v>
      </c>
      <c r="D43" s="263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22" t="s">
        <v>779</v>
      </c>
      <c r="D56" s="262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622" t="s">
        <v>1674</v>
      </c>
      <c r="D70" s="262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28037228026</v>
      </c>
      <c r="E2" s="1542">
        <v>2020</v>
      </c>
      <c r="F2" s="1542">
        <v>1</v>
      </c>
      <c r="G2" s="1898">
        <v>101000300</v>
      </c>
    </row>
    <row r="3" spans="1:7" ht="15" x14ac:dyDescent="0.25">
      <c r="A3" t="s">
        <v>950</v>
      </c>
      <c r="B3" s="135">
        <f>COVER!A15</f>
        <v>0</v>
      </c>
      <c r="E3" s="1830" t="s">
        <v>1971</v>
      </c>
      <c r="F3" s="1830" t="s">
        <v>1970</v>
      </c>
      <c r="G3" s="1898">
        <v>101000400</v>
      </c>
    </row>
    <row r="4" spans="1:7" ht="15" x14ac:dyDescent="0.25">
      <c r="A4" t="s">
        <v>1000</v>
      </c>
      <c r="B4" s="135" t="str">
        <f>COVER!A17</f>
        <v xml:space="preserve">  Geneseo CUSD 228</v>
      </c>
      <c r="E4" s="1828">
        <v>44119</v>
      </c>
      <c r="F4" s="1829">
        <v>44151</v>
      </c>
      <c r="G4" s="1898">
        <v>101000600</v>
      </c>
    </row>
    <row r="5" spans="1:7" ht="15" x14ac:dyDescent="0.25">
      <c r="A5" t="s">
        <v>699</v>
      </c>
      <c r="B5" s="135" t="str">
        <f>COVER!A38</f>
        <v>Dr. Adam Brumbaugh</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Yes</v>
      </c>
      <c r="G14" s="1898">
        <v>402100300</v>
      </c>
    </row>
    <row r="15" spans="1:7" ht="15" x14ac:dyDescent="0.25">
      <c r="A15" t="s">
        <v>573</v>
      </c>
      <c r="B15" s="135" t="str">
        <f>COVER!T23</f>
        <v>066-005027</v>
      </c>
      <c r="G15" s="1898">
        <v>402100400</v>
      </c>
    </row>
    <row r="16" spans="1:7" ht="15" x14ac:dyDescent="0.25">
      <c r="A16" t="s">
        <v>419</v>
      </c>
      <c r="B16" s="135" t="str">
        <f>COVER!T13</f>
        <v>Gorenz and Associates, Ltd.</v>
      </c>
      <c r="G16" s="1898">
        <v>402100600</v>
      </c>
    </row>
    <row r="17" spans="1:7" ht="15" x14ac:dyDescent="0.25">
      <c r="A17" t="s">
        <v>878</v>
      </c>
      <c r="B17" s="135" t="str">
        <f>COVER!T15</f>
        <v>Tim C. Custis, CPA</v>
      </c>
      <c r="G17" s="1898">
        <v>402100800</v>
      </c>
    </row>
    <row r="18" spans="1:7" ht="15" x14ac:dyDescent="0.25">
      <c r="A18" t="s">
        <v>1140</v>
      </c>
      <c r="B18" s="135" t="str">
        <f>COVER!T17</f>
        <v>4200 N Knoxville Ave.</v>
      </c>
      <c r="G18" s="1898">
        <v>102200300</v>
      </c>
    </row>
    <row r="19" spans="1:7" ht="15" x14ac:dyDescent="0.25">
      <c r="A19" t="s">
        <v>880</v>
      </c>
      <c r="B19" s="135" t="str">
        <f>COVER!T25</f>
        <v>tcustis@gorenzcpa.com</v>
      </c>
      <c r="G19" s="1898">
        <v>102200400</v>
      </c>
    </row>
    <row r="20" spans="1:7" ht="15" x14ac:dyDescent="0.25">
      <c r="A20" t="s">
        <v>881</v>
      </c>
      <c r="B20" s="135" t="str">
        <f>COVER!T19</f>
        <v>Peoria</v>
      </c>
      <c r="G20" s="1898">
        <v>102200600</v>
      </c>
    </row>
    <row r="21" spans="1:7" ht="15" x14ac:dyDescent="0.25">
      <c r="A21" t="s">
        <v>476</v>
      </c>
      <c r="B21" s="135" t="str">
        <f>COVER!X19</f>
        <v>IL</v>
      </c>
      <c r="G21" s="1898">
        <v>102200800</v>
      </c>
    </row>
    <row r="22" spans="1:7" ht="15" x14ac:dyDescent="0.25">
      <c r="A22" t="s">
        <v>882</v>
      </c>
      <c r="B22" s="135">
        <f>COVER!Z19</f>
        <v>61614</v>
      </c>
      <c r="G22" s="1898">
        <v>102300300</v>
      </c>
    </row>
    <row r="23" spans="1:7" ht="15" x14ac:dyDescent="0.25">
      <c r="A23" t="s">
        <v>1142</v>
      </c>
      <c r="B23" s="135" t="str">
        <f>COVER!T21</f>
        <v>309-685-7621</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6197538</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6180809</v>
      </c>
      <c r="D92" s="2" t="str">
        <f t="shared" si="0"/>
        <v>Error?</v>
      </c>
      <c r="G92" s="1898">
        <v>102640600</v>
      </c>
    </row>
    <row r="93" spans="1:7" ht="15" x14ac:dyDescent="0.25">
      <c r="A93" s="5">
        <v>32</v>
      </c>
      <c r="B93" s="1832">
        <f>'Assets-Liab 5-6'!C41</f>
        <v>6197538</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3077659</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3027659</v>
      </c>
      <c r="D123" s="2" t="str">
        <f t="shared" si="0"/>
        <v>Error?</v>
      </c>
      <c r="G123" s="1898">
        <v>203000400</v>
      </c>
    </row>
    <row r="124" spans="1:7" ht="15" x14ac:dyDescent="0.25">
      <c r="A124" s="5">
        <v>63</v>
      </c>
      <c r="B124" s="1832">
        <f>'Assets-Liab 5-6'!D41</f>
        <v>3077659</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2237795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1753800</v>
      </c>
      <c r="D140" s="2" t="str">
        <f t="shared" si="1"/>
        <v>Error?</v>
      </c>
    </row>
    <row r="141" spans="1:7" x14ac:dyDescent="0.2">
      <c r="A141" s="5">
        <v>80</v>
      </c>
      <c r="B141" s="1832">
        <f>'Assets-Liab 5-6'!E41</f>
        <v>2237795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1324942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1324942</v>
      </c>
      <c r="D170" s="2" t="str">
        <f t="shared" si="1"/>
        <v>Error?</v>
      </c>
    </row>
    <row r="171" spans="1:4" x14ac:dyDescent="0.2">
      <c r="A171" s="5">
        <v>110</v>
      </c>
      <c r="B171" s="1832">
        <f>'Assets-Liab 5-6'!F41</f>
        <v>1324942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946412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541849</v>
      </c>
      <c r="D189" s="2" t="str">
        <f t="shared" si="1"/>
        <v>Error?</v>
      </c>
    </row>
    <row r="190" spans="1:4" x14ac:dyDescent="0.2">
      <c r="A190" s="5">
        <v>129</v>
      </c>
      <c r="B190" s="1832">
        <f>'Assets-Liab 5-6'!G41</f>
        <v>946412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705130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705130</v>
      </c>
      <c r="D212" s="2" t="str">
        <f t="shared" si="2"/>
        <v>Error?</v>
      </c>
    </row>
    <row r="213" spans="1:4" x14ac:dyDescent="0.2">
      <c r="A213" s="12">
        <v>152</v>
      </c>
      <c r="B213" s="1832">
        <f>'Assets-Liab 5-6'!H41</f>
        <v>705130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542305</v>
      </c>
      <c r="D273" s="2" t="str">
        <f t="shared" si="3"/>
        <v>Error?</v>
      </c>
    </row>
    <row r="274" spans="1:4" x14ac:dyDescent="0.2">
      <c r="A274" s="5">
        <v>213</v>
      </c>
      <c r="B274" s="1832">
        <f>'Assets-Liab 5-6'!M17</f>
        <v>61015606</v>
      </c>
      <c r="D274" s="2" t="str">
        <f t="shared" si="3"/>
        <v>Error?</v>
      </c>
    </row>
    <row r="275" spans="1:4" x14ac:dyDescent="0.2">
      <c r="A275" s="5">
        <v>214</v>
      </c>
      <c r="B275" s="1832">
        <f>'Assets-Liab 5-6'!M18</f>
        <v>1648645</v>
      </c>
      <c r="D275" s="2" t="str">
        <f t="shared" si="3"/>
        <v>Error?</v>
      </c>
    </row>
    <row r="276" spans="1:4" x14ac:dyDescent="0.2">
      <c r="A276" s="5">
        <v>215</v>
      </c>
      <c r="B276" s="1832">
        <f>'Assets-Liab 5-6'!M19</f>
        <v>2542534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65759090</v>
      </c>
      <c r="C279" s="2" t="s">
        <v>569</v>
      </c>
      <c r="D279" s="2" t="str">
        <f t="shared" si="3"/>
        <v>Error?</v>
      </c>
    </row>
    <row r="280" spans="1:4" x14ac:dyDescent="0.2">
      <c r="A280" s="5">
        <v>219</v>
      </c>
      <c r="B280" s="1832">
        <f>'Assets-Liab 5-6'!M40</f>
        <v>65759090</v>
      </c>
      <c r="D280" s="2" t="str">
        <f t="shared" si="3"/>
        <v>Error?</v>
      </c>
    </row>
    <row r="281" spans="1:4" x14ac:dyDescent="0.2">
      <c r="A281" s="5">
        <v>220</v>
      </c>
      <c r="B281" s="1832">
        <f>'Assets-Liab 5-6'!M41</f>
        <v>65759090</v>
      </c>
      <c r="C281" s="2" t="s">
        <v>569</v>
      </c>
      <c r="D281" s="2" t="str">
        <f t="shared" si="3"/>
        <v>Error?</v>
      </c>
    </row>
    <row r="282" spans="1:4" x14ac:dyDescent="0.2">
      <c r="A282" s="5">
        <v>221</v>
      </c>
      <c r="B282" s="1832">
        <f>'Assets-Liab 5-6'!N21</f>
        <v>2237795</v>
      </c>
      <c r="D282" s="2" t="str">
        <f t="shared" si="3"/>
        <v>Error?</v>
      </c>
    </row>
    <row r="283" spans="1:4" x14ac:dyDescent="0.2">
      <c r="A283" s="5">
        <v>222</v>
      </c>
      <c r="B283" s="1832">
        <f>'Assets-Liab 5-6'!N22</f>
        <v>32738161</v>
      </c>
      <c r="D283" s="2" t="str">
        <f t="shared" si="3"/>
        <v>Error?</v>
      </c>
    </row>
    <row r="284" spans="1:4" x14ac:dyDescent="0.2">
      <c r="A284" s="5">
        <v>223</v>
      </c>
      <c r="B284" s="1832">
        <f>'Assets-Liab 5-6'!N23</f>
        <v>34975956</v>
      </c>
      <c r="C284" s="2" t="s">
        <v>569</v>
      </c>
      <c r="D284" s="2" t="str">
        <f t="shared" si="3"/>
        <v>Error?</v>
      </c>
    </row>
    <row r="285" spans="1:4" x14ac:dyDescent="0.2">
      <c r="A285" s="5">
        <v>224</v>
      </c>
      <c r="B285" s="1832">
        <f>'Assets-Liab 5-6'!N36</f>
        <v>34975956</v>
      </c>
      <c r="D285" s="2" t="str">
        <f t="shared" si="3"/>
        <v>Error?</v>
      </c>
    </row>
    <row r="286" spans="1:4" x14ac:dyDescent="0.2">
      <c r="A286" s="10">
        <v>225</v>
      </c>
      <c r="B286" s="1832"/>
      <c r="D286" s="2" t="str">
        <f t="shared" si="3"/>
        <v>OK</v>
      </c>
    </row>
    <row r="287" spans="1:4" x14ac:dyDescent="0.2">
      <c r="A287" s="5">
        <v>226</v>
      </c>
      <c r="B287" s="1832">
        <f>'Assets-Liab 5-6'!N37</f>
        <v>34975956</v>
      </c>
      <c r="C287" s="2" t="s">
        <v>569</v>
      </c>
      <c r="D287" s="2" t="str">
        <f t="shared" si="3"/>
        <v>Error?</v>
      </c>
    </row>
    <row r="288" spans="1:4" x14ac:dyDescent="0.2">
      <c r="A288" s="5">
        <v>227</v>
      </c>
      <c r="B288" s="1832">
        <f>'Assets-Liab 5-6'!N41</f>
        <v>34975956</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7113488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259397</v>
      </c>
      <c r="D717" s="2" t="str">
        <f t="shared" si="10"/>
        <v>Error?</v>
      </c>
    </row>
    <row r="718" spans="1:4" x14ac:dyDescent="0.2">
      <c r="A718" s="5">
        <v>657</v>
      </c>
      <c r="B718" s="1832">
        <f>'Expenditures 15-22'!C14</f>
        <v>450505</v>
      </c>
      <c r="D718" s="2" t="str">
        <f t="shared" si="10"/>
        <v>Error?</v>
      </c>
    </row>
    <row r="719" spans="1:4" x14ac:dyDescent="0.2">
      <c r="A719" s="5">
        <v>658</v>
      </c>
      <c r="B719" s="1832">
        <f>'Expenditures 15-22'!C15</f>
        <v>362</v>
      </c>
      <c r="D719" s="2" t="str">
        <f t="shared" si="10"/>
        <v>Error?</v>
      </c>
    </row>
    <row r="720" spans="1:4" x14ac:dyDescent="0.2">
      <c r="A720" s="5">
        <v>659</v>
      </c>
      <c r="B720" s="1832">
        <f>'Expenditures 15-22'!C33</f>
        <v>8795107</v>
      </c>
      <c r="C720" s="2" t="s">
        <v>569</v>
      </c>
      <c r="D720" s="2" t="str">
        <f t="shared" si="10"/>
        <v>Error?</v>
      </c>
    </row>
    <row r="721" spans="1:4" x14ac:dyDescent="0.2">
      <c r="A721" s="5">
        <v>660</v>
      </c>
      <c r="B721" s="1832">
        <f>'Expenditures 15-22'!C36</f>
        <v>143225</v>
      </c>
      <c r="D721" s="2" t="str">
        <f t="shared" si="10"/>
        <v>Error?</v>
      </c>
    </row>
    <row r="722" spans="1:4" x14ac:dyDescent="0.2">
      <c r="A722" s="5">
        <v>661</v>
      </c>
      <c r="B722" s="1832">
        <f>'Expenditures 15-22'!C37</f>
        <v>289179</v>
      </c>
      <c r="D722" s="2" t="str">
        <f t="shared" si="10"/>
        <v>Error?</v>
      </c>
    </row>
    <row r="723" spans="1:4" x14ac:dyDescent="0.2">
      <c r="A723" s="5">
        <v>662</v>
      </c>
      <c r="B723" s="1832">
        <f>'Expenditures 15-22'!C38</f>
        <v>91408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523812</v>
      </c>
      <c r="C727" s="2" t="s">
        <v>569</v>
      </c>
      <c r="D727" s="2" t="str">
        <f t="shared" si="10"/>
        <v>Error?</v>
      </c>
    </row>
    <row r="728" spans="1:4" x14ac:dyDescent="0.2">
      <c r="A728" s="5">
        <v>667</v>
      </c>
      <c r="B728" s="1832">
        <f>'Expenditures 15-22'!C44</f>
        <v>81008</v>
      </c>
      <c r="D728" s="2" t="str">
        <f t="shared" si="10"/>
        <v>Error?</v>
      </c>
    </row>
    <row r="729" spans="1:4" x14ac:dyDescent="0.2">
      <c r="A729" s="5">
        <v>668</v>
      </c>
      <c r="B729" s="1832">
        <f>'Expenditures 15-22'!C45</f>
        <v>279083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360091</v>
      </c>
      <c r="C731" s="2" t="s">
        <v>569</v>
      </c>
      <c r="D731" s="2" t="str">
        <f t="shared" si="10"/>
        <v>Error?</v>
      </c>
    </row>
    <row r="732" spans="1:4" x14ac:dyDescent="0.2">
      <c r="A732" s="5">
        <v>671</v>
      </c>
      <c r="B732" s="1832">
        <f>'Expenditures 15-22'!C49</f>
        <v>2300</v>
      </c>
      <c r="D732" s="2" t="str">
        <f t="shared" si="10"/>
        <v>Error?</v>
      </c>
    </row>
    <row r="733" spans="1:4" x14ac:dyDescent="0.2">
      <c r="A733" s="5">
        <v>672</v>
      </c>
      <c r="B733" s="1832">
        <f>'Expenditures 15-22'!C50</f>
        <v>137701</v>
      </c>
      <c r="D733" s="2" t="str">
        <f t="shared" si="10"/>
        <v>Error?</v>
      </c>
    </row>
    <row r="734" spans="1:4" x14ac:dyDescent="0.2">
      <c r="A734" s="5">
        <v>673</v>
      </c>
      <c r="B734" s="1832">
        <f>'Expenditures 15-22'!C53</f>
        <v>140001</v>
      </c>
      <c r="C734" s="2" t="s">
        <v>569</v>
      </c>
      <c r="D734" s="2" t="str">
        <f t="shared" si="10"/>
        <v>Error?</v>
      </c>
    </row>
    <row r="735" spans="1:4" x14ac:dyDescent="0.2">
      <c r="A735" s="5">
        <v>674</v>
      </c>
      <c r="B735" s="1832">
        <f>'Expenditures 15-22'!C55</f>
        <v>1029610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1029610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275840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449346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725186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68505</v>
      </c>
      <c r="D754" s="2" t="str">
        <f t="shared" si="10"/>
        <v>Error?</v>
      </c>
    </row>
    <row r="755" spans="1:4" x14ac:dyDescent="0.2">
      <c r="A755" s="5">
        <v>694</v>
      </c>
      <c r="B755" s="1832">
        <f>'Expenditures 15-22'!C74</f>
        <v>2847205</v>
      </c>
      <c r="C755" s="2" t="s">
        <v>569</v>
      </c>
      <c r="D755" s="2" t="str">
        <f t="shared" si="10"/>
        <v>Error?</v>
      </c>
    </row>
    <row r="756" spans="1:4" x14ac:dyDescent="0.2">
      <c r="A756" s="5">
        <v>695</v>
      </c>
      <c r="B756" s="1832">
        <f>'Expenditures 15-22'!C75</f>
        <v>127647</v>
      </c>
      <c r="D756" s="2" t="str">
        <f t="shared" si="10"/>
        <v>Error?</v>
      </c>
    </row>
    <row r="757" spans="1:4" x14ac:dyDescent="0.2">
      <c r="A757" s="5">
        <v>696</v>
      </c>
      <c r="B757" s="1832">
        <f>'Expenditures 15-22'!C114</f>
        <v>11769959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1115692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37403</v>
      </c>
      <c r="D775" s="2" t="str">
        <f t="shared" si="11"/>
        <v>Error?</v>
      </c>
    </row>
    <row r="776" spans="1:4" x14ac:dyDescent="0.2">
      <c r="A776" s="5">
        <v>715</v>
      </c>
      <c r="B776" s="1832">
        <f>'Expenditures 15-22'!D14</f>
        <v>7076</v>
      </c>
      <c r="D776" s="2" t="str">
        <f t="shared" si="11"/>
        <v>Error?</v>
      </c>
    </row>
    <row r="777" spans="1:4" x14ac:dyDescent="0.2">
      <c r="A777" s="5">
        <v>716</v>
      </c>
      <c r="B777" s="1832">
        <f>'Expenditures 15-22'!D15</f>
        <v>5</v>
      </c>
      <c r="D777" s="2" t="str">
        <f t="shared" si="11"/>
        <v>Error?</v>
      </c>
    </row>
    <row r="778" spans="1:4" x14ac:dyDescent="0.2">
      <c r="A778" s="5">
        <v>717</v>
      </c>
      <c r="B778" s="1832">
        <f>'Expenditures 15-22'!D33</f>
        <v>1332314</v>
      </c>
      <c r="C778" s="2" t="s">
        <v>569</v>
      </c>
      <c r="D778" s="2" t="str">
        <f t="shared" si="11"/>
        <v>Error?</v>
      </c>
    </row>
    <row r="779" spans="1:4" x14ac:dyDescent="0.2">
      <c r="A779" s="5">
        <v>718</v>
      </c>
      <c r="B779" s="1832">
        <f>'Expenditures 15-22'!D36</f>
        <v>34475</v>
      </c>
      <c r="D779" s="2" t="str">
        <f t="shared" si="11"/>
        <v>Error?</v>
      </c>
    </row>
    <row r="780" spans="1:4" x14ac:dyDescent="0.2">
      <c r="A780" s="5">
        <v>719</v>
      </c>
      <c r="B780" s="1832">
        <f>'Expenditures 15-22'!D37</f>
        <v>33141</v>
      </c>
      <c r="D780" s="2" t="str">
        <f t="shared" si="11"/>
        <v>Error?</v>
      </c>
    </row>
    <row r="781" spans="1:4" x14ac:dyDescent="0.2">
      <c r="A781" s="5">
        <v>720</v>
      </c>
      <c r="B781" s="1832">
        <f>'Expenditures 15-22'!D38</f>
        <v>32244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99860</v>
      </c>
      <c r="C785" s="2" t="s">
        <v>569</v>
      </c>
      <c r="D785" s="2" t="str">
        <f t="shared" si="11"/>
        <v>Error?</v>
      </c>
    </row>
    <row r="786" spans="1:4" x14ac:dyDescent="0.2">
      <c r="A786" s="5">
        <v>725</v>
      </c>
      <c r="B786" s="1832">
        <f>'Expenditures 15-22'!D44</f>
        <v>12431</v>
      </c>
      <c r="D786" s="2" t="str">
        <f t="shared" si="11"/>
        <v>Error?</v>
      </c>
    </row>
    <row r="787" spans="1:4" x14ac:dyDescent="0.2">
      <c r="A787" s="5">
        <v>726</v>
      </c>
      <c r="B787" s="1832">
        <f>'Expenditures 15-22'!D45</f>
        <v>52572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65003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33276</v>
      </c>
      <c r="D791" s="2" t="str">
        <f t="shared" si="11"/>
        <v>Error?</v>
      </c>
    </row>
    <row r="792" spans="1:4" x14ac:dyDescent="0.2">
      <c r="A792" s="5">
        <v>731</v>
      </c>
      <c r="B792" s="1832">
        <f>'Expenditures 15-22'!D53</f>
        <v>33276</v>
      </c>
      <c r="C792" s="2" t="s">
        <v>569</v>
      </c>
      <c r="D792" s="2" t="str">
        <f t="shared" si="11"/>
        <v>Error?</v>
      </c>
    </row>
    <row r="793" spans="1:4" x14ac:dyDescent="0.2">
      <c r="A793" s="5">
        <v>732</v>
      </c>
      <c r="B793" s="1832">
        <f>'Expenditures 15-22'!D55</f>
        <v>309702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309702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57970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88883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146853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2816</v>
      </c>
      <c r="D812" s="2" t="str">
        <f t="shared" si="11"/>
        <v>Error?</v>
      </c>
    </row>
    <row r="813" spans="1:4" x14ac:dyDescent="0.2">
      <c r="A813" s="5">
        <v>752</v>
      </c>
      <c r="B813" s="1832">
        <f>'Expenditures 15-22'!D74</f>
        <v>657510</v>
      </c>
      <c r="C813" s="2" t="s">
        <v>569</v>
      </c>
      <c r="D813" s="2" t="str">
        <f t="shared" si="11"/>
        <v>Error?</v>
      </c>
    </row>
    <row r="814" spans="1:4" x14ac:dyDescent="0.2">
      <c r="A814" s="5">
        <v>753</v>
      </c>
      <c r="B814" s="1832">
        <f>'Expenditures 15-22'!D75</f>
        <v>13278</v>
      </c>
      <c r="D814" s="2" t="str">
        <f t="shared" si="11"/>
        <v>Error?</v>
      </c>
    </row>
    <row r="815" spans="1:4" x14ac:dyDescent="0.2">
      <c r="A815" s="5">
        <v>754</v>
      </c>
      <c r="B815" s="1832">
        <f>'Expenditures 15-22'!D114</f>
        <v>2003102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43590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14346</v>
      </c>
      <c r="D833" s="2" t="str">
        <f t="shared" si="12"/>
        <v>Error?</v>
      </c>
    </row>
    <row r="834" spans="1:4" x14ac:dyDescent="0.2">
      <c r="A834" s="5">
        <v>773</v>
      </c>
      <c r="B834" s="1832">
        <f>'Expenditures 15-22'!E14</f>
        <v>119470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194253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215</v>
      </c>
      <c r="D838" s="2" t="str">
        <f t="shared" si="12"/>
        <v>Error?</v>
      </c>
    </row>
    <row r="839" spans="1:4" x14ac:dyDescent="0.2">
      <c r="A839" s="5">
        <v>778</v>
      </c>
      <c r="B839" s="1832">
        <f>'Expenditures 15-22'!E38</f>
        <v>377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592</v>
      </c>
      <c r="C843" s="2" t="s">
        <v>569</v>
      </c>
      <c r="D843" s="2" t="str">
        <f t="shared" si="12"/>
        <v>Error?</v>
      </c>
    </row>
    <row r="844" spans="1:4" x14ac:dyDescent="0.2">
      <c r="A844" s="5">
        <v>783</v>
      </c>
      <c r="B844" s="1832">
        <f>'Expenditures 15-22'!E44</f>
        <v>163356</v>
      </c>
      <c r="D844" s="2" t="str">
        <f t="shared" si="12"/>
        <v>Error?</v>
      </c>
    </row>
    <row r="845" spans="1:4" x14ac:dyDescent="0.2">
      <c r="A845" s="5">
        <v>784</v>
      </c>
      <c r="B845" s="1832">
        <f>'Expenditures 15-22'!E45</f>
        <v>14691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178047</v>
      </c>
      <c r="C847" s="2" t="s">
        <v>569</v>
      </c>
      <c r="D847" s="2" t="str">
        <f t="shared" si="12"/>
        <v>Error?</v>
      </c>
    </row>
    <row r="848" spans="1:4" x14ac:dyDescent="0.2">
      <c r="A848" s="5">
        <v>787</v>
      </c>
      <c r="B848" s="1832">
        <f>'Expenditures 15-22'!E49</f>
        <v>95421</v>
      </c>
      <c r="D848" s="2" t="str">
        <f t="shared" si="12"/>
        <v>Error?</v>
      </c>
    </row>
    <row r="849" spans="1:4" x14ac:dyDescent="0.2">
      <c r="A849" s="5">
        <v>788</v>
      </c>
      <c r="B849" s="1832">
        <f>'Expenditures 15-22'!E50</f>
        <v>1318</v>
      </c>
      <c r="D849" s="2" t="str">
        <f t="shared" si="12"/>
        <v>Error?</v>
      </c>
    </row>
    <row r="850" spans="1:4" x14ac:dyDescent="0.2">
      <c r="A850" s="5">
        <v>789</v>
      </c>
      <c r="B850" s="1832">
        <f>'Expenditures 15-22'!E53</f>
        <v>96739</v>
      </c>
      <c r="C850" s="2" t="s">
        <v>569</v>
      </c>
      <c r="D850" s="2" t="str">
        <f t="shared" si="12"/>
        <v>Error?</v>
      </c>
    </row>
    <row r="851" spans="1:4" x14ac:dyDescent="0.2">
      <c r="A851" s="5">
        <v>790</v>
      </c>
      <c r="B851" s="1832">
        <f>'Expenditures 15-22'!E55</f>
        <v>26430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26430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92917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14488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107405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11995</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39723</v>
      </c>
      <c r="D867" s="2" t="str">
        <f t="shared" si="12"/>
        <v>Error?</v>
      </c>
    </row>
    <row r="868" spans="1:4" x14ac:dyDescent="0.2">
      <c r="A868" s="10">
        <v>807</v>
      </c>
      <c r="B868" s="1832"/>
      <c r="D868" s="2" t="str">
        <f t="shared" si="12"/>
        <v>OK</v>
      </c>
    </row>
    <row r="869" spans="1:4" x14ac:dyDescent="0.2">
      <c r="A869" s="5">
        <v>808</v>
      </c>
      <c r="B869" s="1832">
        <f>'Expenditures 15-22'!E72</f>
        <v>51718</v>
      </c>
      <c r="C869" s="2" t="s">
        <v>569</v>
      </c>
      <c r="D869" s="2" t="str">
        <f t="shared" si="12"/>
        <v>Error?</v>
      </c>
    </row>
    <row r="870" spans="1:4" x14ac:dyDescent="0.2">
      <c r="A870" s="5">
        <v>809</v>
      </c>
      <c r="B870" s="1832">
        <f>'Expenditures 15-22'!E73</f>
        <v>1995</v>
      </c>
      <c r="D870" s="2" t="str">
        <f t="shared" si="12"/>
        <v>Error?</v>
      </c>
    </row>
    <row r="871" spans="1:4" x14ac:dyDescent="0.2">
      <c r="A871" s="5">
        <v>810</v>
      </c>
      <c r="B871" s="1832">
        <f>'Expenditures 15-22'!E74</f>
        <v>462926</v>
      </c>
      <c r="C871" s="2" t="s">
        <v>569</v>
      </c>
      <c r="D871" s="2" t="str">
        <f t="shared" si="12"/>
        <v>Error?</v>
      </c>
    </row>
    <row r="872" spans="1:4" x14ac:dyDescent="0.2">
      <c r="A872" s="5">
        <v>811</v>
      </c>
      <c r="B872" s="1832">
        <f>'Expenditures 15-22'!E75</f>
        <v>792</v>
      </c>
      <c r="D872" s="2" t="str">
        <f t="shared" si="12"/>
        <v>Error?</v>
      </c>
    </row>
    <row r="873" spans="1:4" x14ac:dyDescent="0.2">
      <c r="A873" s="5">
        <v>812</v>
      </c>
      <c r="B873" s="1832">
        <f>'Expenditures 15-22'!E114</f>
        <v>1225602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267048</v>
      </c>
      <c r="D879" s="2" t="str">
        <f t="shared" si="12"/>
        <v>Error?</v>
      </c>
    </row>
    <row r="880" spans="1:4" x14ac:dyDescent="0.2">
      <c r="A880" s="5">
        <v>819</v>
      </c>
      <c r="B880" s="1832">
        <f>'Expenditures 15-22'!F16</f>
        <v>750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42255</v>
      </c>
      <c r="D891" s="2" t="str">
        <f t="shared" si="12"/>
        <v>Error?</v>
      </c>
    </row>
    <row r="892" spans="1:4" x14ac:dyDescent="0.2">
      <c r="A892" s="5">
        <v>831</v>
      </c>
      <c r="B892" s="1832">
        <f>'Expenditures 15-22'!F14</f>
        <v>121180</v>
      </c>
      <c r="D892" s="2" t="str">
        <f t="shared" si="12"/>
        <v>Error?</v>
      </c>
    </row>
    <row r="893" spans="1:4" x14ac:dyDescent="0.2">
      <c r="A893" s="5">
        <v>832</v>
      </c>
      <c r="B893" s="1832">
        <f>'Expenditures 15-22'!F15</f>
        <v>49</v>
      </c>
      <c r="D893" s="2" t="str">
        <f t="shared" si="12"/>
        <v>Error?</v>
      </c>
    </row>
    <row r="894" spans="1:4" x14ac:dyDescent="0.2">
      <c r="A894" s="5">
        <v>833</v>
      </c>
      <c r="B894" s="1832">
        <f>'Expenditures 15-22'!F33</f>
        <v>464236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703</v>
      </c>
      <c r="D896" s="2" t="str">
        <f t="shared" si="13"/>
        <v>Error?</v>
      </c>
    </row>
    <row r="897" spans="1:4" x14ac:dyDescent="0.2">
      <c r="A897" s="5">
        <v>836</v>
      </c>
      <c r="B897" s="1832">
        <f>'Expenditures 15-22'!F38</f>
        <v>1881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2584</v>
      </c>
      <c r="C901" s="2" t="s">
        <v>569</v>
      </c>
      <c r="D901" s="2" t="str">
        <f t="shared" si="13"/>
        <v>Error?</v>
      </c>
    </row>
    <row r="902" spans="1:4" x14ac:dyDescent="0.2">
      <c r="A902" s="5">
        <v>841</v>
      </c>
      <c r="B902" s="1832">
        <f>'Expenditures 15-22'!F44</f>
        <v>27089</v>
      </c>
      <c r="D902" s="2" t="str">
        <f t="shared" si="13"/>
        <v>Error?</v>
      </c>
    </row>
    <row r="903" spans="1:4" x14ac:dyDescent="0.2">
      <c r="A903" s="5">
        <v>842</v>
      </c>
      <c r="B903" s="1832">
        <f>'Expenditures 15-22'!F45</f>
        <v>407359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434448</v>
      </c>
      <c r="C905" s="2" t="s">
        <v>569</v>
      </c>
      <c r="D905" s="2" t="str">
        <f t="shared" si="13"/>
        <v>Error?</v>
      </c>
    </row>
    <row r="906" spans="1:4" x14ac:dyDescent="0.2">
      <c r="A906" s="5">
        <v>845</v>
      </c>
      <c r="B906" s="1832">
        <f>'Expenditures 15-22'!F49</f>
        <v>2577</v>
      </c>
      <c r="D906" s="2" t="str">
        <f t="shared" si="13"/>
        <v>Error?</v>
      </c>
    </row>
    <row r="907" spans="1:4" x14ac:dyDescent="0.2">
      <c r="A907" s="5">
        <v>846</v>
      </c>
      <c r="B907" s="1832">
        <f>'Expenditures 15-22'!F50</f>
        <v>1632</v>
      </c>
      <c r="D907" s="2" t="str">
        <f t="shared" si="13"/>
        <v>Error?</v>
      </c>
    </row>
    <row r="908" spans="1:4" x14ac:dyDescent="0.2">
      <c r="A908" s="5">
        <v>847</v>
      </c>
      <c r="B908" s="1832">
        <f>'Expenditures 15-22'!F53</f>
        <v>4209</v>
      </c>
      <c r="C908" s="2" t="s">
        <v>569</v>
      </c>
      <c r="D908" s="2" t="str">
        <f t="shared" si="13"/>
        <v>Error?</v>
      </c>
    </row>
    <row r="909" spans="1:4" x14ac:dyDescent="0.2">
      <c r="A909" s="5">
        <v>848</v>
      </c>
      <c r="B909" s="1832">
        <f>'Expenditures 15-22'!F55</f>
        <v>14643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14643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15315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549342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564657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2200</v>
      </c>
      <c r="D925" s="2" t="str">
        <f t="shared" si="13"/>
        <v>Error?</v>
      </c>
    </row>
    <row r="926" spans="1:4" x14ac:dyDescent="0.2">
      <c r="A926" s="10">
        <v>865</v>
      </c>
      <c r="B926" s="1832"/>
      <c r="D926" s="2" t="str">
        <f t="shared" si="13"/>
        <v>OK</v>
      </c>
    </row>
    <row r="927" spans="1:4" x14ac:dyDescent="0.2">
      <c r="A927" s="5">
        <v>866</v>
      </c>
      <c r="B927" s="1832">
        <f>'Expenditures 15-22'!F72</f>
        <v>2200</v>
      </c>
      <c r="C927" s="2" t="s">
        <v>569</v>
      </c>
      <c r="D927" s="2" t="str">
        <f t="shared" si="13"/>
        <v>Error?</v>
      </c>
    </row>
    <row r="928" spans="1:4" x14ac:dyDescent="0.2">
      <c r="A928" s="5">
        <v>867</v>
      </c>
      <c r="B928" s="1832">
        <f>'Expenditures 15-22'!F73</f>
        <v>2937</v>
      </c>
      <c r="D928" s="2" t="str">
        <f t="shared" si="13"/>
        <v>Error?</v>
      </c>
    </row>
    <row r="929" spans="1:4" x14ac:dyDescent="0.2">
      <c r="A929" s="5">
        <v>868</v>
      </c>
      <c r="B929" s="1832">
        <f>'Expenditures 15-22'!F74</f>
        <v>1025678</v>
      </c>
      <c r="C929" s="2" t="s">
        <v>569</v>
      </c>
      <c r="D929" s="2" t="str">
        <f t="shared" si="13"/>
        <v>Error?</v>
      </c>
    </row>
    <row r="930" spans="1:4" x14ac:dyDescent="0.2">
      <c r="A930" s="5">
        <v>869</v>
      </c>
      <c r="B930" s="1832">
        <f>'Expenditures 15-22'!F75</f>
        <v>10107</v>
      </c>
      <c r="D930" s="2" t="str">
        <f t="shared" si="13"/>
        <v>Error?</v>
      </c>
    </row>
    <row r="931" spans="1:4" x14ac:dyDescent="0.2">
      <c r="A931" s="5">
        <v>870</v>
      </c>
      <c r="B931" s="1832">
        <f>'Expenditures 15-22'!F114</f>
        <v>1500021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1563</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1563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28500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28500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28500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30063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21304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74402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986</v>
      </c>
      <c r="D1022" s="2" t="str">
        <f t="shared" si="14"/>
        <v>Error?</v>
      </c>
    </row>
    <row r="1023" spans="1:4" x14ac:dyDescent="0.2">
      <c r="A1023" s="5">
        <v>962</v>
      </c>
      <c r="B1023" s="1832">
        <f>'Expenditures 15-22'!H50</f>
        <v>9512</v>
      </c>
      <c r="D1023" s="2" t="str">
        <f t="shared" ref="D1023:D1086" si="15">IF(ISBLANK(B1023),"OK",IF(A1023-B1023=0,"OK","Error?"))</f>
        <v>Error?</v>
      </c>
    </row>
    <row r="1024" spans="1:4" x14ac:dyDescent="0.2">
      <c r="A1024" s="5">
        <v>963</v>
      </c>
      <c r="B1024" s="1832">
        <f>'Expenditures 15-22'!H53</f>
        <v>10498</v>
      </c>
      <c r="C1024" s="2" t="s">
        <v>569</v>
      </c>
      <c r="D1024" s="2" t="str">
        <f t="shared" si="15"/>
        <v>Error?</v>
      </c>
    </row>
    <row r="1025" spans="1:4" x14ac:dyDescent="0.2">
      <c r="A1025" s="5">
        <v>964</v>
      </c>
      <c r="B1025" s="1832">
        <f>'Expenditures 15-22'!H55</f>
        <v>3955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3955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659</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1355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2014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16467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1525383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1616252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8539818</v>
      </c>
      <c r="C1093" s="2" t="s">
        <v>569</v>
      </c>
      <c r="D1093" s="2" t="str">
        <f t="shared" si="16"/>
        <v>Error?</v>
      </c>
    </row>
    <row r="1094" spans="1:4" x14ac:dyDescent="0.2">
      <c r="A1094" s="5">
        <v>1033</v>
      </c>
      <c r="B1094" s="1832">
        <f>'Expenditures 15-22'!K16</f>
        <v>750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354964</v>
      </c>
      <c r="C1105" s="2" t="s">
        <v>569</v>
      </c>
      <c r="D1105" s="2" t="str">
        <f t="shared" si="16"/>
        <v>Error?</v>
      </c>
    </row>
    <row r="1106" spans="1:4" x14ac:dyDescent="0.2">
      <c r="A1106" s="5">
        <v>1045</v>
      </c>
      <c r="B1106" s="1832">
        <f>'Expenditures 15-22'!K14</f>
        <v>719535</v>
      </c>
      <c r="C1106" s="2" t="s">
        <v>569</v>
      </c>
      <c r="D1106" s="2" t="str">
        <f t="shared" si="16"/>
        <v>Error?</v>
      </c>
    </row>
    <row r="1107" spans="1:4" x14ac:dyDescent="0.2">
      <c r="A1107" s="5">
        <v>1046</v>
      </c>
      <c r="B1107" s="1832">
        <f>'Expenditures 15-22'!K15</f>
        <v>416</v>
      </c>
      <c r="C1107" s="2" t="s">
        <v>569</v>
      </c>
      <c r="D1107" s="2" t="str">
        <f t="shared" si="16"/>
        <v>Error?</v>
      </c>
    </row>
    <row r="1108" spans="1:4" x14ac:dyDescent="0.2">
      <c r="A1108" s="5">
        <v>1047</v>
      </c>
      <c r="B1108" s="1832">
        <f>'Expenditures 15-22'!K33</f>
        <v>10861875</v>
      </c>
      <c r="C1108" s="2" t="s">
        <v>569</v>
      </c>
      <c r="D1108" s="2" t="str">
        <f t="shared" si="16"/>
        <v>Error?</v>
      </c>
    </row>
    <row r="1109" spans="1:4" x14ac:dyDescent="0.2">
      <c r="A1109" s="5">
        <v>1048</v>
      </c>
      <c r="B1109" s="1832">
        <f>'Expenditures 15-22'!K36</f>
        <v>177700</v>
      </c>
      <c r="C1109" s="2" t="s">
        <v>569</v>
      </c>
      <c r="D1109" s="2" t="str">
        <f t="shared" si="16"/>
        <v>Error?</v>
      </c>
    </row>
    <row r="1110" spans="1:4" x14ac:dyDescent="0.2">
      <c r="A1110" s="5">
        <v>1049</v>
      </c>
      <c r="B1110" s="1832">
        <f>'Expenditures 15-22'!K37</f>
        <v>323238</v>
      </c>
      <c r="C1110" s="2" t="s">
        <v>569</v>
      </c>
      <c r="D1110" s="2" t="str">
        <f t="shared" si="16"/>
        <v>Error?</v>
      </c>
    </row>
    <row r="1111" spans="1:4" x14ac:dyDescent="0.2">
      <c r="A1111" s="5">
        <v>1050</v>
      </c>
      <c r="B1111" s="1832">
        <f>'Expenditures 15-22'!K38</f>
        <v>125910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626848</v>
      </c>
      <c r="C1115" s="2" t="s">
        <v>569</v>
      </c>
      <c r="D1115" s="2" t="str">
        <f t="shared" si="16"/>
        <v>Error?</v>
      </c>
    </row>
    <row r="1116" spans="1:4" x14ac:dyDescent="0.2">
      <c r="A1116" s="5">
        <v>1055</v>
      </c>
      <c r="B1116" s="1832">
        <f>'Expenditures 15-22'!K44</f>
        <v>283884</v>
      </c>
      <c r="C1116" s="2" t="s">
        <v>569</v>
      </c>
      <c r="D1116" s="2" t="str">
        <f t="shared" si="16"/>
        <v>Error?</v>
      </c>
    </row>
    <row r="1117" spans="1:4" x14ac:dyDescent="0.2">
      <c r="A1117" s="5">
        <v>1056</v>
      </c>
      <c r="B1117" s="1832">
        <f>'Expenditures 15-22'!K45</f>
        <v>974515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1258399</v>
      </c>
      <c r="C1119" s="2" t="s">
        <v>569</v>
      </c>
      <c r="D1119" s="2" t="str">
        <f t="shared" si="16"/>
        <v>Error?</v>
      </c>
    </row>
    <row r="1120" spans="1:4" x14ac:dyDescent="0.2">
      <c r="A1120" s="5">
        <v>1059</v>
      </c>
      <c r="B1120" s="1832">
        <f>'Expenditures 15-22'!K49</f>
        <v>101284</v>
      </c>
      <c r="C1120" s="2" t="s">
        <v>569</v>
      </c>
      <c r="D1120" s="2" t="str">
        <f t="shared" si="16"/>
        <v>Error?</v>
      </c>
    </row>
    <row r="1121" spans="1:4" x14ac:dyDescent="0.2">
      <c r="A1121" s="5">
        <v>1060</v>
      </c>
      <c r="B1121" s="1832">
        <f>'Expenditures 15-22'!K50</f>
        <v>183439</v>
      </c>
      <c r="C1121" s="2" t="s">
        <v>569</v>
      </c>
      <c r="D1121" s="2" t="str">
        <f t="shared" si="16"/>
        <v>Error?</v>
      </c>
    </row>
    <row r="1122" spans="1:4" x14ac:dyDescent="0.2">
      <c r="A1122" s="5">
        <v>1061</v>
      </c>
      <c r="B1122" s="1832">
        <f>'Expenditures 15-22'!K53</f>
        <v>284723</v>
      </c>
      <c r="C1122" s="2" t="s">
        <v>569</v>
      </c>
      <c r="D1122" s="2" t="str">
        <f t="shared" si="16"/>
        <v>Error?</v>
      </c>
    </row>
    <row r="1123" spans="1:4" x14ac:dyDescent="0.2">
      <c r="A1123" s="5">
        <v>1062</v>
      </c>
      <c r="B1123" s="1832">
        <f>'Expenditures 15-22'!K55</f>
        <v>1384340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1384340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442701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1106211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1548912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11995</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41923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53918</v>
      </c>
      <c r="C1141" s="2" t="s">
        <v>569</v>
      </c>
      <c r="D1141" s="2" t="str">
        <f t="shared" si="16"/>
        <v>Error?</v>
      </c>
    </row>
    <row r="1142" spans="1:4" x14ac:dyDescent="0.2">
      <c r="A1142" s="5">
        <v>1081</v>
      </c>
      <c r="B1142" s="1832">
        <f>'Expenditures 15-22'!K73</f>
        <v>76253</v>
      </c>
      <c r="C1142" s="2" t="s">
        <v>569</v>
      </c>
      <c r="D1142" s="2" t="str">
        <f t="shared" si="16"/>
        <v>Error?</v>
      </c>
    </row>
    <row r="1143" spans="1:4" x14ac:dyDescent="0.2">
      <c r="A1143" s="5">
        <v>1082</v>
      </c>
      <c r="B1143" s="1832">
        <f>'Expenditures 15-22'!K74</f>
        <v>5233393</v>
      </c>
      <c r="C1143" s="2" t="s">
        <v>569</v>
      </c>
      <c r="D1143" s="2" t="str">
        <f t="shared" si="16"/>
        <v>Error?</v>
      </c>
    </row>
    <row r="1144" spans="1:4" x14ac:dyDescent="0.2">
      <c r="A1144" s="5">
        <v>1083</v>
      </c>
      <c r="B1144" s="1832">
        <f>'Expenditures 15-22'!K75</f>
        <v>151824</v>
      </c>
      <c r="C1144" s="2" t="s">
        <v>569</v>
      </c>
      <c r="D1144" s="2" t="str">
        <f t="shared" si="16"/>
        <v>Error?</v>
      </c>
    </row>
    <row r="1145" spans="1:4" x14ac:dyDescent="0.2">
      <c r="A1145" s="5">
        <v>1084</v>
      </c>
      <c r="B1145" s="1832">
        <f>'Expenditures 15-22'!K102</f>
        <v>2093014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18340106</v>
      </c>
      <c r="C1152" s="2" t="s">
        <v>569</v>
      </c>
      <c r="D1152" s="2" t="str">
        <f t="shared" si="17"/>
        <v>Error?</v>
      </c>
    </row>
    <row r="1153" spans="1:4" x14ac:dyDescent="0.2">
      <c r="A1153" s="5">
        <v>1092</v>
      </c>
      <c r="B1153" s="1832">
        <f>'Expenditures 15-22'!K115</f>
        <v>-391400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785869</v>
      </c>
      <c r="D1221" s="2" t="str">
        <f t="shared" si="18"/>
        <v>Error?</v>
      </c>
    </row>
    <row r="1222" spans="1:4" x14ac:dyDescent="0.2">
      <c r="A1222" s="10">
        <v>1161</v>
      </c>
      <c r="B1222" s="1832"/>
      <c r="D1222" s="2" t="str">
        <f t="shared" si="18"/>
        <v>OK</v>
      </c>
    </row>
    <row r="1223" spans="1:4" x14ac:dyDescent="0.2">
      <c r="A1223" s="5">
        <v>1162</v>
      </c>
      <c r="B1223" s="1832">
        <f>'Expenditures 15-22'!C127</f>
        <v>785869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785869</v>
      </c>
      <c r="C1225" s="2" t="s">
        <v>569</v>
      </c>
      <c r="D1225" s="2" t="str">
        <f t="shared" si="18"/>
        <v>Error?</v>
      </c>
    </row>
    <row r="1226" spans="1:4" x14ac:dyDescent="0.2">
      <c r="A1226" s="5">
        <v>1165</v>
      </c>
      <c r="B1226" s="1832">
        <f>'Expenditures 15-22'!C151</f>
        <v>785869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162875</v>
      </c>
      <c r="D1229" s="2" t="str">
        <f t="shared" si="18"/>
        <v>Error?</v>
      </c>
    </row>
    <row r="1230" spans="1:4" x14ac:dyDescent="0.2">
      <c r="A1230" s="10">
        <v>1169</v>
      </c>
      <c r="B1230" s="1832"/>
      <c r="D1230" s="2" t="str">
        <f t="shared" si="18"/>
        <v>OK</v>
      </c>
    </row>
    <row r="1231" spans="1:4" x14ac:dyDescent="0.2">
      <c r="A1231" s="5">
        <v>1170</v>
      </c>
      <c r="B1231" s="1832">
        <f>'Expenditures 15-22'!D127</f>
        <v>162875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162875</v>
      </c>
      <c r="C1233" s="2" t="s">
        <v>569</v>
      </c>
      <c r="D1233" s="2" t="str">
        <f t="shared" si="18"/>
        <v>Error?</v>
      </c>
    </row>
    <row r="1234" spans="1:4" x14ac:dyDescent="0.2">
      <c r="A1234" s="5">
        <v>1173</v>
      </c>
      <c r="B1234" s="1832">
        <f>'Expenditures 15-22'!D151</f>
        <v>162875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21258</v>
      </c>
      <c r="D1236" s="2" t="str">
        <f t="shared" si="18"/>
        <v>Error?</v>
      </c>
    </row>
    <row r="1237" spans="1:4" x14ac:dyDescent="0.2">
      <c r="A1237" s="5">
        <v>1176</v>
      </c>
      <c r="B1237" s="1832">
        <f>'Expenditures 15-22'!E124</f>
        <v>229060</v>
      </c>
      <c r="D1237" s="2" t="str">
        <f t="shared" si="18"/>
        <v>Error?</v>
      </c>
    </row>
    <row r="1238" spans="1:4" x14ac:dyDescent="0.2">
      <c r="A1238" s="10">
        <v>1177</v>
      </c>
      <c r="B1238" s="1832"/>
      <c r="D1238" s="2" t="str">
        <f t="shared" si="18"/>
        <v>OK</v>
      </c>
    </row>
    <row r="1239" spans="1:4" x14ac:dyDescent="0.2">
      <c r="A1239" s="5">
        <v>1178</v>
      </c>
      <c r="B1239" s="1832">
        <f>'Expenditures 15-22'!E127</f>
        <v>250318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250318</v>
      </c>
      <c r="C1241" s="2" t="s">
        <v>569</v>
      </c>
      <c r="D1241" s="2" t="str">
        <f t="shared" si="18"/>
        <v>Error?</v>
      </c>
    </row>
    <row r="1242" spans="1:4" x14ac:dyDescent="0.2">
      <c r="A1242" s="5">
        <v>1181</v>
      </c>
      <c r="B1242" s="1832">
        <f>'Expenditures 15-22'!E151</f>
        <v>250318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739470</v>
      </c>
      <c r="D1245" s="2" t="str">
        <f t="shared" si="18"/>
        <v>Error?</v>
      </c>
    </row>
    <row r="1246" spans="1:4" x14ac:dyDescent="0.2">
      <c r="A1246" s="10">
        <v>1185</v>
      </c>
      <c r="B1246" s="1832"/>
      <c r="D1246" s="2" t="str">
        <f t="shared" si="18"/>
        <v>OK</v>
      </c>
    </row>
    <row r="1247" spans="1:4" x14ac:dyDescent="0.2">
      <c r="A1247" s="5">
        <v>1186</v>
      </c>
      <c r="B1247" s="1832">
        <f>'Expenditures 15-22'!F127</f>
        <v>739470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739470</v>
      </c>
      <c r="C1249" s="2" t="s">
        <v>569</v>
      </c>
      <c r="D1249" s="2" t="str">
        <f t="shared" si="18"/>
        <v>Error?</v>
      </c>
    </row>
    <row r="1250" spans="1:4" x14ac:dyDescent="0.2">
      <c r="A1250" s="5">
        <v>1189</v>
      </c>
      <c r="B1250" s="1832">
        <f>'Expenditures 15-22'!F151</f>
        <v>739470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431816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431816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431816</v>
      </c>
      <c r="C1258" s="2" t="s">
        <v>569</v>
      </c>
      <c r="D1258" s="2" t="str">
        <f t="shared" si="18"/>
        <v>Error?</v>
      </c>
    </row>
    <row r="1259" spans="1:4" x14ac:dyDescent="0.2">
      <c r="A1259" s="5">
        <v>1198</v>
      </c>
      <c r="B1259" s="1832">
        <f>'Expenditures 15-22'!G151</f>
        <v>431816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21258</v>
      </c>
      <c r="C1275" s="2" t="s">
        <v>569</v>
      </c>
      <c r="D1275" s="2" t="str">
        <f t="shared" si="18"/>
        <v>Error?</v>
      </c>
    </row>
    <row r="1276" spans="1:4" x14ac:dyDescent="0.2">
      <c r="A1276" s="5">
        <v>1215</v>
      </c>
      <c r="B1276" s="1832">
        <f>'Expenditures 15-22'!K124</f>
        <v>2349090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2370348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2370348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2370348</v>
      </c>
      <c r="C1288" s="2" t="s">
        <v>569</v>
      </c>
      <c r="D1288" s="2" t="str">
        <f t="shared" si="19"/>
        <v>Error?</v>
      </c>
    </row>
    <row r="1289" spans="1:4" x14ac:dyDescent="0.2">
      <c r="A1289" s="5">
        <v>1228</v>
      </c>
      <c r="B1289" s="1832">
        <f>'Expenditures 15-22'!K152</f>
        <v>-298067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1418950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2187141</v>
      </c>
      <c r="D1315" s="2" t="str">
        <f t="shared" si="19"/>
        <v>Error?</v>
      </c>
    </row>
    <row r="1316" spans="1:4" x14ac:dyDescent="0.2">
      <c r="A1316" s="5">
        <v>1255</v>
      </c>
      <c r="B1316" s="1832">
        <f>'Expenditures 15-22'!H171</f>
        <v>954</v>
      </c>
      <c r="D1316" s="2" t="str">
        <f t="shared" si="19"/>
        <v>Error?</v>
      </c>
    </row>
    <row r="1317" spans="1:4" x14ac:dyDescent="0.2">
      <c r="A1317" s="5">
        <v>1256</v>
      </c>
      <c r="B1317" s="1832">
        <f>'Expenditures 15-22'!H172</f>
        <v>3607045</v>
      </c>
      <c r="C1317" s="2" t="s">
        <v>569</v>
      </c>
      <c r="D1317" s="2" t="str">
        <f t="shared" si="19"/>
        <v>Error?</v>
      </c>
    </row>
    <row r="1318" spans="1:4" x14ac:dyDescent="0.2">
      <c r="A1318" s="5">
        <v>1257</v>
      </c>
      <c r="B1318" s="1832">
        <f>'Expenditures 15-22'!H174</f>
        <v>3607045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1418950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2187141</v>
      </c>
      <c r="C1329" s="2" t="s">
        <v>569</v>
      </c>
      <c r="D1329" s="2" t="str">
        <f t="shared" si="19"/>
        <v>Error?</v>
      </c>
    </row>
    <row r="1330" spans="1:4" x14ac:dyDescent="0.2">
      <c r="A1330" s="5">
        <v>1269</v>
      </c>
      <c r="B1330" s="1832">
        <f>'Expenditures 15-22'!K171</f>
        <v>954</v>
      </c>
      <c r="C1330" s="2" t="s">
        <v>569</v>
      </c>
      <c r="D1330" s="2" t="str">
        <f t="shared" si="19"/>
        <v>Error?</v>
      </c>
    </row>
    <row r="1331" spans="1:4" x14ac:dyDescent="0.2">
      <c r="A1331" s="5">
        <v>1270</v>
      </c>
      <c r="B1331" s="1832">
        <f>'Expenditures 15-22'!K172</f>
        <v>3607045</v>
      </c>
      <c r="C1331" s="2" t="s">
        <v>569</v>
      </c>
      <c r="D1331" s="2" t="str">
        <f t="shared" si="19"/>
        <v>Error?</v>
      </c>
    </row>
    <row r="1332" spans="1:4" x14ac:dyDescent="0.2">
      <c r="A1332" s="5">
        <v>1271</v>
      </c>
      <c r="B1332" s="1832">
        <f>'Expenditures 15-22'!K174</f>
        <v>3607045</v>
      </c>
      <c r="C1332" s="2" t="s">
        <v>569</v>
      </c>
      <c r="D1332" s="2" t="str">
        <f t="shared" si="19"/>
        <v>Error?</v>
      </c>
    </row>
    <row r="1333" spans="1:4" x14ac:dyDescent="0.2">
      <c r="A1333" s="5">
        <v>1272</v>
      </c>
      <c r="B1333" s="1832">
        <f>'Expenditures 15-22'!K175</f>
        <v>225888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18950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18950</v>
      </c>
      <c r="C1339" s="2" t="s">
        <v>569</v>
      </c>
      <c r="D1339" s="2" t="str">
        <f t="shared" si="19"/>
        <v>Error?</v>
      </c>
    </row>
    <row r="1340" spans="1:4" x14ac:dyDescent="0.2">
      <c r="A1340" s="5">
        <v>1279</v>
      </c>
      <c r="B1340" s="1832">
        <f>'Expenditures 15-22'!C210</f>
        <v>18950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1779810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1779810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1779810</v>
      </c>
      <c r="C1353" s="2" t="s">
        <v>569</v>
      </c>
      <c r="D1353" s="2" t="str">
        <f t="shared" si="20"/>
        <v>Error?</v>
      </c>
    </row>
    <row r="1354" spans="1:4" x14ac:dyDescent="0.2">
      <c r="A1354" s="5">
        <v>1293</v>
      </c>
      <c r="B1354" s="1832">
        <f>'Expenditures 15-22'!F182</f>
        <v>171110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171110</v>
      </c>
      <c r="C1358" s="2" t="s">
        <v>569</v>
      </c>
      <c r="D1358" s="2" t="str">
        <f t="shared" si="20"/>
        <v>Error?</v>
      </c>
    </row>
    <row r="1359" spans="1:4" x14ac:dyDescent="0.2">
      <c r="A1359" s="5">
        <v>1298</v>
      </c>
      <c r="B1359" s="1832">
        <f>'Expenditures 15-22'!F210</f>
        <v>171110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1982870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1982870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1982870</v>
      </c>
      <c r="C1388" s="2" t="s">
        <v>569</v>
      </c>
      <c r="D1388" s="2" t="str">
        <f t="shared" si="20"/>
        <v>Error?</v>
      </c>
    </row>
    <row r="1389" spans="1:4" x14ac:dyDescent="0.2">
      <c r="A1389" s="5">
        <v>1328</v>
      </c>
      <c r="B1389" s="1832">
        <f>'Expenditures 15-22'!K211</f>
        <v>-75303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3606</v>
      </c>
      <c r="D1407" s="2" t="str">
        <f t="shared" ref="D1407:D1470" si="21">IF(ISBLANK(B1407),"OK",IF(A1407-B1407=0,"OK","Error?"))</f>
        <v>Error?</v>
      </c>
    </row>
    <row r="1408" spans="1:4" x14ac:dyDescent="0.2">
      <c r="A1408" s="5">
        <v>1347</v>
      </c>
      <c r="B1408" s="1832">
        <f>'Expenditures 15-22'!D223</f>
        <v>13580</v>
      </c>
      <c r="D1408" s="2" t="str">
        <f t="shared" si="21"/>
        <v>Error?</v>
      </c>
    </row>
    <row r="1409" spans="1:4" x14ac:dyDescent="0.2">
      <c r="A1409" s="5">
        <v>1348</v>
      </c>
      <c r="B1409" s="1832">
        <f>'Expenditures 15-22'!D224</f>
        <v>5</v>
      </c>
      <c r="D1409" s="2" t="str">
        <f t="shared" si="21"/>
        <v>Error?</v>
      </c>
    </row>
    <row r="1410" spans="1:4" x14ac:dyDescent="0.2">
      <c r="A1410" s="5">
        <v>1349</v>
      </c>
      <c r="B1410" s="1832">
        <f>'Expenditures 15-22'!D229</f>
        <v>167091</v>
      </c>
      <c r="C1410" s="2" t="s">
        <v>569</v>
      </c>
      <c r="D1410" s="2" t="str">
        <f t="shared" si="21"/>
        <v>Error?</v>
      </c>
    </row>
    <row r="1411" spans="1:4" x14ac:dyDescent="0.2">
      <c r="A1411" s="5">
        <v>1350</v>
      </c>
      <c r="B1411" s="1832">
        <f>'Expenditures 15-22'!D232</f>
        <v>2001</v>
      </c>
      <c r="D1411" s="2" t="str">
        <f t="shared" si="21"/>
        <v>Error?</v>
      </c>
    </row>
    <row r="1412" spans="1:4" x14ac:dyDescent="0.2">
      <c r="A1412" s="5">
        <v>1351</v>
      </c>
      <c r="B1412" s="1832">
        <f>'Expenditures 15-22'!D233</f>
        <v>4276</v>
      </c>
      <c r="D1412" s="2" t="str">
        <f t="shared" si="21"/>
        <v>Error?</v>
      </c>
    </row>
    <row r="1413" spans="1:4" x14ac:dyDescent="0.2">
      <c r="A1413" s="5">
        <v>1352</v>
      </c>
      <c r="B1413" s="1832">
        <f>'Expenditures 15-22'!D234</f>
        <v>21190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27467</v>
      </c>
      <c r="C1417" s="2" t="s">
        <v>569</v>
      </c>
      <c r="D1417" s="2" t="str">
        <f t="shared" si="21"/>
        <v>Error?</v>
      </c>
    </row>
    <row r="1418" spans="1:4" x14ac:dyDescent="0.2">
      <c r="A1418" s="5">
        <v>1357</v>
      </c>
      <c r="B1418" s="1832">
        <f>'Expenditures 15-22'!D240</f>
        <v>9015</v>
      </c>
      <c r="D1418" s="2" t="str">
        <f t="shared" si="21"/>
        <v>Error?</v>
      </c>
    </row>
    <row r="1419" spans="1:4" x14ac:dyDescent="0.2">
      <c r="A1419" s="5">
        <v>1358</v>
      </c>
      <c r="B1419" s="1832">
        <f>'Expenditures 15-22'!D241</f>
        <v>23814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32829</v>
      </c>
      <c r="C1421" s="2" t="s">
        <v>569</v>
      </c>
      <c r="D1421" s="2" t="str">
        <f t="shared" si="21"/>
        <v>Error?</v>
      </c>
    </row>
    <row r="1422" spans="1:4" x14ac:dyDescent="0.2">
      <c r="A1422" s="5">
        <v>1361</v>
      </c>
      <c r="B1422" s="1832">
        <f>'Expenditures 15-22'!D245</f>
        <v>401</v>
      </c>
      <c r="D1422" s="2" t="str">
        <f t="shared" si="21"/>
        <v>Error?</v>
      </c>
    </row>
    <row r="1423" spans="1:4" x14ac:dyDescent="0.2">
      <c r="A1423" s="5">
        <v>1362</v>
      </c>
      <c r="B1423" s="1832">
        <f>'Expenditures 15-22'!D246</f>
        <v>2063</v>
      </c>
      <c r="D1423" s="2" t="str">
        <f t="shared" si="21"/>
        <v>Error?</v>
      </c>
    </row>
    <row r="1424" spans="1:4" x14ac:dyDescent="0.2">
      <c r="A1424" s="5">
        <v>1363</v>
      </c>
      <c r="B1424" s="1832">
        <f>'Expenditures 15-22'!D257</f>
        <v>3307</v>
      </c>
      <c r="C1424" s="2" t="s">
        <v>569</v>
      </c>
      <c r="D1424" s="2" t="str">
        <f t="shared" si="21"/>
        <v>Error?</v>
      </c>
    </row>
    <row r="1425" spans="1:4" x14ac:dyDescent="0.2">
      <c r="A1425" s="5">
        <v>1364</v>
      </c>
      <c r="B1425" s="1832">
        <f>'Expenditures 15-22'!D259</f>
        <v>66625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66625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32338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159289</v>
      </c>
      <c r="D1431" s="2" t="str">
        <f t="shared" si="21"/>
        <v>Error?</v>
      </c>
    </row>
    <row r="1432" spans="1:4" x14ac:dyDescent="0.2">
      <c r="A1432" s="5">
        <v>1371</v>
      </c>
      <c r="B1432" s="1832">
        <f>'Expenditures 15-22'!D267</f>
        <v>3140</v>
      </c>
      <c r="D1432" s="2" t="str">
        <f t="shared" si="21"/>
        <v>Error?</v>
      </c>
    </row>
    <row r="1433" spans="1:4" x14ac:dyDescent="0.2">
      <c r="A1433" s="5">
        <v>1372</v>
      </c>
      <c r="B1433" s="1832">
        <f>'Expenditures 15-22'!D268</f>
        <v>76441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271208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949</v>
      </c>
      <c r="D1445" s="2" t="str">
        <f t="shared" si="21"/>
        <v>Error?</v>
      </c>
    </row>
    <row r="1446" spans="1:4" x14ac:dyDescent="0.2">
      <c r="A1446" s="5">
        <v>1385</v>
      </c>
      <c r="B1446" s="1832">
        <f>'Expenditures 15-22'!D279</f>
        <v>402385</v>
      </c>
      <c r="C1446" s="2" t="s">
        <v>569</v>
      </c>
      <c r="D1446" s="2" t="str">
        <f t="shared" si="21"/>
        <v>Error?</v>
      </c>
    </row>
    <row r="1447" spans="1:4" x14ac:dyDescent="0.2">
      <c r="A1447" s="5">
        <v>1386</v>
      </c>
      <c r="B1447" s="1832">
        <f>'Expenditures 15-22'!D280</f>
        <v>14817</v>
      </c>
      <c r="D1447" s="2" t="str">
        <f t="shared" si="21"/>
        <v>Error?</v>
      </c>
    </row>
    <row r="1448" spans="1:4" x14ac:dyDescent="0.2">
      <c r="A1448" s="5">
        <v>1387</v>
      </c>
      <c r="B1448" s="1832">
        <f>'Expenditures 15-22'!D295</f>
        <v>627729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3606</v>
      </c>
      <c r="C1471" s="2" t="s">
        <v>569</v>
      </c>
      <c r="D1471" s="2" t="str">
        <f t="shared" ref="D1471:D1534" si="22">IF(ISBLANK(B1471),"OK",IF(A1471-B1471=0,"OK","Error?"))</f>
        <v>Error?</v>
      </c>
    </row>
    <row r="1472" spans="1:4" x14ac:dyDescent="0.2">
      <c r="A1472" s="5">
        <v>1411</v>
      </c>
      <c r="B1472" s="1832">
        <f>'Expenditures 15-22'!K223</f>
        <v>13580</v>
      </c>
      <c r="C1472" s="2" t="s">
        <v>569</v>
      </c>
      <c r="D1472" s="2" t="str">
        <f t="shared" si="22"/>
        <v>Error?</v>
      </c>
    </row>
    <row r="1473" spans="1:4" x14ac:dyDescent="0.2">
      <c r="A1473" s="5">
        <v>1412</v>
      </c>
      <c r="B1473" s="1832">
        <f>'Expenditures 15-22'!K224</f>
        <v>5</v>
      </c>
      <c r="C1473" s="2" t="s">
        <v>569</v>
      </c>
      <c r="D1473" s="2" t="str">
        <f t="shared" si="22"/>
        <v>Error?</v>
      </c>
    </row>
    <row r="1474" spans="1:4" x14ac:dyDescent="0.2">
      <c r="A1474" s="5">
        <v>1413</v>
      </c>
      <c r="B1474" s="1832">
        <f>'Expenditures 15-22'!K229</f>
        <v>167091</v>
      </c>
      <c r="C1474" s="2" t="s">
        <v>569</v>
      </c>
      <c r="D1474" s="2" t="str">
        <f t="shared" si="22"/>
        <v>Error?</v>
      </c>
    </row>
    <row r="1475" spans="1:4" x14ac:dyDescent="0.2">
      <c r="A1475" s="5">
        <v>1414</v>
      </c>
      <c r="B1475" s="1832">
        <f>'Expenditures 15-22'!K232</f>
        <v>2001</v>
      </c>
      <c r="C1475" s="2" t="s">
        <v>569</v>
      </c>
      <c r="D1475" s="2" t="str">
        <f t="shared" si="22"/>
        <v>Error?</v>
      </c>
    </row>
    <row r="1476" spans="1:4" x14ac:dyDescent="0.2">
      <c r="A1476" s="5">
        <v>1415</v>
      </c>
      <c r="B1476" s="1832">
        <f>'Expenditures 15-22'!K233</f>
        <v>4276</v>
      </c>
      <c r="C1476" s="2" t="s">
        <v>569</v>
      </c>
      <c r="D1476" s="2" t="str">
        <f t="shared" si="22"/>
        <v>Error?</v>
      </c>
    </row>
    <row r="1477" spans="1:4" x14ac:dyDescent="0.2">
      <c r="A1477" s="5">
        <v>1416</v>
      </c>
      <c r="B1477" s="1832">
        <f>'Expenditures 15-22'!K234</f>
        <v>21190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27467</v>
      </c>
      <c r="C1481" s="2" t="s">
        <v>569</v>
      </c>
      <c r="D1481" s="2" t="str">
        <f t="shared" si="22"/>
        <v>Error?</v>
      </c>
    </row>
    <row r="1482" spans="1:4" x14ac:dyDescent="0.2">
      <c r="A1482" s="5">
        <v>1421</v>
      </c>
      <c r="B1482" s="1832">
        <f>'Expenditures 15-22'!K240</f>
        <v>9015</v>
      </c>
      <c r="C1482" s="2" t="s">
        <v>569</v>
      </c>
      <c r="D1482" s="2" t="str">
        <f t="shared" si="22"/>
        <v>Error?</v>
      </c>
    </row>
    <row r="1483" spans="1:4" x14ac:dyDescent="0.2">
      <c r="A1483" s="5">
        <v>1422</v>
      </c>
      <c r="B1483" s="1832">
        <f>'Expenditures 15-22'!K241</f>
        <v>23814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32829</v>
      </c>
      <c r="C1485" s="2" t="s">
        <v>569</v>
      </c>
      <c r="D1485" s="2" t="str">
        <f t="shared" si="22"/>
        <v>Error?</v>
      </c>
    </row>
    <row r="1486" spans="1:4" x14ac:dyDescent="0.2">
      <c r="A1486" s="5">
        <v>1425</v>
      </c>
      <c r="B1486" s="1832">
        <f>'Expenditures 15-22'!K245</f>
        <v>401</v>
      </c>
      <c r="C1486" s="2" t="s">
        <v>569</v>
      </c>
      <c r="D1486" s="2" t="str">
        <f t="shared" si="22"/>
        <v>Error?</v>
      </c>
    </row>
    <row r="1487" spans="1:4" x14ac:dyDescent="0.2">
      <c r="A1487" s="5">
        <v>1426</v>
      </c>
      <c r="B1487" s="1832">
        <f>'Expenditures 15-22'!K246</f>
        <v>2063</v>
      </c>
      <c r="C1487" s="2" t="s">
        <v>569</v>
      </c>
      <c r="D1487" s="2" t="str">
        <f t="shared" si="22"/>
        <v>Error?</v>
      </c>
    </row>
    <row r="1488" spans="1:4" x14ac:dyDescent="0.2">
      <c r="A1488" s="5">
        <v>1427</v>
      </c>
      <c r="B1488" s="1832">
        <f>'Expenditures 15-22'!K257</f>
        <v>3307</v>
      </c>
      <c r="C1488" s="2" t="s">
        <v>569</v>
      </c>
      <c r="D1488" s="2" t="str">
        <f t="shared" si="22"/>
        <v>Error?</v>
      </c>
    </row>
    <row r="1489" spans="1:4" x14ac:dyDescent="0.2">
      <c r="A1489" s="5">
        <v>1428</v>
      </c>
      <c r="B1489" s="1832">
        <f>'Expenditures 15-22'!K259</f>
        <v>66625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66625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32338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159289</v>
      </c>
      <c r="C1495" s="2" t="s">
        <v>569</v>
      </c>
      <c r="D1495" s="2" t="str">
        <f t="shared" si="22"/>
        <v>Error?</v>
      </c>
    </row>
    <row r="1496" spans="1:4" x14ac:dyDescent="0.2">
      <c r="A1496" s="5">
        <v>1435</v>
      </c>
      <c r="B1496" s="1832">
        <f>'Expenditures 15-22'!K267</f>
        <v>3140</v>
      </c>
      <c r="C1496" s="2" t="s">
        <v>569</v>
      </c>
      <c r="D1496" s="2" t="str">
        <f t="shared" si="22"/>
        <v>Error?</v>
      </c>
    </row>
    <row r="1497" spans="1:4" x14ac:dyDescent="0.2">
      <c r="A1497" s="5">
        <v>1436</v>
      </c>
      <c r="B1497" s="1832">
        <f>'Expenditures 15-22'!K268</f>
        <v>76441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271208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949</v>
      </c>
      <c r="C1509" s="2" t="s">
        <v>569</v>
      </c>
      <c r="D1509" s="2" t="str">
        <f t="shared" si="22"/>
        <v>Error?</v>
      </c>
    </row>
    <row r="1510" spans="1:4" x14ac:dyDescent="0.2">
      <c r="A1510" s="5">
        <v>1449</v>
      </c>
      <c r="B1510" s="1832">
        <f>'Expenditures 15-22'!K279</f>
        <v>402385</v>
      </c>
      <c r="C1510" s="2" t="s">
        <v>569</v>
      </c>
      <c r="D1510" s="2" t="str">
        <f t="shared" si="22"/>
        <v>Error?</v>
      </c>
    </row>
    <row r="1511" spans="1:4" x14ac:dyDescent="0.2">
      <c r="A1511" s="5">
        <v>1450</v>
      </c>
      <c r="B1511" s="1832">
        <f>'Expenditures 15-22'!K280</f>
        <v>14817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627729</v>
      </c>
      <c r="C1517" s="2" t="s">
        <v>569</v>
      </c>
      <c r="D1517" s="2" t="str">
        <f t="shared" si="22"/>
        <v>Error?</v>
      </c>
    </row>
    <row r="1518" spans="1:4" x14ac:dyDescent="0.2">
      <c r="A1518" s="5">
        <v>1457</v>
      </c>
      <c r="B1518" s="1832">
        <f>'Expenditures 15-22'!K296</f>
        <v>-4653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3831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3831</v>
      </c>
      <c r="C1535" s="2" t="s">
        <v>569</v>
      </c>
      <c r="D1535" s="2" t="str">
        <f t="shared" ref="D1535:D1598" si="23">IF(ISBLANK(B1535),"OK",IF(A1535-B1535=0,"OK","Error?"))</f>
        <v>Error?</v>
      </c>
    </row>
    <row r="1536" spans="1:4" x14ac:dyDescent="0.2">
      <c r="A1536" s="5">
        <v>1475</v>
      </c>
      <c r="B1536" s="1832">
        <f>'Expenditures 15-22'!E312</f>
        <v>3831</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649950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649950</v>
      </c>
      <c r="C1547" s="2" t="s">
        <v>569</v>
      </c>
      <c r="D1547" s="2" t="str">
        <f t="shared" si="23"/>
        <v>Error?</v>
      </c>
    </row>
    <row r="1548" spans="1:4" x14ac:dyDescent="0.2">
      <c r="A1548" s="5">
        <v>1487</v>
      </c>
      <c r="B1548" s="1832">
        <f>'Expenditures 15-22'!G312</f>
        <v>649950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653781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653781</v>
      </c>
      <c r="C1559" s="2" t="s">
        <v>569</v>
      </c>
      <c r="D1559" s="2" t="str">
        <f t="shared" si="23"/>
        <v>Error?</v>
      </c>
    </row>
    <row r="1560" spans="1:4" x14ac:dyDescent="0.2">
      <c r="A1560" s="5">
        <v>1499</v>
      </c>
      <c r="B1560" s="1832">
        <f>'Expenditures 15-22'!K312</f>
        <v>653781</v>
      </c>
      <c r="C1560" s="2" t="s">
        <v>569</v>
      </c>
      <c r="D1560" s="2" t="str">
        <f t="shared" si="23"/>
        <v>Error?</v>
      </c>
    </row>
    <row r="1561" spans="1:4" x14ac:dyDescent="0.2">
      <c r="A1561" s="5">
        <v>1500</v>
      </c>
      <c r="B1561" s="1832">
        <f>'Expenditures 15-22'!K313</f>
        <v>-484940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6114147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6197538</v>
      </c>
      <c r="C1630" s="2" t="s">
        <v>569</v>
      </c>
      <c r="D1630" s="2" t="str">
        <f t="shared" si="24"/>
        <v>Error?</v>
      </c>
    </row>
    <row r="1631" spans="1:4" x14ac:dyDescent="0.2">
      <c r="A1631" s="5">
        <v>1570</v>
      </c>
      <c r="B1631" s="1832">
        <f>'Acct Summary 7-8'!D79</f>
        <v>2487059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3077659</v>
      </c>
      <c r="C1644" s="2" t="s">
        <v>569</v>
      </c>
      <c r="D1644" s="2" t="str">
        <f t="shared" si="24"/>
        <v>Error?</v>
      </c>
    </row>
    <row r="1645" spans="1:4" x14ac:dyDescent="0.2">
      <c r="A1645" s="5">
        <v>1584</v>
      </c>
      <c r="B1645" s="1832">
        <f>'Acct Summary 7-8'!E79</f>
        <v>1708175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2237795</v>
      </c>
      <c r="C1658" s="2" t="s">
        <v>569</v>
      </c>
      <c r="D1658" s="2" t="str">
        <f t="shared" si="24"/>
        <v>Error?</v>
      </c>
    </row>
    <row r="1659" spans="1:4" x14ac:dyDescent="0.2">
      <c r="A1659" s="5">
        <v>1598</v>
      </c>
      <c r="B1659" s="1832">
        <f>'Acct Summary 7-8'!F79</f>
        <v>1400245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1324942</v>
      </c>
      <c r="C1672" s="2" t="s">
        <v>569</v>
      </c>
      <c r="D1672" s="2" t="str">
        <f t="shared" si="25"/>
        <v>Error?</v>
      </c>
    </row>
    <row r="1673" spans="1:4" x14ac:dyDescent="0.2">
      <c r="A1673" s="5">
        <v>1612</v>
      </c>
      <c r="B1673" s="1832">
        <f>'Acct Summary 7-8'!G79</f>
        <v>951065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946412</v>
      </c>
      <c r="C1686" s="2" t="s">
        <v>569</v>
      </c>
      <c r="D1686" s="2" t="str">
        <f t="shared" si="25"/>
        <v>Error?</v>
      </c>
    </row>
    <row r="1687" spans="1:4" x14ac:dyDescent="0.2">
      <c r="A1687" s="5">
        <v>1626</v>
      </c>
      <c r="B1687" s="1832">
        <f>'Acct Summary 7-8'!H79</f>
        <v>1456412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705130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9081202</v>
      </c>
      <c r="C1744" s="2" t="s">
        <v>569</v>
      </c>
      <c r="D1744" s="2" t="str">
        <f t="shared" si="26"/>
        <v>Error?</v>
      </c>
    </row>
    <row r="1745" spans="1:5" x14ac:dyDescent="0.2">
      <c r="A1745" s="5">
        <v>1684</v>
      </c>
      <c r="B1745" s="1832">
        <f>'Tax Sched 23'!B5</f>
        <v>1932171</v>
      </c>
      <c r="C1745" s="2" t="s">
        <v>569</v>
      </c>
      <c r="D1745" s="2" t="str">
        <f t="shared" si="26"/>
        <v>Error?</v>
      </c>
    </row>
    <row r="1746" spans="1:5" x14ac:dyDescent="0.2">
      <c r="A1746" s="5">
        <v>1685</v>
      </c>
      <c r="B1746" s="1832">
        <f>'Tax Sched 23'!B6</f>
        <v>2858528</v>
      </c>
      <c r="C1746" s="2" t="s">
        <v>569</v>
      </c>
      <c r="D1746" s="2" t="str">
        <f t="shared" si="26"/>
        <v>Error?</v>
      </c>
    </row>
    <row r="1747" spans="1:5" x14ac:dyDescent="0.2">
      <c r="A1747" s="5">
        <v>1686</v>
      </c>
      <c r="B1747" s="1832">
        <f>'Tax Sched 23'!B7</f>
        <v>772869</v>
      </c>
      <c r="C1747" s="2" t="s">
        <v>569</v>
      </c>
      <c r="D1747" s="2" t="str">
        <f t="shared" si="26"/>
        <v>Error?</v>
      </c>
    </row>
    <row r="1748" spans="1:5" x14ac:dyDescent="0.2">
      <c r="A1748" s="5">
        <v>1687</v>
      </c>
      <c r="B1748" s="1832">
        <f>'Tax Sched 23'!B8</f>
        <v>291951</v>
      </c>
      <c r="C1748" s="2" t="s">
        <v>569</v>
      </c>
      <c r="D1748" s="2" t="str">
        <f t="shared" si="26"/>
        <v>Error?</v>
      </c>
    </row>
    <row r="1749" spans="1:5" x14ac:dyDescent="0.2">
      <c r="A1749" s="5">
        <v>1688</v>
      </c>
      <c r="B1749" s="1832">
        <f>'Tax Sched 23'!B10</f>
        <v>193217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924360</v>
      </c>
      <c r="C1752" s="2" t="s">
        <v>569</v>
      </c>
      <c r="D1752" s="2" t="str">
        <f t="shared" si="26"/>
        <v>Error?</v>
      </c>
    </row>
    <row r="1753" spans="1:5" x14ac:dyDescent="0.2">
      <c r="A1753" s="5">
        <v>1692</v>
      </c>
      <c r="B1753" s="1832">
        <f>'Tax Sched 23'!B12</f>
        <v>23136</v>
      </c>
      <c r="C1753" s="2" t="s">
        <v>569</v>
      </c>
      <c r="D1753" s="2" t="str">
        <f t="shared" si="26"/>
        <v>Error?</v>
      </c>
    </row>
    <row r="1754" spans="1:5" x14ac:dyDescent="0.2">
      <c r="A1754" s="5">
        <v>1693</v>
      </c>
      <c r="B1754" s="1832">
        <f>'Tax Sched 23'!B14</f>
        <v>154573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16540395</v>
      </c>
      <c r="C1759" s="2" t="s">
        <v>569</v>
      </c>
      <c r="D1759" s="2" t="str">
        <f t="shared" si="26"/>
        <v>Error?</v>
      </c>
    </row>
    <row r="1760" spans="1:5" x14ac:dyDescent="0.2">
      <c r="A1760" s="5">
        <v>1699</v>
      </c>
      <c r="B1760" s="1832">
        <f>'Tax Sched 23'!D4</f>
        <v>3802495</v>
      </c>
      <c r="C1760" s="2" t="s">
        <v>569</v>
      </c>
      <c r="D1760" s="2" t="str">
        <f t="shared" si="26"/>
        <v>Error?</v>
      </c>
    </row>
    <row r="1761" spans="1:7" x14ac:dyDescent="0.2">
      <c r="A1761" s="5">
        <v>1700</v>
      </c>
      <c r="B1761" s="1832">
        <f>'Tax Sched 23'!D5</f>
        <v>809042</v>
      </c>
      <c r="C1761" s="2" t="s">
        <v>569</v>
      </c>
      <c r="D1761" s="2" t="str">
        <f t="shared" si="26"/>
        <v>Error?</v>
      </c>
    </row>
    <row r="1762" spans="1:7" s="8" customFormat="1" x14ac:dyDescent="0.2">
      <c r="A1762" s="5">
        <v>1701</v>
      </c>
      <c r="B1762" s="1832">
        <f>'Tax Sched 23'!D6</f>
        <v>1226397</v>
      </c>
      <c r="C1762" s="2" t="s">
        <v>569</v>
      </c>
      <c r="D1762" s="2" t="str">
        <f t="shared" si="26"/>
        <v>Error?</v>
      </c>
      <c r="E1762" s="9"/>
      <c r="G1762"/>
    </row>
    <row r="1763" spans="1:7" x14ac:dyDescent="0.2">
      <c r="A1763" s="5">
        <v>1702</v>
      </c>
      <c r="B1763" s="1832">
        <f>'Tax Sched 23'!D7</f>
        <v>323617</v>
      </c>
      <c r="C1763" s="2" t="s">
        <v>569</v>
      </c>
      <c r="D1763" s="2" t="str">
        <f t="shared" si="26"/>
        <v>Error?</v>
      </c>
    </row>
    <row r="1764" spans="1:7" x14ac:dyDescent="0.2">
      <c r="A1764" s="5">
        <v>1703</v>
      </c>
      <c r="B1764" s="1832">
        <f>'Tax Sched 23'!D8</f>
        <v>119438</v>
      </c>
      <c r="C1764" s="2" t="s">
        <v>569</v>
      </c>
      <c r="D1764" s="2" t="str">
        <f t="shared" si="26"/>
        <v>Error?</v>
      </c>
    </row>
    <row r="1765" spans="1:7" x14ac:dyDescent="0.2">
      <c r="A1765" s="5">
        <v>1704</v>
      </c>
      <c r="B1765" s="1832">
        <f>'Tax Sched 23'!D10</f>
        <v>80904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378070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64723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6928880</v>
      </c>
      <c r="C1775" s="2" t="s">
        <v>569</v>
      </c>
      <c r="D1775" s="2" t="str">
        <f t="shared" si="26"/>
        <v>Error?</v>
      </c>
    </row>
    <row r="1776" spans="1:7" x14ac:dyDescent="0.2">
      <c r="A1776" s="5">
        <v>1715</v>
      </c>
      <c r="B1776" s="1832">
        <f>'Tax Sched 23'!C4</f>
        <v>5278707</v>
      </c>
      <c r="D1776" s="2" t="str">
        <f t="shared" si="26"/>
        <v>Error?</v>
      </c>
    </row>
    <row r="1777" spans="1:4" x14ac:dyDescent="0.2">
      <c r="A1777" s="5">
        <v>1716</v>
      </c>
      <c r="B1777" s="1832">
        <f>'Tax Sched 23'!C5</f>
        <v>1123129</v>
      </c>
      <c r="D1777" s="2" t="str">
        <f t="shared" si="26"/>
        <v>Error?</v>
      </c>
    </row>
    <row r="1778" spans="1:4" x14ac:dyDescent="0.2">
      <c r="A1778" s="5">
        <v>1717</v>
      </c>
      <c r="B1778" s="1832">
        <f>'Tax Sched 23'!C6</f>
        <v>1632131</v>
      </c>
      <c r="D1778" s="2" t="str">
        <f t="shared" si="26"/>
        <v>Error?</v>
      </c>
    </row>
    <row r="1779" spans="1:4" x14ac:dyDescent="0.2">
      <c r="A1779" s="5">
        <v>1718</v>
      </c>
      <c r="B1779" s="1832">
        <f>'Tax Sched 23'!C7</f>
        <v>449252</v>
      </c>
      <c r="D1779" s="2" t="str">
        <f t="shared" si="26"/>
        <v>Error?</v>
      </c>
    </row>
    <row r="1780" spans="1:4" x14ac:dyDescent="0.2">
      <c r="A1780" s="5">
        <v>1719</v>
      </c>
      <c r="B1780" s="1832">
        <f>'Tax Sched 23'!C8</f>
        <v>172513</v>
      </c>
      <c r="D1780" s="2" t="str">
        <f t="shared" si="26"/>
        <v>Error?</v>
      </c>
    </row>
    <row r="1781" spans="1:4" x14ac:dyDescent="0.2">
      <c r="A1781" s="5">
        <v>1720</v>
      </c>
      <c r="B1781" s="1832">
        <f>'Tax Sched 23'!C10</f>
        <v>112313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546290</v>
      </c>
      <c r="D1784" s="2" t="str">
        <f t="shared" si="26"/>
        <v>Error?</v>
      </c>
    </row>
    <row r="1785" spans="1:4" x14ac:dyDescent="0.2">
      <c r="A1785" s="5">
        <v>1724</v>
      </c>
      <c r="B1785" s="1832">
        <f>'Tax Sched 23'!C12</f>
        <v>23136</v>
      </c>
      <c r="D1785" s="2" t="str">
        <f t="shared" si="26"/>
        <v>Error?</v>
      </c>
    </row>
    <row r="1786" spans="1:4" x14ac:dyDescent="0.2">
      <c r="A1786" s="5">
        <v>1725</v>
      </c>
      <c r="B1786" s="1832">
        <f>'Tax Sched 23'!C14</f>
        <v>89850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9611515</v>
      </c>
      <c r="C1791" s="2" t="s">
        <v>569</v>
      </c>
      <c r="D1791" s="2" t="str">
        <f t="shared" ref="D1791:D1854" si="27">IF(ISBLANK(B1791),"OK",IF(A1791-B1791=0,"OK","Error?"))</f>
        <v>Error?</v>
      </c>
    </row>
    <row r="1792" spans="1:4" x14ac:dyDescent="0.2">
      <c r="A1792" s="5">
        <v>1731</v>
      </c>
      <c r="B1792" s="1832">
        <f>'Tax Sched 23'!F4</f>
        <v>3902783</v>
      </c>
      <c r="C1792" s="2" t="s">
        <v>569</v>
      </c>
      <c r="D1792" s="2" t="str">
        <f t="shared" si="27"/>
        <v>Error?</v>
      </c>
    </row>
    <row r="1793" spans="1:4" x14ac:dyDescent="0.2">
      <c r="A1793" s="5">
        <v>1732</v>
      </c>
      <c r="B1793" s="1832">
        <f>'Tax Sched 23'!F5</f>
        <v>830380</v>
      </c>
      <c r="C1793" s="2" t="s">
        <v>569</v>
      </c>
      <c r="D1793" s="2" t="str">
        <f t="shared" si="27"/>
        <v>Error?</v>
      </c>
    </row>
    <row r="1794" spans="1:4" x14ac:dyDescent="0.2">
      <c r="A1794" s="5">
        <v>1733</v>
      </c>
      <c r="B1794" s="1832">
        <f>'Tax Sched 23'!F6</f>
        <v>1206708</v>
      </c>
      <c r="C1794" s="2" t="s">
        <v>569</v>
      </c>
      <c r="D1794" s="2" t="str">
        <f t="shared" si="27"/>
        <v>Error?</v>
      </c>
    </row>
    <row r="1795" spans="1:4" x14ac:dyDescent="0.2">
      <c r="A1795" s="5">
        <v>1734</v>
      </c>
      <c r="B1795" s="1832">
        <f>'Tax Sched 23'!F7</f>
        <v>332151</v>
      </c>
      <c r="C1795" s="2" t="s">
        <v>569</v>
      </c>
      <c r="D1795" s="2" t="str">
        <f t="shared" si="27"/>
        <v>Error?</v>
      </c>
    </row>
    <row r="1796" spans="1:4" x14ac:dyDescent="0.2">
      <c r="A1796" s="5">
        <v>1735</v>
      </c>
      <c r="B1796" s="1832">
        <f>'Tax Sched 23'!F8</f>
        <v>127546</v>
      </c>
      <c r="C1796" s="2" t="s">
        <v>569</v>
      </c>
      <c r="D1796" s="2" t="str">
        <f t="shared" si="27"/>
        <v>Error?</v>
      </c>
    </row>
    <row r="1797" spans="1:4" x14ac:dyDescent="0.2">
      <c r="A1797" s="5">
        <v>1736</v>
      </c>
      <c r="B1797" s="1832">
        <f>'Tax Sched 23'!F10</f>
        <v>83038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403897</v>
      </c>
      <c r="C1800" s="2" t="s">
        <v>569</v>
      </c>
      <c r="D1800" s="2" t="str">
        <f t="shared" si="27"/>
        <v>Error?</v>
      </c>
    </row>
    <row r="1801" spans="1:4" x14ac:dyDescent="0.2">
      <c r="A1801" s="5">
        <v>1740</v>
      </c>
      <c r="B1801" s="1832">
        <f>'Tax Sched 23'!F12</f>
        <v>17106</v>
      </c>
      <c r="C1801" s="2" t="s">
        <v>569</v>
      </c>
      <c r="D1801" s="2" t="str">
        <f t="shared" si="27"/>
        <v>Error?</v>
      </c>
    </row>
    <row r="1802" spans="1:4" x14ac:dyDescent="0.2">
      <c r="A1802" s="5">
        <v>1741</v>
      </c>
      <c r="B1802" s="1832">
        <f>'Tax Sched 23'!F14</f>
        <v>66431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7106221</v>
      </c>
      <c r="C1807" s="2" t="s">
        <v>569</v>
      </c>
      <c r="D1807" s="2" t="str">
        <f t="shared" si="27"/>
        <v>Error?</v>
      </c>
    </row>
    <row r="1808" spans="1:4" x14ac:dyDescent="0.2">
      <c r="A1808" s="5">
        <v>1747</v>
      </c>
      <c r="B1808" s="1832">
        <f>'Tax Sched 23'!E4</f>
        <v>9181490</v>
      </c>
      <c r="D1808" s="2" t="str">
        <f t="shared" si="27"/>
        <v>Error?</v>
      </c>
    </row>
    <row r="1809" spans="1:4" x14ac:dyDescent="0.2">
      <c r="A1809" s="5">
        <v>1748</v>
      </c>
      <c r="B1809" s="1832">
        <f>'Tax Sched 23'!E5</f>
        <v>1953509</v>
      </c>
      <c r="D1809" s="2" t="str">
        <f t="shared" si="27"/>
        <v>Error?</v>
      </c>
    </row>
    <row r="1810" spans="1:4" x14ac:dyDescent="0.2">
      <c r="A1810" s="5">
        <v>1749</v>
      </c>
      <c r="B1810" s="1832">
        <f>'Tax Sched 23'!E6</f>
        <v>2838839</v>
      </c>
      <c r="D1810" s="2" t="str">
        <f t="shared" si="27"/>
        <v>Error?</v>
      </c>
    </row>
    <row r="1811" spans="1:4" x14ac:dyDescent="0.2">
      <c r="A1811" s="5">
        <v>1750</v>
      </c>
      <c r="B1811" s="1832">
        <f>'Tax Sched 23'!E7</f>
        <v>781403</v>
      </c>
      <c r="D1811" s="2" t="str">
        <f t="shared" si="27"/>
        <v>Error?</v>
      </c>
    </row>
    <row r="1812" spans="1:4" x14ac:dyDescent="0.2">
      <c r="A1812" s="5">
        <v>1751</v>
      </c>
      <c r="B1812" s="1832">
        <f>'Tax Sched 23'!E8</f>
        <v>300059</v>
      </c>
      <c r="D1812" s="2" t="str">
        <f t="shared" si="27"/>
        <v>Error?</v>
      </c>
    </row>
    <row r="1813" spans="1:4" x14ac:dyDescent="0.2">
      <c r="A1813" s="5">
        <v>1752</v>
      </c>
      <c r="B1813" s="1832">
        <f>'Tax Sched 23'!E10</f>
        <v>195351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950187</v>
      </c>
      <c r="D1816" s="2" t="str">
        <f t="shared" si="27"/>
        <v>Error?</v>
      </c>
    </row>
    <row r="1817" spans="1:4" x14ac:dyDescent="0.2">
      <c r="A1817" s="5">
        <v>1756</v>
      </c>
      <c r="B1817" s="1832">
        <f>'Tax Sched 23'!E12</f>
        <v>40242</v>
      </c>
      <c r="D1817" s="2" t="str">
        <f t="shared" si="27"/>
        <v>Error?</v>
      </c>
    </row>
    <row r="1818" spans="1:4" x14ac:dyDescent="0.2">
      <c r="A1818" s="5">
        <v>1757</v>
      </c>
      <c r="B1818" s="1832">
        <f>'Tax Sched 23'!E14</f>
        <v>156281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16717736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36228287</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154393</v>
      </c>
      <c r="D1972" s="2" t="str">
        <f t="shared" si="29"/>
        <v>Error?</v>
      </c>
    </row>
    <row r="1973" spans="1:5" x14ac:dyDescent="0.2">
      <c r="A1973" s="5">
        <v>1912</v>
      </c>
      <c r="B1973" s="1832">
        <f>'Rest Tax Levies-Tort Im 25'!H6</f>
        <v>31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154424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154424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542305</v>
      </c>
      <c r="D2008" s="2" t="str">
        <f t="shared" si="30"/>
        <v>Error?</v>
      </c>
    </row>
    <row r="2009" spans="1:4" x14ac:dyDescent="0.2">
      <c r="A2009" s="5">
        <v>1948</v>
      </c>
      <c r="B2009" s="1832">
        <f>'Cap Outlay Deprec 26'!C8</f>
        <v>60204735</v>
      </c>
      <c r="D2009" s="2" t="str">
        <f t="shared" si="30"/>
        <v>Error?</v>
      </c>
    </row>
    <row r="2010" spans="1:4" x14ac:dyDescent="0.2">
      <c r="A2010" s="5">
        <v>1949</v>
      </c>
      <c r="B2010" s="1832">
        <f>'Cap Outlay Deprec 26'!C10</f>
        <v>1395895</v>
      </c>
      <c r="D2010" s="2" t="str">
        <f t="shared" si="30"/>
        <v>Error?</v>
      </c>
    </row>
    <row r="2011" spans="1:4" x14ac:dyDescent="0.2">
      <c r="A2011" s="5">
        <v>1950</v>
      </c>
      <c r="B2011" s="1832">
        <f>'Cap Outlay Deprec 26'!C12</f>
        <v>2405223</v>
      </c>
      <c r="D2011" s="2" t="str">
        <f t="shared" si="30"/>
        <v>Error?</v>
      </c>
    </row>
    <row r="2012" spans="1:4" x14ac:dyDescent="0.2">
      <c r="A2012" s="5">
        <v>1951</v>
      </c>
      <c r="B2012" s="1832">
        <f>'Cap Outlay Deprec 26'!C13</f>
        <v>51316</v>
      </c>
      <c r="D2012" s="2" t="str">
        <f t="shared" si="30"/>
        <v>Error?</v>
      </c>
    </row>
    <row r="2013" spans="1:4" x14ac:dyDescent="0.2">
      <c r="A2013" s="5">
        <v>1952</v>
      </c>
      <c r="B2013" s="1832">
        <f>'Cap Outlay Deprec 26'!C16</f>
        <v>64674707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798861</v>
      </c>
      <c r="D2015" s="2" t="str">
        <f t="shared" si="30"/>
        <v>Error?</v>
      </c>
    </row>
    <row r="2016" spans="1:4" x14ac:dyDescent="0.2">
      <c r="A2016" s="5">
        <v>1955</v>
      </c>
      <c r="B2016" s="1832">
        <f>'Cap Outlay Deprec 26'!D10</f>
        <v>252750</v>
      </c>
      <c r="D2016" s="2" t="str">
        <f t="shared" si="30"/>
        <v>Error?</v>
      </c>
    </row>
    <row r="2017" spans="1:4" x14ac:dyDescent="0.2">
      <c r="A2017" s="5">
        <v>1956</v>
      </c>
      <c r="B2017" s="1832">
        <f>'Cap Outlay Deprec 26'!D12</f>
        <v>50218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1111829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27446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27446</v>
      </c>
      <c r="C2025" s="2" t="s">
        <v>569</v>
      </c>
      <c r="D2025" s="2" t="str">
        <f t="shared" si="30"/>
        <v>Error?</v>
      </c>
    </row>
    <row r="2026" spans="1:4" x14ac:dyDescent="0.2">
      <c r="A2026" s="5">
        <v>1965</v>
      </c>
      <c r="B2026" s="1832">
        <f>'Cap Outlay Deprec 26'!F5</f>
        <v>542305</v>
      </c>
      <c r="C2026" s="2" t="s">
        <v>569</v>
      </c>
      <c r="D2026" s="2" t="str">
        <f t="shared" si="30"/>
        <v>Error?</v>
      </c>
    </row>
    <row r="2027" spans="1:4" x14ac:dyDescent="0.2">
      <c r="A2027" s="5">
        <v>1966</v>
      </c>
      <c r="B2027" s="1832">
        <f>'Cap Outlay Deprec 26'!F8</f>
        <v>61003596</v>
      </c>
      <c r="C2027" s="2" t="s">
        <v>569</v>
      </c>
      <c r="D2027" s="2" t="str">
        <f t="shared" si="30"/>
        <v>Error?</v>
      </c>
    </row>
    <row r="2028" spans="1:4" x14ac:dyDescent="0.2">
      <c r="A2028" s="5">
        <v>1967</v>
      </c>
      <c r="B2028" s="1832">
        <f>'Cap Outlay Deprec 26'!F10</f>
        <v>1648645</v>
      </c>
      <c r="C2028" s="2" t="s">
        <v>569</v>
      </c>
      <c r="D2028" s="2" t="str">
        <f t="shared" si="30"/>
        <v>Error?</v>
      </c>
    </row>
    <row r="2029" spans="1:4" x14ac:dyDescent="0.2">
      <c r="A2029" s="5">
        <v>1968</v>
      </c>
      <c r="B2029" s="1832">
        <f>'Cap Outlay Deprec 26'!F12</f>
        <v>2427995</v>
      </c>
      <c r="C2029" s="2" t="s">
        <v>569</v>
      </c>
      <c r="D2029" s="2" t="str">
        <f t="shared" si="30"/>
        <v>Error?</v>
      </c>
    </row>
    <row r="2030" spans="1:4" x14ac:dyDescent="0.2">
      <c r="A2030" s="5">
        <v>1969</v>
      </c>
      <c r="B2030" s="1832">
        <f>'Cap Outlay Deprec 26'!F13</f>
        <v>51316</v>
      </c>
      <c r="C2030" s="2" t="s">
        <v>569</v>
      </c>
      <c r="D2030" s="2" t="str">
        <f t="shared" si="30"/>
        <v>Error?</v>
      </c>
    </row>
    <row r="2031" spans="1:4" x14ac:dyDescent="0.2">
      <c r="A2031" s="5">
        <v>1970</v>
      </c>
      <c r="B2031" s="1832">
        <f>'Cap Outlay Deprec 26'!F16</f>
        <v>65759090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16093550</v>
      </c>
      <c r="D2033" s="2" t="str">
        <f t="shared" si="30"/>
        <v>Error?</v>
      </c>
    </row>
    <row r="2034" spans="1:4" x14ac:dyDescent="0.2">
      <c r="A2034" s="5">
        <v>1973</v>
      </c>
      <c r="B2034" s="1832">
        <f>'Cap Outlay Deprec 26'!H10</f>
        <v>446544</v>
      </c>
      <c r="D2034" s="2" t="str">
        <f t="shared" si="30"/>
        <v>Error?</v>
      </c>
    </row>
    <row r="2035" spans="1:4" x14ac:dyDescent="0.2">
      <c r="A2035" s="5">
        <v>1974</v>
      </c>
      <c r="B2035" s="1832">
        <f>'Cap Outlay Deprec 26'!H12</f>
        <v>1723747</v>
      </c>
      <c r="D2035" s="2" t="str">
        <f t="shared" si="30"/>
        <v>Error?</v>
      </c>
    </row>
    <row r="2036" spans="1:4" x14ac:dyDescent="0.2">
      <c r="A2036" s="5">
        <v>1975</v>
      </c>
      <c r="B2036" s="1832">
        <f>'Cap Outlay Deprec 26'!H13</f>
        <v>34874</v>
      </c>
      <c r="D2036" s="2" t="str">
        <f t="shared" si="30"/>
        <v>Error?</v>
      </c>
    </row>
    <row r="2037" spans="1:4" x14ac:dyDescent="0.2">
      <c r="A2037" s="5">
        <v>1976</v>
      </c>
      <c r="B2037" s="1832">
        <f>'Cap Outlay Deprec 26'!H16</f>
        <v>18363140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1142648</v>
      </c>
      <c r="D2039" s="2" t="str">
        <f t="shared" si="30"/>
        <v>Error?</v>
      </c>
    </row>
    <row r="2040" spans="1:4" x14ac:dyDescent="0.2">
      <c r="A2040" s="5">
        <v>1979</v>
      </c>
      <c r="B2040" s="1832">
        <f>'Cap Outlay Deprec 26'!I10</f>
        <v>71314</v>
      </c>
      <c r="D2040" s="2" t="str">
        <f t="shared" si="30"/>
        <v>Error?</v>
      </c>
    </row>
    <row r="2041" spans="1:4" x14ac:dyDescent="0.2">
      <c r="A2041" s="5">
        <v>1980</v>
      </c>
      <c r="B2041" s="1832">
        <f>'Cap Outlay Deprec 26'!I12</f>
        <v>242800</v>
      </c>
      <c r="D2041" s="2" t="str">
        <f t="shared" si="30"/>
        <v>Error?</v>
      </c>
    </row>
    <row r="2042" spans="1:4" x14ac:dyDescent="0.2">
      <c r="A2042" s="5">
        <v>1981</v>
      </c>
      <c r="B2042" s="1832">
        <f>'Cap Outlay Deprec 26'!I13</f>
        <v>5361</v>
      </c>
      <c r="D2042" s="2" t="str">
        <f t="shared" si="30"/>
        <v>Error?</v>
      </c>
    </row>
    <row r="2043" spans="1:4" x14ac:dyDescent="0.2">
      <c r="A2043" s="5">
        <v>1982</v>
      </c>
      <c r="B2043" s="1832">
        <f>'Cap Outlay Deprec 26'!I16</f>
        <v>1462724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27446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27446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17236198</v>
      </c>
      <c r="C2051" s="2" t="s">
        <v>569</v>
      </c>
      <c r="D2051" s="2" t="str">
        <f t="shared" si="31"/>
        <v>Error?</v>
      </c>
    </row>
    <row r="2052" spans="1:4" x14ac:dyDescent="0.2">
      <c r="A2052" s="5">
        <v>1991</v>
      </c>
      <c r="B2052" s="1832">
        <f>'Cap Outlay Deprec 26'!K10</f>
        <v>517858</v>
      </c>
      <c r="C2052" s="2" t="s">
        <v>569</v>
      </c>
      <c r="D2052" s="2" t="str">
        <f t="shared" si="31"/>
        <v>Error?</v>
      </c>
    </row>
    <row r="2053" spans="1:4" x14ac:dyDescent="0.2">
      <c r="A2053" s="5">
        <v>1992</v>
      </c>
      <c r="B2053" s="1832">
        <f>'Cap Outlay Deprec 26'!K12</f>
        <v>1939101</v>
      </c>
      <c r="C2053" s="2" t="s">
        <v>569</v>
      </c>
      <c r="D2053" s="2" t="str">
        <f t="shared" si="31"/>
        <v>Error?</v>
      </c>
    </row>
    <row r="2054" spans="1:4" x14ac:dyDescent="0.2">
      <c r="A2054" s="5">
        <v>1993</v>
      </c>
      <c r="B2054" s="1832">
        <f>'Cap Outlay Deprec 26'!K13</f>
        <v>40235</v>
      </c>
      <c r="C2054" s="2" t="s">
        <v>569</v>
      </c>
      <c r="D2054" s="2" t="str">
        <f t="shared" si="31"/>
        <v>Error?</v>
      </c>
    </row>
    <row r="2055" spans="1:4" x14ac:dyDescent="0.2">
      <c r="A2055" s="5">
        <v>1994</v>
      </c>
      <c r="B2055" s="1832">
        <f>'Cap Outlay Deprec 26'!K16</f>
        <v>19798418</v>
      </c>
      <c r="C2055" s="2" t="s">
        <v>569</v>
      </c>
      <c r="D2055" s="2" t="str">
        <f t="shared" si="31"/>
        <v>Error?</v>
      </c>
    </row>
    <row r="2056" spans="1:4" x14ac:dyDescent="0.2">
      <c r="A2056" s="5">
        <v>1995</v>
      </c>
      <c r="B2056" s="1832">
        <f>'Cap Outlay Deprec 26'!L5</f>
        <v>542305</v>
      </c>
      <c r="C2056" s="2" t="s">
        <v>569</v>
      </c>
      <c r="D2056" s="2" t="str">
        <f t="shared" si="31"/>
        <v>Error?</v>
      </c>
    </row>
    <row r="2057" spans="1:4" x14ac:dyDescent="0.2">
      <c r="A2057" s="5">
        <v>1996</v>
      </c>
      <c r="B2057" s="1832">
        <f>'Cap Outlay Deprec 26'!L8</f>
        <v>43767398</v>
      </c>
      <c r="C2057" s="2" t="s">
        <v>569</v>
      </c>
      <c r="D2057" s="2" t="str">
        <f t="shared" si="31"/>
        <v>Error?</v>
      </c>
    </row>
    <row r="2058" spans="1:4" x14ac:dyDescent="0.2">
      <c r="A2058" s="5">
        <v>1997</v>
      </c>
      <c r="B2058" s="1832">
        <f>'Cap Outlay Deprec 26'!L10</f>
        <v>1130787</v>
      </c>
      <c r="C2058" s="2" t="s">
        <v>569</v>
      </c>
      <c r="D2058" s="2" t="str">
        <f t="shared" si="31"/>
        <v>Error?</v>
      </c>
    </row>
    <row r="2059" spans="1:4" x14ac:dyDescent="0.2">
      <c r="A2059" s="5">
        <v>1998</v>
      </c>
      <c r="B2059" s="1832">
        <f>'Cap Outlay Deprec 26'!L12</f>
        <v>488894</v>
      </c>
      <c r="C2059" s="2" t="s">
        <v>569</v>
      </c>
      <c r="D2059" s="2" t="str">
        <f t="shared" si="31"/>
        <v>Error?</v>
      </c>
    </row>
    <row r="2060" spans="1:4" x14ac:dyDescent="0.2">
      <c r="A2060" s="5">
        <v>1999</v>
      </c>
      <c r="B2060" s="1832">
        <f>'Cap Outlay Deprec 26'!L13</f>
        <v>11081</v>
      </c>
      <c r="C2060" s="2" t="s">
        <v>569</v>
      </c>
      <c r="D2060" s="2" t="str">
        <f t="shared" si="31"/>
        <v>Error?</v>
      </c>
    </row>
    <row r="2061" spans="1:4" x14ac:dyDescent="0.2">
      <c r="A2061" s="5">
        <v>2000</v>
      </c>
      <c r="B2061" s="1832">
        <f>'Cap Outlay Deprec 26'!L16</f>
        <v>45960672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18100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585731</v>
      </c>
      <c r="C2088" s="2" t="s">
        <v>569</v>
      </c>
      <c r="D2088" s="2" t="str">
        <f t="shared" si="31"/>
        <v>Error?</v>
      </c>
    </row>
    <row r="2089" spans="1:4" x14ac:dyDescent="0.2">
      <c r="A2089" s="5">
        <v>2028</v>
      </c>
      <c r="B2089" s="1832">
        <f>'Expenditures 15-22'!K92</f>
        <v>1507283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16729</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404563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483995</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11257640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5318764</v>
      </c>
      <c r="C2553" s="2" t="s">
        <v>569</v>
      </c>
      <c r="D2553" s="2" t="str">
        <f t="shared" si="38"/>
        <v>Error?</v>
      </c>
    </row>
    <row r="2554" spans="1:4" x14ac:dyDescent="0.2">
      <c r="A2554" s="5">
        <v>2493</v>
      </c>
      <c r="B2554" s="1832">
        <f>'Acct Summary 7-8'!C7</f>
        <v>1372302</v>
      </c>
      <c r="C2554" s="2" t="s">
        <v>569</v>
      </c>
      <c r="D2554" s="2" t="str">
        <f t="shared" si="38"/>
        <v>Error?</v>
      </c>
    </row>
    <row r="2555" spans="1:4" x14ac:dyDescent="0.2">
      <c r="A2555" s="5">
        <v>2494</v>
      </c>
      <c r="B2555" s="1832">
        <f>'Acct Summary 7-8'!C8</f>
        <v>17948706</v>
      </c>
      <c r="C2555" s="2" t="s">
        <v>569</v>
      </c>
      <c r="D2555" s="2" t="str">
        <f t="shared" si="38"/>
        <v>Error?</v>
      </c>
    </row>
    <row r="2556" spans="1:4" x14ac:dyDescent="0.2">
      <c r="A2556" s="5">
        <v>2495</v>
      </c>
      <c r="B2556" s="1832">
        <f>'Acct Summary 7-8'!C12</f>
        <v>10861875</v>
      </c>
      <c r="C2556" s="2" t="s">
        <v>569</v>
      </c>
      <c r="D2556" s="2" t="str">
        <f t="shared" si="38"/>
        <v>Error?</v>
      </c>
    </row>
    <row r="2557" spans="1:4" x14ac:dyDescent="0.2">
      <c r="A2557" s="5">
        <v>2496</v>
      </c>
      <c r="B2557" s="1832">
        <f>'Acct Summary 7-8'!C13</f>
        <v>5233393</v>
      </c>
      <c r="C2557" s="2" t="s">
        <v>569</v>
      </c>
      <c r="D2557" s="2" t="str">
        <f t="shared" si="38"/>
        <v>Error?</v>
      </c>
    </row>
    <row r="2558" spans="1:4" x14ac:dyDescent="0.2">
      <c r="A2558" s="5">
        <v>2497</v>
      </c>
      <c r="B2558" s="1832">
        <f>'Acct Summary 7-8'!C14</f>
        <v>151824</v>
      </c>
      <c r="C2558" s="2" t="s">
        <v>569</v>
      </c>
      <c r="D2558" s="2" t="str">
        <f t="shared" si="38"/>
        <v>Error?</v>
      </c>
    </row>
    <row r="2559" spans="1:4" x14ac:dyDescent="0.2">
      <c r="A2559" s="5">
        <v>2498</v>
      </c>
      <c r="B2559" s="1832">
        <f>'Acct Summary 7-8'!C15</f>
        <v>2093014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18340106</v>
      </c>
      <c r="C2561" s="2" t="s">
        <v>569</v>
      </c>
      <c r="D2561" s="2" t="str">
        <f t="shared" si="39"/>
        <v>Error?</v>
      </c>
    </row>
    <row r="2562" spans="1:4" x14ac:dyDescent="0.2">
      <c r="A2562" s="5">
        <v>2501</v>
      </c>
      <c r="B2562" s="1832">
        <f>'Acct Summary 7-8'!C20</f>
        <v>-391400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2022281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2072281</v>
      </c>
      <c r="C2568" s="2" t="s">
        <v>569</v>
      </c>
      <c r="D2568" s="2" t="str">
        <f t="shared" si="39"/>
        <v>Error?</v>
      </c>
    </row>
    <row r="2569" spans="1:4" x14ac:dyDescent="0.2">
      <c r="A2569" s="5">
        <v>2508</v>
      </c>
      <c r="B2569" s="1832">
        <f>'Acct Summary 7-8'!D13</f>
        <v>2370348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2370348</v>
      </c>
      <c r="C2573" s="2" t="s">
        <v>569</v>
      </c>
      <c r="D2573" s="2" t="str">
        <f t="shared" si="39"/>
        <v>Error?</v>
      </c>
    </row>
    <row r="2574" spans="1:4" x14ac:dyDescent="0.2">
      <c r="A2574" s="5">
        <v>2513</v>
      </c>
      <c r="B2574" s="1832">
        <f>'Acct Summary 7-8'!D20</f>
        <v>-298067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784715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1122852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1907567</v>
      </c>
      <c r="C2595" s="2" t="s">
        <v>569</v>
      </c>
      <c r="D2595" s="2" t="str">
        <f t="shared" si="39"/>
        <v>Error?</v>
      </c>
    </row>
    <row r="2596" spans="1:4" x14ac:dyDescent="0.2">
      <c r="A2596" s="5">
        <v>2535</v>
      </c>
      <c r="B2596" s="1832">
        <f>'Acct Summary 7-8'!F13</f>
        <v>1982870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1982870</v>
      </c>
      <c r="C2600" s="2" t="s">
        <v>569</v>
      </c>
      <c r="D2600" s="2" t="str">
        <f t="shared" si="39"/>
        <v>Error?</v>
      </c>
    </row>
    <row r="2601" spans="1:4" x14ac:dyDescent="0.2">
      <c r="A2601" s="5">
        <v>2540</v>
      </c>
      <c r="B2601" s="1832">
        <f>'Acct Summary 7-8'!F20</f>
        <v>-75303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623076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623076</v>
      </c>
      <c r="C2606" s="2" t="s">
        <v>569</v>
      </c>
      <c r="D2606" s="2" t="str">
        <f t="shared" si="39"/>
        <v>Error?</v>
      </c>
    </row>
    <row r="2607" spans="1:4" x14ac:dyDescent="0.2">
      <c r="A2607" s="5">
        <v>2546</v>
      </c>
      <c r="B2607" s="1832">
        <f>'Acct Summary 7-8'!G12</f>
        <v>167091</v>
      </c>
      <c r="C2607" s="2" t="s">
        <v>569</v>
      </c>
      <c r="D2607" s="2" t="str">
        <f t="shared" si="39"/>
        <v>Error?</v>
      </c>
    </row>
    <row r="2608" spans="1:4" x14ac:dyDescent="0.2">
      <c r="A2608" s="5">
        <v>2547</v>
      </c>
      <c r="B2608" s="1832">
        <f>'Acct Summary 7-8'!G13</f>
        <v>402385</v>
      </c>
      <c r="C2608" s="2" t="s">
        <v>569</v>
      </c>
      <c r="D2608" s="2" t="str">
        <f t="shared" si="39"/>
        <v>Error?</v>
      </c>
    </row>
    <row r="2609" spans="1:4" x14ac:dyDescent="0.2">
      <c r="A2609" s="5">
        <v>2548</v>
      </c>
      <c r="B2609" s="1832">
        <f>'Acct Summary 7-8'!G14</f>
        <v>14817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627729</v>
      </c>
      <c r="C2612" s="2" t="s">
        <v>569</v>
      </c>
      <c r="D2612" s="2" t="str">
        <f t="shared" si="39"/>
        <v>Error?</v>
      </c>
    </row>
    <row r="2613" spans="1:4" x14ac:dyDescent="0.2">
      <c r="A2613" s="5">
        <v>2552</v>
      </c>
      <c r="B2613" s="1832">
        <f>'Acct Summary 7-8'!G20</f>
        <v>-4653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3832933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3832933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3607045</v>
      </c>
      <c r="C2634" s="2" t="s">
        <v>569</v>
      </c>
      <c r="D2634" s="2" t="str">
        <f t="shared" si="40"/>
        <v>Error?</v>
      </c>
    </row>
    <row r="2635" spans="1:4" x14ac:dyDescent="0.2">
      <c r="A2635" s="5">
        <v>2574</v>
      </c>
      <c r="B2635" s="1832">
        <f>'Acct Summary 7-8'!E17</f>
        <v>3607045</v>
      </c>
      <c r="C2635" s="2" t="s">
        <v>569</v>
      </c>
      <c r="D2635" s="2" t="str">
        <f t="shared" si="40"/>
        <v>Error?</v>
      </c>
    </row>
    <row r="2636" spans="1:4" x14ac:dyDescent="0.2">
      <c r="A2636" s="5">
        <v>2575</v>
      </c>
      <c r="B2636" s="1832">
        <f>'Acct Summary 7-8'!E20</f>
        <v>225888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168841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168841</v>
      </c>
      <c r="C2658" s="2" t="s">
        <v>569</v>
      </c>
      <c r="D2658" s="2" t="str">
        <f t="shared" si="40"/>
        <v>Error?</v>
      </c>
    </row>
    <row r="2659" spans="1:4" x14ac:dyDescent="0.2">
      <c r="A2659" s="5">
        <v>2598</v>
      </c>
      <c r="B2659" s="1832">
        <f>'Acct Summary 7-8'!H13</f>
        <v>653781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653781</v>
      </c>
      <c r="C2661" s="2" t="s">
        <v>569</v>
      </c>
      <c r="D2661" s="2" t="str">
        <f t="shared" si="40"/>
        <v>Error?</v>
      </c>
    </row>
    <row r="2662" spans="1:4" x14ac:dyDescent="0.2">
      <c r="A2662" s="5">
        <v>2601</v>
      </c>
      <c r="B2662" s="1832">
        <f>'Acct Summary 7-8'!H20</f>
        <v>-484940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567631</v>
      </c>
      <c r="C2789" s="2" t="s">
        <v>569</v>
      </c>
      <c r="D2789" s="2" t="str">
        <f t="shared" si="42"/>
        <v>Error?</v>
      </c>
    </row>
    <row r="2790" spans="1:4" x14ac:dyDescent="0.2">
      <c r="A2790" s="5">
        <v>2729</v>
      </c>
      <c r="B2790" s="1832">
        <f>'Expenditures 15-22'!E102</f>
        <v>567631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10000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4570773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139038</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2787713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4570773</v>
      </c>
      <c r="D2912" s="2" t="str">
        <f t="shared" si="44"/>
        <v>Error?</v>
      </c>
    </row>
    <row r="2913" spans="1:4" x14ac:dyDescent="0.2">
      <c r="A2913" s="5">
        <v>2852</v>
      </c>
      <c r="B2913" s="1832">
        <f>'Assets-Liab 5-6'!I41</f>
        <v>4570773</v>
      </c>
      <c r="C2913" s="2" t="s">
        <v>569</v>
      </c>
      <c r="D2913" s="2" t="str">
        <f t="shared" si="44"/>
        <v>Error?</v>
      </c>
    </row>
    <row r="2914" spans="1:4" x14ac:dyDescent="0.2">
      <c r="A2914" s="5">
        <v>2853</v>
      </c>
      <c r="B2914" s="1832">
        <f>'Assets-Liab 5-6'!L33</f>
        <v>383893</v>
      </c>
      <c r="D2914" s="2" t="str">
        <f t="shared" si="44"/>
        <v>Error?</v>
      </c>
    </row>
    <row r="2915" spans="1:4" x14ac:dyDescent="0.2">
      <c r="A2915" s="10">
        <v>2854</v>
      </c>
      <c r="B2915" s="1832"/>
      <c r="D2915" s="2" t="str">
        <f t="shared" si="44"/>
        <v>OK</v>
      </c>
    </row>
    <row r="2916" spans="1:4" x14ac:dyDescent="0.2">
      <c r="A2916" s="5">
        <v>2855</v>
      </c>
      <c r="B2916" s="1832">
        <f>'Assets-Liab 5-6'!L34</f>
        <v>383893</v>
      </c>
      <c r="C2916" s="2" t="s">
        <v>569</v>
      </c>
      <c r="D2916" s="2" t="str">
        <f t="shared" si="44"/>
        <v>Error?</v>
      </c>
    </row>
    <row r="2917" spans="1:4" x14ac:dyDescent="0.2">
      <c r="A2917" s="5">
        <v>2856</v>
      </c>
      <c r="B2917" s="1832">
        <f>'Assets-Liab 5-6'!L41</f>
        <v>2787713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567631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11100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7000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567631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11100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7000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144347</v>
      </c>
      <c r="D3055" s="2" t="str">
        <f t="shared" si="46"/>
        <v>Error?</v>
      </c>
    </row>
    <row r="3056" spans="1:4" x14ac:dyDescent="0.2">
      <c r="A3056" s="5">
        <v>2995</v>
      </c>
      <c r="B3056" s="1832">
        <f>'Expenditures 15-22'!D10</f>
        <v>12597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354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157298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13557</v>
      </c>
      <c r="D3064" s="2" t="str">
        <f t="shared" si="46"/>
        <v>Error?</v>
      </c>
    </row>
    <row r="3065" spans="1:4" x14ac:dyDescent="0.2">
      <c r="A3065" s="5">
        <v>3004</v>
      </c>
      <c r="B3065" s="1832">
        <f>'Expenditures 15-22'!K219</f>
        <v>13557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2403820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225746</v>
      </c>
      <c r="C3225" s="2" t="s">
        <v>569</v>
      </c>
      <c r="D3225" s="2" t="str">
        <f t="shared" si="49"/>
        <v>Error?</v>
      </c>
    </row>
    <row r="3226" spans="1:4" x14ac:dyDescent="0.2">
      <c r="A3226" s="5">
        <v>3165</v>
      </c>
      <c r="B3226" s="1832">
        <f>'Acct Summary 7-8'!I8</f>
        <v>225746</v>
      </c>
      <c r="C3226" s="2" t="s">
        <v>569</v>
      </c>
      <c r="D3226" s="2" t="str">
        <f t="shared" si="49"/>
        <v>Error?</v>
      </c>
    </row>
    <row r="3227" spans="1:4" x14ac:dyDescent="0.2">
      <c r="A3227" s="5">
        <v>3166</v>
      </c>
      <c r="B3227" s="1832">
        <f>'Acct Summary 7-8'!I20</f>
        <v>225746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500000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25209</v>
      </c>
      <c r="C3231" s="2" t="s">
        <v>569</v>
      </c>
      <c r="D3231" s="2" t="str">
        <f t="shared" si="49"/>
        <v>Error?</v>
      </c>
    </row>
    <row r="3232" spans="1:4" x14ac:dyDescent="0.2">
      <c r="A3232" s="5">
        <v>3171</v>
      </c>
      <c r="B3232" s="1832">
        <f>'Acct Summary 7-8'!C77</f>
        <v>474791</v>
      </c>
      <c r="C3232" s="2" t="s">
        <v>569</v>
      </c>
      <c r="D3232" s="2" t="str">
        <f t="shared" si="49"/>
        <v>Error?</v>
      </c>
    </row>
    <row r="3233" spans="1:4" x14ac:dyDescent="0.2">
      <c r="A3233" s="5">
        <v>3172</v>
      </c>
      <c r="B3233" s="1832">
        <f>'Acct Summary 7-8'!C78</f>
        <v>83391</v>
      </c>
      <c r="C3233" s="2" t="s">
        <v>569</v>
      </c>
      <c r="D3233" s="2" t="str">
        <f t="shared" si="49"/>
        <v>Error?</v>
      </c>
    </row>
    <row r="3234" spans="1:4" x14ac:dyDescent="0.2">
      <c r="A3234" s="5">
        <v>3173</v>
      </c>
      <c r="B3234" s="1832">
        <f>'Acct Summary 7-8'!D43</f>
        <v>900848</v>
      </c>
      <c r="D3234" s="2" t="str">
        <f t="shared" si="49"/>
        <v>Error?</v>
      </c>
    </row>
    <row r="3235" spans="1:4" x14ac:dyDescent="0.2">
      <c r="A3235" s="5">
        <v>3174</v>
      </c>
      <c r="B3235" s="1832">
        <f>'Acct Summary 7-8'!D44</f>
        <v>900848</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12181</v>
      </c>
      <c r="C3237" s="2" t="s">
        <v>569</v>
      </c>
      <c r="D3237" s="2" t="str">
        <f t="shared" si="49"/>
        <v>Error?</v>
      </c>
    </row>
    <row r="3238" spans="1:4" x14ac:dyDescent="0.2">
      <c r="A3238" s="5">
        <v>3177</v>
      </c>
      <c r="B3238" s="1832">
        <f>'Acct Summary 7-8'!D77</f>
        <v>888667</v>
      </c>
      <c r="C3238" s="2" t="s">
        <v>569</v>
      </c>
      <c r="D3238" s="2" t="str">
        <f t="shared" si="49"/>
        <v>Error?</v>
      </c>
    </row>
    <row r="3239" spans="1:4" x14ac:dyDescent="0.2">
      <c r="A3239" s="5">
        <v>3178</v>
      </c>
      <c r="B3239" s="1832">
        <f>'Acct Summary 7-8'!D78</f>
        <v>590600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-75303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-4653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266342</v>
      </c>
      <c r="D3273" s="2" t="str">
        <f t="shared" si="50"/>
        <v>Error?</v>
      </c>
    </row>
    <row r="3274" spans="1:4" x14ac:dyDescent="0.2">
      <c r="A3274" s="5">
        <v>3213</v>
      </c>
      <c r="B3274" s="1832">
        <f>'Acct Summary 7-8'!E44</f>
        <v>303732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303732</v>
      </c>
      <c r="C3277" s="2" t="s">
        <v>569</v>
      </c>
      <c r="D3277" s="2" t="str">
        <f t="shared" si="50"/>
        <v>Error?</v>
      </c>
    </row>
    <row r="3278" spans="1:4" x14ac:dyDescent="0.2">
      <c r="A3278" s="5">
        <v>3217</v>
      </c>
      <c r="B3278" s="1832">
        <f>'Acct Summary 7-8'!E78</f>
        <v>529620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266342</v>
      </c>
      <c r="D3297" s="2" t="str">
        <f t="shared" si="50"/>
        <v>Error?</v>
      </c>
    </row>
    <row r="3298" spans="1:4" x14ac:dyDescent="0.2">
      <c r="A3298" s="5">
        <v>3237</v>
      </c>
      <c r="B3298" s="1832">
        <f>'Acct Summary 7-8'!H76</f>
        <v>266342</v>
      </c>
      <c r="C3298" s="2" t="s">
        <v>569</v>
      </c>
      <c r="D3298" s="2" t="str">
        <f t="shared" si="50"/>
        <v>Error?</v>
      </c>
    </row>
    <row r="3299" spans="1:4" x14ac:dyDescent="0.2">
      <c r="A3299" s="5">
        <v>3238</v>
      </c>
      <c r="B3299" s="1832">
        <f>'Acct Summary 7-8'!H77</f>
        <v>-266342</v>
      </c>
      <c r="C3299" s="2" t="s">
        <v>569</v>
      </c>
      <c r="D3299" s="2" t="str">
        <f t="shared" si="50"/>
        <v>Error?</v>
      </c>
    </row>
    <row r="3300" spans="1:4" x14ac:dyDescent="0.2">
      <c r="A3300" s="5">
        <v>3239</v>
      </c>
      <c r="B3300" s="1832">
        <f>'Acct Summary 7-8'!H78</f>
        <v>-751282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500000</v>
      </c>
      <c r="C3318" s="2" t="s">
        <v>569</v>
      </c>
      <c r="D3318" s="2" t="str">
        <f t="shared" si="50"/>
        <v>Error?</v>
      </c>
    </row>
    <row r="3319" spans="1:4" x14ac:dyDescent="0.2">
      <c r="A3319" s="5">
        <v>3258</v>
      </c>
      <c r="B3319" s="1832">
        <f>'Acct Summary 7-8'!I77</f>
        <v>-500000</v>
      </c>
      <c r="C3319" s="2" t="s">
        <v>569</v>
      </c>
      <c r="D3319" s="2" t="str">
        <f t="shared" si="50"/>
        <v>Error?</v>
      </c>
    </row>
    <row r="3320" spans="1:4" x14ac:dyDescent="0.2">
      <c r="A3320" s="5">
        <v>3259</v>
      </c>
      <c r="B3320" s="1832">
        <f>'Acct Summary 7-8'!I78</f>
        <v>-274254</v>
      </c>
      <c r="C3320" s="2" t="s">
        <v>569</v>
      </c>
      <c r="D3320" s="2" t="str">
        <f t="shared" si="50"/>
        <v>Error?</v>
      </c>
    </row>
    <row r="3321" spans="1:4" x14ac:dyDescent="0.2">
      <c r="A3321" s="5">
        <v>3260</v>
      </c>
      <c r="B3321" s="1832">
        <f>'Acct Summary 7-8'!I79</f>
        <v>4845027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4570773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681135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143416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10974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30786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2647</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868958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108828</v>
      </c>
      <c r="D3387" s="2" t="str">
        <f t="shared" si="51"/>
        <v>Error?</v>
      </c>
    </row>
    <row r="3388" spans="1:4" x14ac:dyDescent="0.2">
      <c r="A3388" s="5">
        <v>3327</v>
      </c>
      <c r="B3388" s="1832">
        <f>'Expenditures 15-22'!D217</f>
        <v>23109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108828</v>
      </c>
      <c r="C3390" s="2" t="s">
        <v>569</v>
      </c>
      <c r="D3390" s="2" t="str">
        <f t="shared" si="51"/>
        <v>Error?</v>
      </c>
    </row>
    <row r="3391" spans="1:4" x14ac:dyDescent="0.2">
      <c r="A3391" s="5">
        <v>3330</v>
      </c>
      <c r="B3391" s="1832">
        <f>'Expenditures 15-22'!K217</f>
        <v>23109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6197538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3077659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2237795</v>
      </c>
      <c r="D3417" s="2" t="str">
        <f t="shared" si="52"/>
        <v>Error?</v>
      </c>
    </row>
    <row r="3418" spans="1:4" x14ac:dyDescent="0.2">
      <c r="A3418" s="10">
        <v>3357</v>
      </c>
      <c r="B3418" s="1832"/>
      <c r="D3418" s="2" t="str">
        <f t="shared" si="52"/>
        <v>OK</v>
      </c>
    </row>
    <row r="3419" spans="1:4" x14ac:dyDescent="0.2">
      <c r="A3419" s="5">
        <v>3358</v>
      </c>
      <c r="B3419" s="1832">
        <f>'Assets-Liab 5-6'!F4</f>
        <v>1324942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946412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705130</v>
      </c>
      <c r="D3425" s="2" t="str">
        <f t="shared" si="52"/>
        <v>Error?</v>
      </c>
    </row>
    <row r="3426" spans="1:4" x14ac:dyDescent="0.2">
      <c r="A3426" s="10">
        <v>3365</v>
      </c>
      <c r="B3426" s="1832"/>
      <c r="D3426" s="2" t="str">
        <f t="shared" si="52"/>
        <v>OK</v>
      </c>
    </row>
    <row r="3427" spans="1:4" x14ac:dyDescent="0.2">
      <c r="A3427" s="5">
        <v>3366</v>
      </c>
      <c r="B3427" s="1832">
        <f>'Assets-Liab 5-6'!I4</f>
        <v>4570773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2648675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291951</v>
      </c>
      <c r="C3446" s="2" t="s">
        <v>569</v>
      </c>
      <c r="D3446" s="2" t="str">
        <f t="shared" si="52"/>
        <v>Error?</v>
      </c>
    </row>
    <row r="3447" spans="1:4" x14ac:dyDescent="0.2">
      <c r="A3447" s="5">
        <v>3386</v>
      </c>
      <c r="B3447" s="1832">
        <f>'Tax Sched 23'!D16</f>
        <v>119438</v>
      </c>
      <c r="C3447" s="2" t="s">
        <v>569</v>
      </c>
      <c r="D3447" s="2" t="str">
        <f t="shared" si="52"/>
        <v>Error?</v>
      </c>
    </row>
    <row r="3448" spans="1:4" x14ac:dyDescent="0.2">
      <c r="A3448" s="5">
        <v>3387</v>
      </c>
      <c r="B3448" s="1832">
        <f>'Tax Sched 23'!C16</f>
        <v>172513</v>
      </c>
      <c r="D3448" s="2" t="str">
        <f t="shared" si="52"/>
        <v>Error?</v>
      </c>
    </row>
    <row r="3449" spans="1:4" x14ac:dyDescent="0.2">
      <c r="A3449" s="5">
        <v>3388</v>
      </c>
      <c r="B3449" s="1832">
        <f>'Tax Sched 23'!F16</f>
        <v>127546</v>
      </c>
      <c r="C3449" s="2" t="s">
        <v>569</v>
      </c>
      <c r="D3449" s="2" t="str">
        <f t="shared" si="52"/>
        <v>Error?</v>
      </c>
    </row>
    <row r="3450" spans="1:4" x14ac:dyDescent="0.2">
      <c r="A3450" s="5">
        <v>3389</v>
      </c>
      <c r="B3450" s="1832">
        <f>'Tax Sched 23'!E16</f>
        <v>300059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10000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10000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10000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25665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25665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25665</v>
      </c>
      <c r="D3567" s="2" t="str">
        <f t="shared" si="54"/>
        <v>Error?</v>
      </c>
    </row>
    <row r="3568" spans="1:4" x14ac:dyDescent="0.2">
      <c r="A3568" s="5">
        <v>3507</v>
      </c>
      <c r="B3568" s="1832">
        <f>'Assets-Liab 5-6'!K41</f>
        <v>25665</v>
      </c>
      <c r="C3568" s="2" t="s">
        <v>569</v>
      </c>
      <c r="D3568" s="2" t="str">
        <f t="shared" si="54"/>
        <v>Error?</v>
      </c>
    </row>
    <row r="3569" spans="1:4" x14ac:dyDescent="0.2">
      <c r="A3569" s="5">
        <v>3508</v>
      </c>
      <c r="B3569" s="1832">
        <f>'Acct Summary 7-8'!K4</f>
        <v>23257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23257</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23257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23257</v>
      </c>
      <c r="C3588" s="2" t="s">
        <v>569</v>
      </c>
      <c r="D3588" s="2" t="str">
        <f t="shared" si="55"/>
        <v>Error?</v>
      </c>
    </row>
    <row r="3589" spans="1:4" x14ac:dyDescent="0.2">
      <c r="A3589" s="5">
        <v>3528</v>
      </c>
      <c r="B3589" s="1832">
        <f>'Acct Summary 7-8'!K79</f>
        <v>2408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25665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23257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43436</v>
      </c>
      <c r="D3721" s="2" t="str">
        <f t="shared" si="57"/>
        <v>Error?</v>
      </c>
    </row>
    <row r="3722" spans="1:4" x14ac:dyDescent="0.2">
      <c r="A3722" s="5">
        <v>3661</v>
      </c>
      <c r="B3722" s="1832">
        <f>'Expenditures 15-22'!D285</f>
        <v>43436</v>
      </c>
      <c r="C3722" s="2" t="s">
        <v>569</v>
      </c>
      <c r="D3722" s="2" t="str">
        <f t="shared" si="57"/>
        <v>Error?</v>
      </c>
    </row>
    <row r="3723" spans="1:4" x14ac:dyDescent="0.2">
      <c r="A3723" s="5">
        <v>3662</v>
      </c>
      <c r="B3723" s="1832">
        <f>'Expenditures 15-22'!K283</f>
        <v>43436</v>
      </c>
      <c r="C3723" s="2" t="s">
        <v>569</v>
      </c>
      <c r="D3723" s="2" t="str">
        <f t="shared" si="57"/>
        <v>Error?</v>
      </c>
    </row>
    <row r="3724" spans="1:4" x14ac:dyDescent="0.2">
      <c r="A3724" s="5">
        <v>3663</v>
      </c>
      <c r="B3724" s="1832">
        <f>'Expenditures 15-22'!K285</f>
        <v>43436</v>
      </c>
      <c r="C3724" s="2" t="s">
        <v>569</v>
      </c>
      <c r="D3724" s="2" t="str">
        <f t="shared" si="57"/>
        <v>Error?</v>
      </c>
    </row>
    <row r="3725" spans="1:4" x14ac:dyDescent="0.2">
      <c r="A3725" s="5">
        <v>3664</v>
      </c>
      <c r="B3725" s="1832">
        <f>'Tax Sched 23'!B13</f>
        <v>16437</v>
      </c>
      <c r="C3725" s="2" t="s">
        <v>569</v>
      </c>
      <c r="D3725" s="2" t="str">
        <f t="shared" si="57"/>
        <v>Error?</v>
      </c>
    </row>
    <row r="3726" spans="1:4" x14ac:dyDescent="0.2">
      <c r="A3726" s="5">
        <v>3665</v>
      </c>
      <c r="B3726" s="1832">
        <f>'Tax Sched 23'!D13</f>
        <v>4756</v>
      </c>
      <c r="C3726" s="2" t="s">
        <v>569</v>
      </c>
      <c r="D3726" s="2" t="str">
        <f t="shared" si="57"/>
        <v>Error?</v>
      </c>
    </row>
    <row r="3727" spans="1:4" x14ac:dyDescent="0.2">
      <c r="A3727" s="5">
        <v>3666</v>
      </c>
      <c r="B3727" s="1832">
        <f>'Tax Sched 23'!C13</f>
        <v>11681</v>
      </c>
      <c r="D3727" s="2" t="str">
        <f t="shared" si="57"/>
        <v>Error?</v>
      </c>
    </row>
    <row r="3728" spans="1:4" x14ac:dyDescent="0.2">
      <c r="A3728" s="5">
        <v>3667</v>
      </c>
      <c r="B3728" s="1832">
        <f>'Tax Sched 23'!F13</f>
        <v>8635</v>
      </c>
      <c r="C3728" s="2" t="s">
        <v>569</v>
      </c>
      <c r="D3728" s="2" t="str">
        <f t="shared" si="57"/>
        <v>Error?</v>
      </c>
    </row>
    <row r="3729" spans="1:4" x14ac:dyDescent="0.2">
      <c r="A3729" s="5">
        <v>3668</v>
      </c>
      <c r="B3729" s="1832">
        <f>'Tax Sched 23'!E13</f>
        <v>20316</v>
      </c>
      <c r="D3729" s="2" t="str">
        <f t="shared" si="57"/>
        <v>Error?</v>
      </c>
    </row>
    <row r="3730" spans="1:4" x14ac:dyDescent="0.2">
      <c r="A3730" s="5">
        <v>3669</v>
      </c>
      <c r="B3730" s="1832">
        <f>'ICR Computation 30'!E10</f>
        <v>506001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8275132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26223838</v>
      </c>
      <c r="C4122" s="2" t="s">
        <v>569</v>
      </c>
      <c r="D4122" s="2" t="str">
        <f t="shared" si="63"/>
        <v>Error?</v>
      </c>
    </row>
    <row r="4123" spans="1:4" x14ac:dyDescent="0.2">
      <c r="A4123" s="5">
        <v>4062</v>
      </c>
      <c r="B4123" s="1832">
        <f>'Acct Summary 7-8'!D10</f>
        <v>2072281</v>
      </c>
      <c r="C4123" s="2" t="s">
        <v>569</v>
      </c>
      <c r="D4123" s="2" t="str">
        <f t="shared" si="63"/>
        <v>Error?</v>
      </c>
    </row>
    <row r="4124" spans="1:4" x14ac:dyDescent="0.2">
      <c r="A4124" s="5">
        <v>4063</v>
      </c>
      <c r="B4124" s="1832">
        <f>'Acct Summary 7-8'!E10</f>
        <v>3832933</v>
      </c>
      <c r="C4124" s="2" t="s">
        <v>569</v>
      </c>
      <c r="D4124" s="2" t="str">
        <f t="shared" si="63"/>
        <v>Error?</v>
      </c>
    </row>
    <row r="4125" spans="1:4" x14ac:dyDescent="0.2">
      <c r="A4125" s="5">
        <v>4064</v>
      </c>
      <c r="B4125" s="1832">
        <f>'Acct Summary 7-8'!F10</f>
        <v>1907567</v>
      </c>
      <c r="C4125" s="2" t="s">
        <v>569</v>
      </c>
      <c r="D4125" s="2" t="str">
        <f t="shared" si="63"/>
        <v>Error?</v>
      </c>
    </row>
    <row r="4126" spans="1:4" x14ac:dyDescent="0.2">
      <c r="A4126" s="5">
        <v>4065</v>
      </c>
      <c r="B4126" s="1832">
        <f>'Acct Summary 7-8'!G10</f>
        <v>623076</v>
      </c>
      <c r="C4126" s="2" t="s">
        <v>569</v>
      </c>
      <c r="D4126" s="2" t="str">
        <f t="shared" si="63"/>
        <v>Error?</v>
      </c>
    </row>
    <row r="4127" spans="1:4" x14ac:dyDescent="0.2">
      <c r="A4127" s="5">
        <v>4066</v>
      </c>
      <c r="B4127" s="1832">
        <f>'Acct Summary 7-8'!H10</f>
        <v>168841</v>
      </c>
      <c r="C4127" s="2" t="s">
        <v>569</v>
      </c>
      <c r="D4127" s="2" t="str">
        <f t="shared" si="63"/>
        <v>Error?</v>
      </c>
    </row>
    <row r="4128" spans="1:4" x14ac:dyDescent="0.2">
      <c r="A4128" s="5">
        <v>4067</v>
      </c>
      <c r="B4128" s="1832">
        <f>'Acct Summary 7-8'!I10</f>
        <v>225746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23257</v>
      </c>
      <c r="C4130" s="2" t="s">
        <v>569</v>
      </c>
      <c r="D4130" s="2" t="str">
        <f t="shared" si="63"/>
        <v>Error?</v>
      </c>
    </row>
    <row r="4131" spans="1:4" x14ac:dyDescent="0.2">
      <c r="A4131" s="5">
        <v>4070</v>
      </c>
      <c r="B4131" s="1832">
        <f>'Acct Summary 7-8'!C18</f>
        <v>8275132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26615238</v>
      </c>
      <c r="C4136" s="2" t="s">
        <v>569</v>
      </c>
      <c r="D4136" s="2" t="str">
        <f t="shared" si="63"/>
        <v>Error?</v>
      </c>
    </row>
    <row r="4137" spans="1:4" x14ac:dyDescent="0.2">
      <c r="A4137" s="5">
        <v>4076</v>
      </c>
      <c r="B4137" s="1832">
        <f>'Acct Summary 7-8'!D19</f>
        <v>2370348</v>
      </c>
      <c r="C4137" s="2" t="s">
        <v>569</v>
      </c>
      <c r="D4137" s="2" t="str">
        <f t="shared" si="63"/>
        <v>Error?</v>
      </c>
    </row>
    <row r="4138" spans="1:4" x14ac:dyDescent="0.2">
      <c r="A4138" s="5">
        <v>4077</v>
      </c>
      <c r="B4138" s="1832">
        <f>'Acct Summary 7-8'!E19</f>
        <v>3607045</v>
      </c>
      <c r="C4138" s="2" t="s">
        <v>569</v>
      </c>
      <c r="D4138" s="2" t="str">
        <f t="shared" si="63"/>
        <v>Error?</v>
      </c>
    </row>
    <row r="4139" spans="1:4" x14ac:dyDescent="0.2">
      <c r="A4139" s="5">
        <v>4078</v>
      </c>
      <c r="B4139" s="1832">
        <f>'Acct Summary 7-8'!F19</f>
        <v>1982870</v>
      </c>
      <c r="C4139" s="2" t="s">
        <v>569</v>
      </c>
      <c r="D4139" s="2" t="str">
        <f t="shared" si="63"/>
        <v>Error?</v>
      </c>
    </row>
    <row r="4140" spans="1:4" x14ac:dyDescent="0.2">
      <c r="A4140" s="5">
        <v>4079</v>
      </c>
      <c r="B4140" s="1832">
        <f>'Acct Summary 7-8'!G19</f>
        <v>627729</v>
      </c>
      <c r="C4140" s="2" t="s">
        <v>569</v>
      </c>
      <c r="D4140" s="2" t="str">
        <f t="shared" si="63"/>
        <v>Error?</v>
      </c>
    </row>
    <row r="4141" spans="1:4" x14ac:dyDescent="0.2">
      <c r="A4141" s="5">
        <v>4080</v>
      </c>
      <c r="B4141" s="1832">
        <f>'Acct Summary 7-8'!H19</f>
        <v>653781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34975956</v>
      </c>
      <c r="C4171" s="2" t="s">
        <v>569</v>
      </c>
      <c r="D4171" s="2" t="str">
        <f t="shared" si="64"/>
        <v>Error?</v>
      </c>
    </row>
    <row r="4172" spans="1:4" x14ac:dyDescent="0.2">
      <c r="A4172" s="5">
        <v>4111</v>
      </c>
      <c r="B4172" s="1832">
        <f>'Short-Term Long-Term Debt 24'!J49</f>
        <v>32738161</v>
      </c>
      <c r="C4172" s="2" t="s">
        <v>569</v>
      </c>
      <c r="D4172" s="2" t="str">
        <f t="shared" si="64"/>
        <v>Error?</v>
      </c>
    </row>
    <row r="4173" spans="1:4" x14ac:dyDescent="0.2">
      <c r="A4173" s="5">
        <v>4112</v>
      </c>
      <c r="B4173" s="1832">
        <f>'Short-Term Long-Term Debt 24'!H49</f>
        <v>2187141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934810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3050</v>
      </c>
      <c r="C4268" s="2" t="s">
        <v>569</v>
      </c>
      <c r="D4268" s="2" t="str">
        <f t="shared" si="65"/>
        <v>Error?</v>
      </c>
    </row>
    <row r="4269" spans="1:5" x14ac:dyDescent="0.2">
      <c r="A4269" s="12">
        <v>4208</v>
      </c>
      <c r="B4269" s="1832">
        <f>'FP Info 3'!J16</f>
        <v>15170912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12932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26808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11700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44970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390701703</v>
      </c>
      <c r="D4995" s="2" t="str">
        <f t="shared" si="77"/>
        <v>Error?</v>
      </c>
    </row>
    <row r="4996" spans="1:4" x14ac:dyDescent="0.2">
      <c r="A4996" s="12">
        <v>4935</v>
      </c>
      <c r="B4996" s="1832">
        <f>'FP Info 3'!H31</f>
        <v>53916835.014000006</v>
      </c>
      <c r="D4996" s="2" t="str">
        <f t="shared" si="77"/>
        <v>Error?</v>
      </c>
    </row>
    <row r="4997" spans="1:4" x14ac:dyDescent="0.2">
      <c r="A4997" s="12">
        <v>4936</v>
      </c>
      <c r="B4997" s="1832">
        <f>'FP Info 3'!H37</f>
        <v>34975956</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16437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9081202</v>
      </c>
      <c r="D5061" s="2" t="str">
        <f t="shared" si="78"/>
        <v>Error?</v>
      </c>
    </row>
    <row r="5062" spans="1:4" x14ac:dyDescent="0.2">
      <c r="A5062" s="10">
        <v>5001</v>
      </c>
      <c r="B5062" s="1832"/>
      <c r="D5062" s="2" t="str">
        <f t="shared" si="78"/>
        <v>OK</v>
      </c>
    </row>
    <row r="5063" spans="1:4" x14ac:dyDescent="0.2">
      <c r="A5063" s="5">
        <v>5002</v>
      </c>
      <c r="B5063" s="1832">
        <f>'Revenues 9-14'!C7</f>
        <v>154573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9252212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1642</v>
      </c>
      <c r="D5068" s="2" t="str">
        <f t="shared" si="78"/>
        <v>Error?</v>
      </c>
    </row>
    <row r="5069" spans="1:4" x14ac:dyDescent="0.2">
      <c r="A5069" s="5">
        <v>5008</v>
      </c>
      <c r="B5069" s="1832">
        <f>'Revenues 9-14'!C16</f>
        <v>477884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479526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33459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33459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41154</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4991</v>
      </c>
      <c r="D5095" s="2" t="str">
        <f t="shared" si="78"/>
        <v>Error?</v>
      </c>
    </row>
    <row r="5096" spans="1:4" x14ac:dyDescent="0.2">
      <c r="A5096" s="5">
        <v>5035</v>
      </c>
      <c r="B5096" s="1832">
        <f>'Revenues 9-14'!C75</f>
        <v>719973</v>
      </c>
      <c r="C5096" s="2" t="s">
        <v>569</v>
      </c>
      <c r="D5096" s="2" t="str">
        <f t="shared" si="78"/>
        <v>Error?</v>
      </c>
    </row>
    <row r="5097" spans="1:4" x14ac:dyDescent="0.2">
      <c r="A5097" s="5">
        <v>5036</v>
      </c>
      <c r="B5097" s="1832">
        <f>'Revenues 9-14'!C77</f>
        <v>86979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43711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122920</v>
      </c>
      <c r="D5101" s="2" t="str">
        <f t="shared" si="78"/>
        <v>Error?</v>
      </c>
    </row>
    <row r="5102" spans="1:4" x14ac:dyDescent="0.2">
      <c r="A5102" s="5">
        <v>5041</v>
      </c>
      <c r="B5102" s="1832">
        <f>'Revenues 9-14'!C82</f>
        <v>253610</v>
      </c>
      <c r="C5102" s="2" t="s">
        <v>569</v>
      </c>
      <c r="D5102" s="2" t="str">
        <f t="shared" si="78"/>
        <v>Error?</v>
      </c>
    </row>
    <row r="5103" spans="1:4" x14ac:dyDescent="0.2">
      <c r="A5103" s="5">
        <v>5042</v>
      </c>
      <c r="B5103" s="1832">
        <f>'Revenues 9-14'!C84</f>
        <v>261260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261260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59072</v>
      </c>
      <c r="D5114" s="2" t="str">
        <f t="shared" si="78"/>
        <v>Error?</v>
      </c>
    </row>
    <row r="5115" spans="1:4" x14ac:dyDescent="0.2">
      <c r="A5115" s="5">
        <v>5054</v>
      </c>
      <c r="B5115" s="1832">
        <f>'Revenues 9-14'!C98</f>
        <v>129522</v>
      </c>
      <c r="D5115" s="2" t="str">
        <f t="shared" si="78"/>
        <v>Error?</v>
      </c>
    </row>
    <row r="5116" spans="1:4" x14ac:dyDescent="0.2">
      <c r="A5116" s="5">
        <v>5055</v>
      </c>
      <c r="B5116" s="1832">
        <f>'Revenues 9-14'!C99</f>
        <v>17016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27588</v>
      </c>
      <c r="D5119" s="2" t="str">
        <f t="shared" ref="D5119:D5182" si="79">IF(ISBLANK(B5119),"OK",IF(A5119-B5119=0,"OK","Error?"))</f>
        <v>Error?</v>
      </c>
    </row>
    <row r="5120" spans="1:4" x14ac:dyDescent="0.2">
      <c r="A5120" s="5">
        <v>5059</v>
      </c>
      <c r="B5120" s="1832">
        <f>'Revenues 9-14'!C108</f>
        <v>257600</v>
      </c>
      <c r="C5120" s="2" t="s">
        <v>569</v>
      </c>
      <c r="D5120" s="2" t="str">
        <f t="shared" si="79"/>
        <v>Error?</v>
      </c>
    </row>
    <row r="5121" spans="1:4" x14ac:dyDescent="0.2">
      <c r="A5121" s="5">
        <v>5060</v>
      </c>
      <c r="B5121" s="1832">
        <f>'Revenues 9-14'!C109</f>
        <v>11257640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5205932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5205932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26615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26615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49019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55616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3808</v>
      </c>
      <c r="D5167" s="2" t="str">
        <f t="shared" si="79"/>
        <v>Error?</v>
      </c>
    </row>
    <row r="5168" spans="1:4" x14ac:dyDescent="0.2">
      <c r="A5168" s="5">
        <v>5107</v>
      </c>
      <c r="B5168" s="1832">
        <f>'Revenues 9-14'!C148</f>
        <v>26793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112832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5318764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250068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54527</v>
      </c>
      <c r="D5241" s="2" t="str">
        <f t="shared" si="80"/>
        <v>Error?</v>
      </c>
    </row>
    <row r="5242" spans="1:4" x14ac:dyDescent="0.2">
      <c r="A5242" s="5">
        <v>5181</v>
      </c>
      <c r="B5242" s="1832">
        <f>'Revenues 9-14'!C194</f>
        <v>152117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456712</v>
      </c>
      <c r="C5246" s="2" t="s">
        <v>569</v>
      </c>
      <c r="D5246" s="2" t="str">
        <f t="shared" si="80"/>
        <v>Error?</v>
      </c>
    </row>
    <row r="5247" spans="1:4" x14ac:dyDescent="0.2">
      <c r="A5247" s="5">
        <v>5186</v>
      </c>
      <c r="B5247" s="1832">
        <f>'Revenues 9-14'!C200</f>
        <v>251549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11700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251549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14219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553412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567631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1372302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1372302</v>
      </c>
      <c r="C5326" s="2" t="s">
        <v>569</v>
      </c>
      <c r="D5326" s="2" t="str">
        <f t="shared" si="82"/>
        <v>Error?</v>
      </c>
    </row>
    <row r="5327" spans="1:5" x14ac:dyDescent="0.2">
      <c r="A5327" s="5">
        <v>5266</v>
      </c>
      <c r="B5327" s="1832">
        <f>'Revenues 9-14'!C268</f>
        <v>17948706</v>
      </c>
      <c r="C5327" s="2" t="s">
        <v>569</v>
      </c>
      <c r="D5327" s="2" t="str">
        <f t="shared" si="82"/>
        <v>Error?</v>
      </c>
    </row>
    <row r="5328" spans="1:5" x14ac:dyDescent="0.2">
      <c r="A5328" s="5">
        <v>5267</v>
      </c>
      <c r="B5328" s="1832">
        <f>'Revenues 9-14'!D5</f>
        <v>1932171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1932171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343</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343</v>
      </c>
      <c r="C5339" s="2" t="s">
        <v>569</v>
      </c>
      <c r="D5339" s="2" t="str">
        <f t="shared" si="82"/>
        <v>Error?</v>
      </c>
    </row>
    <row r="5340" spans="1:4" x14ac:dyDescent="0.2">
      <c r="A5340" s="5">
        <v>5279</v>
      </c>
      <c r="B5340" s="1832">
        <f>'Revenues 9-14'!D65</f>
        <v>15138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15138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47700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26209</v>
      </c>
      <c r="D5354" s="2" t="str">
        <f t="shared" si="82"/>
        <v>Error?</v>
      </c>
    </row>
    <row r="5355" spans="1:4" x14ac:dyDescent="0.2">
      <c r="A5355" s="5">
        <v>5294</v>
      </c>
      <c r="B5355" s="1832">
        <f>'Revenues 9-14'!D108</f>
        <v>74629</v>
      </c>
      <c r="C5355" s="2" t="s">
        <v>569</v>
      </c>
      <c r="D5355" s="2" t="str">
        <f t="shared" si="82"/>
        <v>Error?</v>
      </c>
    </row>
    <row r="5356" spans="1:4" x14ac:dyDescent="0.2">
      <c r="A5356" s="5">
        <v>5295</v>
      </c>
      <c r="B5356" s="1832">
        <f>'Revenues 9-14'!D109</f>
        <v>2022281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2072281</v>
      </c>
      <c r="C5508" s="2" t="s">
        <v>569</v>
      </c>
      <c r="D5508" s="2" t="str">
        <f t="shared" si="85"/>
        <v>Error?</v>
      </c>
    </row>
    <row r="5509" spans="1:4" x14ac:dyDescent="0.2">
      <c r="A5509" s="5">
        <v>5448</v>
      </c>
      <c r="B5509" s="1832">
        <f>'Revenues 9-14'!E5</f>
        <v>2858528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2858528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521</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521</v>
      </c>
      <c r="C5518" s="2" t="s">
        <v>569</v>
      </c>
      <c r="D5518" s="2" t="str">
        <f t="shared" si="85"/>
        <v>Error?</v>
      </c>
    </row>
    <row r="5519" spans="1:4" x14ac:dyDescent="0.2">
      <c r="A5519" s="5">
        <v>5458</v>
      </c>
      <c r="B5519" s="1832">
        <f>'Revenues 9-14'!E65</f>
        <v>11725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11725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962159</v>
      </c>
      <c r="C5526" s="2" t="s">
        <v>569</v>
      </c>
      <c r="D5526" s="2" t="str">
        <f t="shared" si="85"/>
        <v>Error?</v>
      </c>
    </row>
    <row r="5527" spans="1:4" x14ac:dyDescent="0.2">
      <c r="A5527" s="5">
        <v>5466</v>
      </c>
      <c r="B5527" s="1832">
        <f>'Revenues 9-14'!E109</f>
        <v>3832933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3832933</v>
      </c>
      <c r="C5552" s="2" t="s">
        <v>569</v>
      </c>
      <c r="D5552" s="2" t="str">
        <f t="shared" si="85"/>
        <v>Error?</v>
      </c>
    </row>
    <row r="5553" spans="1:4" x14ac:dyDescent="0.2">
      <c r="A5553" s="5">
        <v>5492</v>
      </c>
      <c r="B5553" s="1832">
        <f>'Revenues 9-14'!F5</f>
        <v>772869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772869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137</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137</v>
      </c>
      <c r="C5562" s="2" t="s">
        <v>569</v>
      </c>
      <c r="D5562" s="2" t="str">
        <f t="shared" si="85"/>
        <v>Error?</v>
      </c>
    </row>
    <row r="5563" spans="1:4" x14ac:dyDescent="0.2">
      <c r="A5563" s="5">
        <v>5502</v>
      </c>
      <c r="B5563" s="1832">
        <f>'Revenues 9-14'!F42</f>
        <v>2384</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2384</v>
      </c>
      <c r="C5579" s="2" t="s">
        <v>569</v>
      </c>
      <c r="D5579" s="2" t="str">
        <f t="shared" si="86"/>
        <v>Error?</v>
      </c>
    </row>
    <row r="5580" spans="1:4" x14ac:dyDescent="0.2">
      <c r="A5580" s="5">
        <v>5519</v>
      </c>
      <c r="B5580" s="1832">
        <f>'Revenues 9-14'!F65</f>
        <v>9325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9325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784715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961357</v>
      </c>
      <c r="D5615" s="2" t="str">
        <f t="shared" si="86"/>
        <v>Error?</v>
      </c>
    </row>
    <row r="5616" spans="1:4" x14ac:dyDescent="0.2">
      <c r="A5616" s="10">
        <v>5555</v>
      </c>
      <c r="B5616" s="1832"/>
      <c r="D5616" s="2" t="str">
        <f t="shared" si="86"/>
        <v>OK</v>
      </c>
    </row>
    <row r="5617" spans="1:5" x14ac:dyDescent="0.2">
      <c r="A5617" s="5">
        <v>5556</v>
      </c>
      <c r="B5617" s="1832">
        <f>'Revenues 9-14'!F153</f>
        <v>161495</v>
      </c>
      <c r="D5617" s="2" t="str">
        <f t="shared" si="86"/>
        <v>Error?</v>
      </c>
    </row>
    <row r="5618" spans="1:5" x14ac:dyDescent="0.2">
      <c r="A5618" s="5">
        <v>5557</v>
      </c>
      <c r="B5618" s="1832">
        <f>'Revenues 9-14'!F155</f>
        <v>1122852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1122852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1122852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1907567</v>
      </c>
      <c r="C5720" s="2" t="s">
        <v>569</v>
      </c>
      <c r="D5720" s="2" t="str">
        <f t="shared" si="88"/>
        <v>Error?</v>
      </c>
    </row>
    <row r="5721" spans="1:4" x14ac:dyDescent="0.2">
      <c r="A5721" s="5">
        <v>5660</v>
      </c>
      <c r="B5721" s="1832">
        <f>'Revenues 9-14'!G5</f>
        <v>291951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291951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583902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101</v>
      </c>
      <c r="D5727" s="2" t="str">
        <f t="shared" si="88"/>
        <v>Error?</v>
      </c>
    </row>
    <row r="5728" spans="1:4" x14ac:dyDescent="0.2">
      <c r="A5728" s="5">
        <v>5667</v>
      </c>
      <c r="B5728" s="1832">
        <f>'Revenues 9-14'!G16</f>
        <v>33497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33598</v>
      </c>
      <c r="C5730" s="2" t="s">
        <v>569</v>
      </c>
      <c r="D5730" s="2" t="str">
        <f t="shared" si="88"/>
        <v>Error?</v>
      </c>
    </row>
    <row r="5731" spans="1:4" x14ac:dyDescent="0.2">
      <c r="A5731" s="5">
        <v>5670</v>
      </c>
      <c r="B5731" s="1832">
        <f>'Revenues 9-14'!G65</f>
        <v>5576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5576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623076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7499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7499</v>
      </c>
      <c r="C5881" s="2" t="s">
        <v>569</v>
      </c>
      <c r="D5881" s="2" t="str">
        <f t="shared" si="90"/>
        <v>Error?</v>
      </c>
    </row>
    <row r="5882" spans="1:4" x14ac:dyDescent="0.2">
      <c r="A5882" s="5">
        <v>5821</v>
      </c>
      <c r="B5882" s="1832">
        <f>'Revenues 9-14'!H96</f>
        <v>120000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161342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168841</v>
      </c>
      <c r="C5915" s="2" t="s">
        <v>569</v>
      </c>
      <c r="D5915" s="2" t="str">
        <f t="shared" si="91"/>
        <v>Error?</v>
      </c>
    </row>
    <row r="5916" spans="1:4" x14ac:dyDescent="0.2">
      <c r="A5916" s="5">
        <v>5855</v>
      </c>
      <c r="B5916" s="1832">
        <f>'Revenues 9-14'!I5</f>
        <v>193217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193217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34</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34</v>
      </c>
      <c r="C5923" s="2" t="s">
        <v>569</v>
      </c>
      <c r="D5923" s="2" t="str">
        <f t="shared" si="91"/>
        <v>Error?</v>
      </c>
    </row>
    <row r="5924" spans="1:4" x14ac:dyDescent="0.2">
      <c r="A5924" s="5">
        <v>5863</v>
      </c>
      <c r="B5924" s="1832">
        <f>'Revenues 9-14'!I65</f>
        <v>32495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32495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225746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23136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23136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121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121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23257</v>
      </c>
      <c r="C6023" s="2" t="s">
        <v>569</v>
      </c>
      <c r="D6023" s="2" t="str">
        <f t="shared" si="93"/>
        <v>Error?</v>
      </c>
    </row>
    <row r="6024" spans="1:5" x14ac:dyDescent="0.2">
      <c r="A6024" s="5">
        <v>5963</v>
      </c>
      <c r="B6024" s="1832">
        <f>'Revenues 9-14'!G109</f>
        <v>623076</v>
      </c>
      <c r="C6024" s="2" t="s">
        <v>569</v>
      </c>
      <c r="D6024" s="2" t="str">
        <f t="shared" si="93"/>
        <v>Error?</v>
      </c>
    </row>
    <row r="6025" spans="1:5" x14ac:dyDescent="0.2">
      <c r="A6025" s="5">
        <v>5964</v>
      </c>
      <c r="B6025" s="1832">
        <f>'Revenues 9-14'!H109</f>
        <v>168841</v>
      </c>
      <c r="C6025" s="2" t="s">
        <v>569</v>
      </c>
      <c r="D6025" s="2" t="str">
        <f t="shared" si="93"/>
        <v>Error?</v>
      </c>
    </row>
    <row r="6026" spans="1:5" x14ac:dyDescent="0.2">
      <c r="A6026" s="5">
        <v>5965</v>
      </c>
      <c r="B6026" s="1832">
        <f>'Revenues 9-14'!I109</f>
        <v>225746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23257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673828</v>
      </c>
      <c r="D6031" s="2" t="str">
        <f t="shared" si="93"/>
        <v>Error?</v>
      </c>
    </row>
    <row r="6032" spans="1:5" x14ac:dyDescent="0.2">
      <c r="A6032" s="5">
        <v>5971</v>
      </c>
      <c r="B6032" s="1832">
        <f>'Acct Summary 7-8'!G15</f>
        <v>43436</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85243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2417.3000000000002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755358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755358</v>
      </c>
      <c r="D6215" s="2" t="str">
        <f t="shared" si="96"/>
        <v>Error?</v>
      </c>
      <c r="E6215" s="2" t="s">
        <v>189</v>
      </c>
    </row>
    <row r="6216" spans="1:5" x14ac:dyDescent="0.2">
      <c r="A6216">
        <v>6155</v>
      </c>
      <c r="B6216" s="1832">
        <f>'Assets-Liab 5-6'!J41</f>
        <v>755358</v>
      </c>
      <c r="D6216" s="2" t="str">
        <f t="shared" si="96"/>
        <v>Error?</v>
      </c>
      <c r="E6216" s="2" t="s">
        <v>189</v>
      </c>
    </row>
    <row r="6217" spans="1:5" x14ac:dyDescent="0.2">
      <c r="A6217">
        <v>6156</v>
      </c>
      <c r="B6217" s="1832">
        <f>'Assets-Liab 5-6'!J4</f>
        <v>755358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930475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930475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930475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953655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953655</v>
      </c>
      <c r="D6229" s="2" t="str">
        <f t="shared" si="96"/>
        <v>Error?</v>
      </c>
      <c r="E6229" s="2" t="s">
        <v>189</v>
      </c>
    </row>
    <row r="6230" spans="1:5" x14ac:dyDescent="0.2">
      <c r="A6230">
        <v>6169</v>
      </c>
      <c r="B6230" s="1832">
        <f>'Acct Summary 7-8'!J20</f>
        <v>-23180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24959</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250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-23180</v>
      </c>
      <c r="D6263" s="2" t="str">
        <f t="shared" si="96"/>
        <v>Error?</v>
      </c>
      <c r="E6263" s="2" t="s">
        <v>189</v>
      </c>
    </row>
    <row r="6264" spans="1:5" x14ac:dyDescent="0.2">
      <c r="A6264">
        <v>6203</v>
      </c>
      <c r="B6264" s="1832">
        <f>'Acct Summary 7-8'!J79</f>
        <v>778538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755358</v>
      </c>
      <c r="D6266" s="2" t="str">
        <f t="shared" si="96"/>
        <v>Error?</v>
      </c>
      <c r="E6266" s="2" t="s">
        <v>189</v>
      </c>
    </row>
    <row r="6267" spans="1:5" x14ac:dyDescent="0.2">
      <c r="A6267">
        <v>6206</v>
      </c>
      <c r="B6267" s="1832">
        <f>'Acct Summary 7-8'!C82</f>
        <v>83391</v>
      </c>
      <c r="D6267" s="2" t="str">
        <f t="shared" si="96"/>
        <v>Error?</v>
      </c>
      <c r="E6267" s="2" t="s">
        <v>189</v>
      </c>
    </row>
    <row r="6268" spans="1:5" x14ac:dyDescent="0.2">
      <c r="A6268">
        <v>6207</v>
      </c>
      <c r="B6268" s="1832">
        <f>'Acct Summary 7-8'!D82</f>
        <v>590600</v>
      </c>
      <c r="D6268" s="2" t="str">
        <f t="shared" si="96"/>
        <v>Error?</v>
      </c>
      <c r="E6268" s="2" t="s">
        <v>189</v>
      </c>
    </row>
    <row r="6269" spans="1:5" x14ac:dyDescent="0.2">
      <c r="A6269">
        <v>6208</v>
      </c>
      <c r="B6269" s="1832">
        <f>'Acct Summary 7-8'!E82</f>
        <v>529620</v>
      </c>
      <c r="D6269" s="2" t="str">
        <f t="shared" si="96"/>
        <v>Error?</v>
      </c>
      <c r="E6269" s="2" t="s">
        <v>189</v>
      </c>
    </row>
    <row r="6270" spans="1:5" x14ac:dyDescent="0.2">
      <c r="A6270">
        <v>6209</v>
      </c>
      <c r="B6270" s="1832">
        <f>'Acct Summary 7-8'!F82</f>
        <v>-75303</v>
      </c>
      <c r="D6270" s="2" t="str">
        <f t="shared" si="96"/>
        <v>Error?</v>
      </c>
      <c r="E6270" s="2" t="s">
        <v>189</v>
      </c>
    </row>
    <row r="6271" spans="1:5" x14ac:dyDescent="0.2">
      <c r="A6271">
        <v>6210</v>
      </c>
      <c r="B6271" s="1832">
        <f>'Acct Summary 7-8'!G82</f>
        <v>-4653</v>
      </c>
      <c r="D6271" s="2" t="str">
        <f t="shared" ref="D6271:D6334" si="97">IF(ISBLANK(B6271),"OK",IF(A6271-B6271=0,"OK","Error?"))</f>
        <v>Error?</v>
      </c>
      <c r="E6271" s="2" t="s">
        <v>189</v>
      </c>
    </row>
    <row r="6272" spans="1:5" x14ac:dyDescent="0.2">
      <c r="A6272">
        <v>6211</v>
      </c>
      <c r="B6272" s="1832">
        <f>'Acct Summary 7-8'!H82</f>
        <v>-751282</v>
      </c>
      <c r="D6272" s="2" t="str">
        <f t="shared" si="97"/>
        <v>Error?</v>
      </c>
      <c r="E6272" s="2" t="s">
        <v>189</v>
      </c>
    </row>
    <row r="6273" spans="1:5" x14ac:dyDescent="0.2">
      <c r="A6273">
        <v>6212</v>
      </c>
      <c r="B6273" s="1832">
        <f>'Acct Summary 7-8'!I82</f>
        <v>-274254</v>
      </c>
      <c r="D6273" s="2" t="str">
        <f t="shared" si="97"/>
        <v>Error?</v>
      </c>
      <c r="E6273" s="2" t="s">
        <v>189</v>
      </c>
    </row>
    <row r="6274" spans="1:5" x14ac:dyDescent="0.2">
      <c r="A6274">
        <v>6213</v>
      </c>
      <c r="B6274" s="1832">
        <f>'Acct Summary 7-8'!J82</f>
        <v>-23180</v>
      </c>
      <c r="D6274" s="2" t="str">
        <f t="shared" si="97"/>
        <v>Error?</v>
      </c>
      <c r="E6274" s="2" t="s">
        <v>189</v>
      </c>
    </row>
    <row r="6275" spans="1:5" x14ac:dyDescent="0.2">
      <c r="A6275">
        <v>6214</v>
      </c>
      <c r="B6275" s="1832">
        <f>'Acct Summary 7-8'!K82</f>
        <v>23257</v>
      </c>
      <c r="D6275" s="2" t="str">
        <f t="shared" si="97"/>
        <v>Error?</v>
      </c>
      <c r="E6275" s="2" t="s">
        <v>189</v>
      </c>
    </row>
    <row r="6276" spans="1:5" x14ac:dyDescent="0.2">
      <c r="A6276">
        <v>6215</v>
      </c>
      <c r="B6276" s="1832">
        <f>'Acct Summary 7-8'!C83</f>
        <v>1.3455504427725978E-2</v>
      </c>
      <c r="D6276" s="2" t="str">
        <f t="shared" si="97"/>
        <v>Error?</v>
      </c>
      <c r="E6276" s="2" t="s">
        <v>189</v>
      </c>
    </row>
    <row r="6277" spans="1:5" x14ac:dyDescent="0.2">
      <c r="A6277">
        <v>6216</v>
      </c>
      <c r="B6277" s="1832">
        <f>'Acct Summary 7-8'!D83</f>
        <v>0.19189910253215187</v>
      </c>
      <c r="D6277" s="2" t="str">
        <f t="shared" si="97"/>
        <v>Error?</v>
      </c>
      <c r="E6277" s="2" t="s">
        <v>189</v>
      </c>
    </row>
    <row r="6278" spans="1:5" x14ac:dyDescent="0.2">
      <c r="A6278">
        <v>6217</v>
      </c>
      <c r="B6278" s="1832">
        <f>'Acct Summary 7-8'!E83</f>
        <v>0.23667047249636361</v>
      </c>
      <c r="D6278" s="2" t="str">
        <f t="shared" si="97"/>
        <v>Error?</v>
      </c>
      <c r="E6278" s="2" t="s">
        <v>189</v>
      </c>
    </row>
    <row r="6279" spans="1:5" x14ac:dyDescent="0.2">
      <c r="A6279">
        <v>6218</v>
      </c>
      <c r="B6279" s="1832">
        <f>'Acct Summary 7-8'!F83</f>
        <v>-5.6834940699290987E-2</v>
      </c>
      <c r="D6279" s="2" t="str">
        <f t="shared" si="97"/>
        <v>Error?</v>
      </c>
      <c r="E6279" s="2" t="s">
        <v>189</v>
      </c>
    </row>
    <row r="6280" spans="1:5" x14ac:dyDescent="0.2">
      <c r="A6280">
        <v>6219</v>
      </c>
      <c r="B6280" s="1832">
        <f>'Acct Summary 7-8'!G83</f>
        <v>-4.9164634429825485E-3</v>
      </c>
      <c r="D6280" s="2" t="str">
        <f t="shared" si="97"/>
        <v>Error?</v>
      </c>
      <c r="E6280" s="2" t="s">
        <v>189</v>
      </c>
    </row>
    <row r="6281" spans="1:5" x14ac:dyDescent="0.2">
      <c r="A6281">
        <v>6220</v>
      </c>
      <c r="B6281" s="1832">
        <f>'Acct Summary 7-8'!H83</f>
        <v>-1.0654517606682457</v>
      </c>
      <c r="D6281" s="2" t="str">
        <f t="shared" si="97"/>
        <v>Error?</v>
      </c>
      <c r="E6281" s="2" t="s">
        <v>189</v>
      </c>
    </row>
    <row r="6282" spans="1:5" x14ac:dyDescent="0.2">
      <c r="A6282">
        <v>6221</v>
      </c>
      <c r="B6282" s="1832">
        <f>'Acct Summary 7-8'!I83</f>
        <v>-6.0001667114074578E-2</v>
      </c>
      <c r="D6282" s="2" t="str">
        <f t="shared" si="97"/>
        <v>Error?</v>
      </c>
      <c r="E6282" s="2" t="s">
        <v>189</v>
      </c>
    </row>
    <row r="6283" spans="1:5" x14ac:dyDescent="0.2">
      <c r="A6283">
        <v>6222</v>
      </c>
      <c r="B6283" s="1832">
        <f>'Acct Summary 7-8'!J83</f>
        <v>-3.0687435626550588E-2</v>
      </c>
      <c r="D6283" s="2" t="str">
        <f t="shared" si="97"/>
        <v>Error?</v>
      </c>
      <c r="E6283" s="2" t="s">
        <v>189</v>
      </c>
    </row>
    <row r="6284" spans="1:5" x14ac:dyDescent="0.2">
      <c r="A6284">
        <v>6223</v>
      </c>
      <c r="B6284" s="1832">
        <f>'Acct Summary 7-8'!K83</f>
        <v>0.90617572569647376</v>
      </c>
      <c r="D6284" s="2" t="str">
        <f t="shared" si="97"/>
        <v>Error?</v>
      </c>
      <c r="E6284" s="2" t="s">
        <v>189</v>
      </c>
    </row>
    <row r="6285" spans="1:5" x14ac:dyDescent="0.2">
      <c r="A6285">
        <v>6224</v>
      </c>
      <c r="B6285" s="1832">
        <f>'Acct Summary 7-8'!E37</f>
        <v>37140</v>
      </c>
      <c r="D6285" s="2" t="str">
        <f t="shared" si="97"/>
        <v>Error?</v>
      </c>
      <c r="E6285" s="2" t="s">
        <v>189</v>
      </c>
    </row>
    <row r="6286" spans="1:5" x14ac:dyDescent="0.2">
      <c r="A6286">
        <v>6225</v>
      </c>
      <c r="B6286" s="1832">
        <f>'Acct Summary 7-8'!E38</f>
        <v>250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924360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924360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161</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161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5954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5954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720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24402</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930475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6597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75847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82380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87305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50451</v>
      </c>
      <c r="D6880" s="2" t="str">
        <f t="shared" si="106"/>
        <v>Error?</v>
      </c>
    </row>
    <row r="6881" spans="1:4" x14ac:dyDescent="0.2">
      <c r="A6881">
        <v>6820</v>
      </c>
      <c r="B6881" s="1832">
        <f>'Expenditures 15-22'!K22</f>
        <v>50451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192310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192310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2797</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2797</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195107</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1507283</v>
      </c>
      <c r="D6983" s="2" t="str">
        <f t="shared" si="108"/>
        <v>Error?</v>
      </c>
    </row>
    <row r="6984" spans="1:4" x14ac:dyDescent="0.2">
      <c r="A6984">
        <v>6923</v>
      </c>
      <c r="B6984" s="1832">
        <f>'Expenditures 15-22'!K86</f>
        <v>1507283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1507283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195107</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935358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930475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13000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13000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13000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3448</v>
      </c>
      <c r="D7073" s="2" t="str">
        <f t="shared" si="109"/>
        <v>Error?</v>
      </c>
    </row>
    <row r="7074" spans="1:4" x14ac:dyDescent="0.2">
      <c r="A7074">
        <v>7013</v>
      </c>
      <c r="B7074" s="1832">
        <f>'Expenditures 15-22'!K216</f>
        <v>3448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958</v>
      </c>
      <c r="D7079" s="2" t="str">
        <f t="shared" si="109"/>
        <v>Error?</v>
      </c>
    </row>
    <row r="7080" spans="1:4" x14ac:dyDescent="0.2">
      <c r="A7080">
        <v>7019</v>
      </c>
      <c r="B7080" s="1832">
        <f>'Expenditures 15-22'!K226</f>
        <v>958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843</v>
      </c>
      <c r="D7093" s="2" t="str">
        <f t="shared" si="109"/>
        <v>Error?</v>
      </c>
    </row>
    <row r="7094" spans="1:4" x14ac:dyDescent="0.2">
      <c r="A7094">
        <v>7033</v>
      </c>
      <c r="B7094" s="1832">
        <f>'Expenditures 15-22'!K254</f>
        <v>843</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56774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56774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531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531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203897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203897</v>
      </c>
      <c r="D7153" s="2" t="str">
        <f t="shared" si="110"/>
        <v>Error?</v>
      </c>
    </row>
    <row r="7154" spans="1:4" x14ac:dyDescent="0.2">
      <c r="A7154">
        <v>7093</v>
      </c>
      <c r="B7154" s="1832">
        <f>'Expenditures 15-22'!C323</f>
        <v>471000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142057</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5745</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618802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5000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41638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46638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8716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8716</v>
      </c>
      <c r="D7198" s="2" t="str">
        <f t="shared" si="111"/>
        <v>Error?</v>
      </c>
    </row>
    <row r="7199" spans="1:4" x14ac:dyDescent="0.2">
      <c r="A7199">
        <v>7138</v>
      </c>
      <c r="B7199" s="1832">
        <f>'Expenditures 15-22'!C330</f>
        <v>476000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453613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5745</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935358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476000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453613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18297</v>
      </c>
      <c r="D7221" s="2" t="str">
        <f t="shared" si="111"/>
        <v>Error?</v>
      </c>
    </row>
    <row r="7222" spans="1:4" x14ac:dyDescent="0.2">
      <c r="A7222">
        <v>7161</v>
      </c>
      <c r="B7222" s="1832">
        <f>'Expenditures 15-22'!I342</f>
        <v>5745</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953655</v>
      </c>
      <c r="D7224" s="2" t="str">
        <f t="shared" si="111"/>
        <v>Error?</v>
      </c>
    </row>
    <row r="7225" spans="1:4" x14ac:dyDescent="0.2">
      <c r="A7225">
        <v>7164</v>
      </c>
      <c r="B7225" s="1832">
        <f>'Expenditures 15-22'!K343</f>
        <v>-23180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6253</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280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70026</v>
      </c>
      <c r="D7263" s="2" t="str">
        <f t="shared" si="112"/>
        <v>Error?</v>
      </c>
    </row>
    <row r="7264" spans="1:4" x14ac:dyDescent="0.2">
      <c r="A7264">
        <f t="shared" si="113"/>
        <v>7203</v>
      </c>
      <c r="B7264" s="1832">
        <f>'Expenditures 15-22'!D17</f>
        <v>9872</v>
      </c>
      <c r="D7264" s="2" t="str">
        <f t="shared" si="112"/>
        <v>Error?</v>
      </c>
    </row>
    <row r="7265" spans="1:5" x14ac:dyDescent="0.2">
      <c r="A7265">
        <f t="shared" si="113"/>
        <v>7204</v>
      </c>
      <c r="B7265" s="1832">
        <f>'Expenditures 15-22'!E17</f>
        <v>5873</v>
      </c>
      <c r="D7265" s="2" t="str">
        <f t="shared" si="112"/>
        <v>Error?</v>
      </c>
    </row>
    <row r="7266" spans="1:5" x14ac:dyDescent="0.2">
      <c r="A7266">
        <f t="shared" si="113"/>
        <v>7205</v>
      </c>
      <c r="B7266" s="1832">
        <f>'Expenditures 15-22'!F17</f>
        <v>1534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12010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12010</v>
      </c>
      <c r="D7609" s="2" t="str">
        <f t="shared" si="122"/>
        <v>Error?</v>
      </c>
      <c r="E7609" s="2" t="s">
        <v>19</v>
      </c>
    </row>
    <row r="7610" spans="1:5" x14ac:dyDescent="0.2">
      <c r="A7610">
        <f t="shared" si="123"/>
        <v>7549</v>
      </c>
      <c r="B7610" s="1832">
        <f>'Cap Outlay Deprec 26'!H9</f>
        <v>1202</v>
      </c>
      <c r="D7610" s="2" t="str">
        <f t="shared" si="122"/>
        <v>Error?</v>
      </c>
      <c r="E7610" s="2" t="s">
        <v>19</v>
      </c>
    </row>
    <row r="7611" spans="1:5" x14ac:dyDescent="0.2">
      <c r="A7611">
        <f t="shared" si="123"/>
        <v>7550</v>
      </c>
      <c r="B7611" s="1832">
        <f>'Cap Outlay Deprec 26'!I9</f>
        <v>601</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1803</v>
      </c>
      <c r="D7613" s="2" t="str">
        <f t="shared" si="122"/>
        <v>Error?</v>
      </c>
      <c r="E7613" s="2" t="s">
        <v>19</v>
      </c>
    </row>
    <row r="7614" spans="1:5" x14ac:dyDescent="0.2">
      <c r="A7614">
        <f t="shared" si="123"/>
        <v>7553</v>
      </c>
      <c r="B7614" s="1832">
        <f>'Cap Outlay Deprec 26'!L9</f>
        <v>10207</v>
      </c>
      <c r="D7614" s="2" t="str">
        <f t="shared" si="122"/>
        <v>Error?</v>
      </c>
      <c r="E7614" s="2" t="s">
        <v>19</v>
      </c>
    </row>
    <row r="7615" spans="1:5" x14ac:dyDescent="0.2">
      <c r="A7615">
        <f t="shared" si="123"/>
        <v>7554</v>
      </c>
      <c r="B7615" s="1832">
        <f>'Cap Outlay Deprec 26'!C14</f>
        <v>63223</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63223</v>
      </c>
      <c r="D7618" s="2" t="str">
        <f t="shared" si="124"/>
        <v>Error?</v>
      </c>
      <c r="E7618" s="2" t="s">
        <v>19</v>
      </c>
    </row>
    <row r="7619" spans="1:5" x14ac:dyDescent="0.2">
      <c r="A7619">
        <f t="shared" si="123"/>
        <v>7558</v>
      </c>
      <c r="B7619" s="1832">
        <f>'Cap Outlay Deprec 26'!H14</f>
        <v>63223</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63223</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213852</v>
      </c>
      <c r="D7624" s="2" t="str">
        <f t="shared" si="124"/>
        <v>Error?</v>
      </c>
      <c r="E7624" s="2" t="s">
        <v>19</v>
      </c>
    </row>
    <row r="7625" spans="1:5" x14ac:dyDescent="0.2">
      <c r="A7625">
        <f t="shared" si="123"/>
        <v>7564</v>
      </c>
      <c r="B7625" s="1832">
        <f>'Cap Outlay Deprec 26'!I17</f>
        <v>21385.200000000001</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1484109.2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12181</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266342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1438</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24402</v>
      </c>
      <c r="D7712" s="2" t="str">
        <f t="shared" si="126"/>
        <v>Error?</v>
      </c>
      <c r="E7712" s="2" t="s">
        <v>822</v>
      </c>
    </row>
    <row r="7713" spans="1:6" x14ac:dyDescent="0.2">
      <c r="A7713">
        <v>7652</v>
      </c>
      <c r="B7713" s="1832">
        <f>'Rest Tax Levies-Tort Im 25'!J8</f>
        <v>1003501</v>
      </c>
      <c r="D7713" s="2" t="str">
        <f t="shared" si="126"/>
        <v>Error?</v>
      </c>
      <c r="E7713" s="2" t="s">
        <v>822</v>
      </c>
    </row>
    <row r="7714" spans="1:6" x14ac:dyDescent="0.2">
      <c r="A7714">
        <v>7653</v>
      </c>
      <c r="B7714" s="1832">
        <f>'Rest Tax Levies-Tort Im 25'!K9</f>
        <v>26793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1004939</v>
      </c>
      <c r="D7718" s="2" t="str">
        <f t="shared" si="126"/>
        <v>Error?</v>
      </c>
      <c r="E7718" s="2" t="s">
        <v>822</v>
      </c>
    </row>
    <row r="7719" spans="1:6" x14ac:dyDescent="0.2">
      <c r="A7719">
        <v>7658</v>
      </c>
      <c r="B7719" s="1832">
        <f>'Rest Tax Levies-Tort Im 25'!K12</f>
        <v>51195</v>
      </c>
      <c r="D7719" s="2" t="str">
        <f t="shared" si="126"/>
        <v>Error?</v>
      </c>
      <c r="E7719" s="2" t="s">
        <v>822</v>
      </c>
    </row>
    <row r="7720" spans="1:6" x14ac:dyDescent="0.2">
      <c r="A7720">
        <v>7659</v>
      </c>
      <c r="B7720" s="1832">
        <f>'Rest Tax Levies-Tort Im 25'!H14</f>
        <v>154424</v>
      </c>
      <c r="D7720" s="2" t="str">
        <f t="shared" si="126"/>
        <v>Error?</v>
      </c>
      <c r="E7720" s="2" t="s">
        <v>822</v>
      </c>
    </row>
    <row r="7721" spans="1:6" x14ac:dyDescent="0.2">
      <c r="A7721">
        <v>7660</v>
      </c>
      <c r="B7721" s="1832">
        <f>'Rest Tax Levies-Tort Im 25'!K14</f>
        <v>51195</v>
      </c>
      <c r="D7721" s="2" t="str">
        <f t="shared" si="126"/>
        <v>Error?</v>
      </c>
      <c r="E7721" s="2" t="s">
        <v>822</v>
      </c>
    </row>
    <row r="7722" spans="1:6" x14ac:dyDescent="0.2">
      <c r="A7722">
        <v>7661</v>
      </c>
      <c r="B7722" s="1832">
        <f>'Rest Tax Levies-Tort Im 25'!J15</f>
        <v>41382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410626</v>
      </c>
      <c r="D7724" s="2" t="str">
        <f t="shared" si="126"/>
        <v>Error?</v>
      </c>
      <c r="E7724" s="2" t="s">
        <v>822</v>
      </c>
      <c r="F7724" s="2"/>
    </row>
    <row r="7725" spans="1:6" x14ac:dyDescent="0.2">
      <c r="A7725">
        <v>7664</v>
      </c>
      <c r="B7725" s="1832">
        <f>'Rest Tax Levies-Tort Im 25'!J19</f>
        <v>335000</v>
      </c>
      <c r="D7725" s="2" t="str">
        <f t="shared" si="126"/>
        <v>Error?</v>
      </c>
      <c r="E7725" s="2" t="s">
        <v>822</v>
      </c>
    </row>
    <row r="7726" spans="1:6" x14ac:dyDescent="0.2">
      <c r="A7726">
        <v>7665</v>
      </c>
      <c r="B7726" s="1832">
        <f>'Rest Tax Levies-Tort Im 25'!J20</f>
        <v>318</v>
      </c>
      <c r="D7726" s="2" t="str">
        <f t="shared" si="126"/>
        <v>Error?</v>
      </c>
      <c r="E7726" s="2" t="s">
        <v>822</v>
      </c>
    </row>
    <row r="7727" spans="1:6" x14ac:dyDescent="0.2">
      <c r="A7727">
        <v>7666</v>
      </c>
      <c r="B7727" s="1832">
        <f>'Rest Tax Levies-Tort Im 25'!J21</f>
        <v>745944</v>
      </c>
      <c r="D7727" s="2" t="str">
        <f t="shared" si="126"/>
        <v>Error?</v>
      </c>
      <c r="E7727" s="2" t="s">
        <v>822</v>
      </c>
    </row>
    <row r="7728" spans="1:6" x14ac:dyDescent="0.2">
      <c r="A7728">
        <v>7667</v>
      </c>
      <c r="B7728" s="1832">
        <f>'Revenues 9-14'!E103</f>
        <v>962159</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787326</v>
      </c>
      <c r="D7730" s="2" t="str">
        <f t="shared" si="126"/>
        <v>Error?</v>
      </c>
      <c r="E7730" s="2" t="s">
        <v>822</v>
      </c>
    </row>
    <row r="7731" spans="1:6" x14ac:dyDescent="0.2">
      <c r="A7731">
        <v>7670</v>
      </c>
      <c r="B7731" s="1832">
        <f>'Revenues 9-14'!H103</f>
        <v>41342</v>
      </c>
      <c r="D7731" s="2" t="str">
        <f t="shared" si="126"/>
        <v>Error?</v>
      </c>
      <c r="E7731" s="2" t="s">
        <v>822</v>
      </c>
    </row>
    <row r="7732" spans="1:6" x14ac:dyDescent="0.2">
      <c r="A7732">
        <v>7671</v>
      </c>
      <c r="B7732" s="1832">
        <f>'Rest Tax Levies-Tort Im 25'!J24</f>
        <v>483955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483955</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500000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18297</v>
      </c>
      <c r="D7787" s="2" t="str">
        <f t="shared" si="127"/>
        <v>Error?</v>
      </c>
      <c r="E7787" s="4" t="s">
        <v>1826</v>
      </c>
    </row>
    <row r="7788" spans="1:5" x14ac:dyDescent="0.2">
      <c r="A7788">
        <v>7727</v>
      </c>
      <c r="B7788" s="1832">
        <f>'Expenditures 15-22'!K333</f>
        <v>18297</v>
      </c>
      <c r="D7788" s="2" t="str">
        <f t="shared" si="127"/>
        <v>Error?</v>
      </c>
      <c r="E7788" s="4" t="s">
        <v>1826</v>
      </c>
    </row>
    <row r="7789" spans="1:5" x14ac:dyDescent="0.2">
      <c r="A7789">
        <v>7728</v>
      </c>
      <c r="B7789" s="1832">
        <f>'Expenditures 15-22'!H334</f>
        <v>18297</v>
      </c>
      <c r="D7789" s="2" t="str">
        <f t="shared" si="127"/>
        <v>Error?</v>
      </c>
      <c r="E7789" s="4" t="s">
        <v>1826</v>
      </c>
    </row>
    <row r="7790" spans="1:5" x14ac:dyDescent="0.2">
      <c r="A7790">
        <v>7729</v>
      </c>
      <c r="B7790" s="1832">
        <f>'Expenditures 15-22'!K334</f>
        <v>18297</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18297</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51195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39999637</v>
      </c>
      <c r="D7817" s="2" t="str">
        <f t="shared" si="128"/>
        <v>Error?</v>
      </c>
      <c r="E7817" s="4" t="s">
        <v>1966</v>
      </c>
    </row>
    <row r="7818" spans="1:5" x14ac:dyDescent="0.2">
      <c r="A7818">
        <v>7757</v>
      </c>
      <c r="B7818" s="1832">
        <f>'PCTC-OEPP 27-28'!F172</f>
        <v>503040.65</v>
      </c>
      <c r="D7818" s="2" t="str">
        <f t="shared" si="128"/>
        <v>Error?</v>
      </c>
      <c r="E7818" s="4" t="s">
        <v>1980</v>
      </c>
    </row>
    <row r="7819" spans="1:5" x14ac:dyDescent="0.2">
      <c r="A7819">
        <v>7758</v>
      </c>
      <c r="B7819" s="1832">
        <f>'PCTC-OEPP 27-28'!F173</f>
        <v>44.5</v>
      </c>
      <c r="D7819" s="2" t="str">
        <f t="shared" si="128"/>
        <v>Error?</v>
      </c>
      <c r="E7819" s="4" t="s">
        <v>1980</v>
      </c>
    </row>
    <row r="7820" spans="1:5" x14ac:dyDescent="0.2">
      <c r="A7820">
        <v>7759</v>
      </c>
      <c r="B7820" s="1832">
        <f>'ICR Computation 30'!E40</f>
        <v>-2032132</v>
      </c>
      <c r="D7820" s="2" t="str">
        <f t="shared" si="128"/>
        <v>Error?</v>
      </c>
    </row>
    <row r="7821" spans="1:5" x14ac:dyDescent="0.2">
      <c r="A7821">
        <v>7760</v>
      </c>
      <c r="B7821" s="1832">
        <f>'ICR Computation 30'!G40</f>
        <v>-2032132</v>
      </c>
      <c r="D7821" s="2" t="str">
        <f t="shared" si="128"/>
        <v>Error?</v>
      </c>
    </row>
    <row r="7822" spans="1:5" x14ac:dyDescent="0.2">
      <c r="A7822" s="1">
        <v>7761</v>
      </c>
      <c r="B7822" s="1832">
        <f>'PCTC-OEPP 27-28'!F14</f>
        <v>27881753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82380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416</v>
      </c>
      <c r="D7830" s="2" t="str">
        <f t="shared" si="129"/>
        <v>Error?</v>
      </c>
      <c r="E7830" s="4" t="s">
        <v>1998</v>
      </c>
    </row>
    <row r="7831" spans="1:5" x14ac:dyDescent="0.2">
      <c r="A7831">
        <v>7770</v>
      </c>
      <c r="B7831" s="1832">
        <f>'PCTC-OEPP 27-28'!F52</f>
        <v>151824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5320960</v>
      </c>
      <c r="D7834" s="2" t="str">
        <f t="shared" si="129"/>
        <v>Error?</v>
      </c>
      <c r="E7834" s="4" t="s">
        <v>1998</v>
      </c>
    </row>
    <row r="7835" spans="1:5" x14ac:dyDescent="0.2">
      <c r="A7835">
        <v>7774</v>
      </c>
      <c r="B7835" s="1832">
        <f>'PCTC-OEPP 27-28'!F78</f>
        <v>22560793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9333.0546477474854</v>
      </c>
      <c r="D7837" s="2" t="str">
        <f t="shared" si="129"/>
        <v>Error?</v>
      </c>
      <c r="E7837" s="4" t="s">
        <v>1998</v>
      </c>
    </row>
    <row r="7838" spans="1:5" x14ac:dyDescent="0.2">
      <c r="A7838">
        <v>7777</v>
      </c>
      <c r="B7838" s="1832">
        <f>'PCTC-OEPP 27-28'!F96</f>
        <v>253610</v>
      </c>
      <c r="D7838" s="2" t="str">
        <f t="shared" si="129"/>
        <v>Error?</v>
      </c>
      <c r="E7838" s="4" t="s">
        <v>1998</v>
      </c>
    </row>
    <row r="7839" spans="1:5" x14ac:dyDescent="0.2">
      <c r="A7839">
        <v>7778</v>
      </c>
      <c r="B7839" s="1832">
        <f>'PCTC-OEPP 27-28'!F102</f>
        <v>47700</v>
      </c>
      <c r="D7839" s="2" t="str">
        <f t="shared" si="129"/>
        <v>Error?</v>
      </c>
      <c r="E7839" s="4" t="s">
        <v>1998</v>
      </c>
    </row>
    <row r="7840" spans="1:5" x14ac:dyDescent="0.2">
      <c r="A7840">
        <v>7779</v>
      </c>
      <c r="B7840" s="1832">
        <f>'PCTC-OEPP 27-28'!F103</f>
        <v>129522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26615</v>
      </c>
      <c r="D7842" s="2" t="str">
        <f t="shared" si="129"/>
        <v>Error?</v>
      </c>
      <c r="E7842" s="4" t="s">
        <v>1998</v>
      </c>
    </row>
    <row r="7843" spans="1:5" x14ac:dyDescent="0.2">
      <c r="A7843">
        <v>7782</v>
      </c>
      <c r="B7843" s="1832">
        <f>'PCTC-OEPP 27-28'!F107</f>
        <v>55616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26793</v>
      </c>
      <c r="D7846" s="2" t="str">
        <f t="shared" si="129"/>
        <v>Error?</v>
      </c>
      <c r="E7846" s="4" t="s">
        <v>1998</v>
      </c>
    </row>
    <row r="7847" spans="1:5" x14ac:dyDescent="0.2">
      <c r="A7847">
        <v>7786</v>
      </c>
      <c r="B7847" s="1832">
        <f>'PCTC-OEPP 27-28'!F112</f>
        <v>1122852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456712</v>
      </c>
      <c r="D7858" s="2" t="str">
        <f t="shared" si="129"/>
        <v>Error?</v>
      </c>
      <c r="E7858" s="4" t="s">
        <v>1998</v>
      </c>
    </row>
    <row r="7859" spans="1:5" x14ac:dyDescent="0.2">
      <c r="A7859">
        <v>7798</v>
      </c>
      <c r="B7859" s="1832">
        <f>'PCTC-OEPP 27-28'!F127</f>
        <v>251549</v>
      </c>
      <c r="D7859" s="2" t="str">
        <f t="shared" si="129"/>
        <v>Error?</v>
      </c>
      <c r="E7859" s="4" t="s">
        <v>1998</v>
      </c>
    </row>
    <row r="7860" spans="1:5" x14ac:dyDescent="0.2">
      <c r="A7860">
        <v>7799</v>
      </c>
      <c r="B7860" s="1832">
        <f>'PCTC-OEPP 27-28'!F128</f>
        <v>11700</v>
      </c>
      <c r="D7860" s="2" t="str">
        <f t="shared" si="129"/>
        <v>Error?</v>
      </c>
      <c r="E7860" s="4" t="s">
        <v>1998</v>
      </c>
    </row>
    <row r="7861" spans="1:5" x14ac:dyDescent="0.2">
      <c r="A7861">
        <v>7800</v>
      </c>
      <c r="B7861" s="1832">
        <f>'PCTC-OEPP 27-28'!F129</f>
        <v>553412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44970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12932</v>
      </c>
      <c r="D7874" s="2" t="str">
        <f t="shared" si="129"/>
        <v>Error?</v>
      </c>
      <c r="E7874" s="4" t="s">
        <v>1998</v>
      </c>
    </row>
    <row r="7875" spans="1:5" x14ac:dyDescent="0.2">
      <c r="A7875">
        <v>7814</v>
      </c>
      <c r="B7875" s="1832">
        <f>'PCTC-OEPP 27-28'!F170</f>
        <v>26808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4561301.1500000004</v>
      </c>
      <c r="D7877" s="2" t="str">
        <f t="shared" si="129"/>
        <v>Error?</v>
      </c>
      <c r="E7877" s="4" t="s">
        <v>1998</v>
      </c>
    </row>
    <row r="7878" spans="1:5" x14ac:dyDescent="0.2">
      <c r="A7878">
        <v>7817</v>
      </c>
      <c r="B7878" s="1832">
        <f>'PCTC-OEPP 27-28'!F176</f>
        <v>17999491.850000001</v>
      </c>
      <c r="D7878" s="2" t="str">
        <f t="shared" si="129"/>
        <v>Error?</v>
      </c>
      <c r="E7878" s="4" t="s">
        <v>1998</v>
      </c>
    </row>
    <row r="7879" spans="1:5" x14ac:dyDescent="0.2">
      <c r="A7879">
        <v>7818</v>
      </c>
      <c r="B7879" s="1832">
        <f>'PCTC-OEPP 27-28'!F178</f>
        <v>19483601.050000001</v>
      </c>
      <c r="D7879" s="2" t="str">
        <f t="shared" si="129"/>
        <v>Error?</v>
      </c>
      <c r="E7879" s="4" t="s">
        <v>1998</v>
      </c>
    </row>
    <row r="7880" spans="1:5" x14ac:dyDescent="0.2">
      <c r="A7880">
        <v>7819</v>
      </c>
      <c r="B7880" s="1832">
        <f>'PCTC-OEPP 27-28'!F180</f>
        <v>8060.0674512886271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5745</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57" t="s">
        <v>1181</v>
      </c>
      <c r="B2" s="2657"/>
      <c r="C2" s="2657"/>
      <c r="D2" s="2657"/>
      <c r="E2" s="2657"/>
      <c r="F2" s="2657"/>
      <c r="G2" s="2657"/>
      <c r="H2" s="2657"/>
      <c r="I2" s="2657"/>
      <c r="J2" s="2657"/>
      <c r="K2" s="2657"/>
      <c r="L2" s="2657"/>
    </row>
    <row r="3" spans="1:29" ht="13.5" customHeight="1" x14ac:dyDescent="0.2">
      <c r="A3" s="2641" t="s">
        <v>1180</v>
      </c>
      <c r="B3" s="2641"/>
      <c r="C3" s="2641"/>
      <c r="D3" s="2641"/>
      <c r="E3" s="2641"/>
      <c r="F3" s="2641"/>
      <c r="G3" s="2641"/>
      <c r="H3" s="2641"/>
      <c r="I3" s="2641"/>
      <c r="J3" s="2641"/>
      <c r="K3" s="2641"/>
      <c r="L3" s="2641"/>
    </row>
    <row r="4" spans="1:29" ht="13.5" customHeight="1" x14ac:dyDescent="0.2">
      <c r="A4" s="2674" t="str">
        <f>"Year Ending June 30, "&amp;'AFR20'!E2</f>
        <v>Year Ending June 30, 2020</v>
      </c>
      <c r="B4" s="2675"/>
      <c r="C4" s="2675"/>
      <c r="D4" s="2675"/>
      <c r="E4" s="2675"/>
      <c r="F4" s="2675"/>
      <c r="G4" s="2675"/>
      <c r="H4" s="2675"/>
      <c r="I4" s="2675"/>
      <c r="J4" s="2675"/>
      <c r="K4" s="2675"/>
      <c r="L4" s="26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35" t="str">
        <f>COVER!A17</f>
        <v xml:space="preserve">  Geneseo CUSD 228</v>
      </c>
      <c r="B7" s="2636"/>
      <c r="C7" s="2636"/>
      <c r="D7" s="2676"/>
      <c r="E7" s="2677">
        <f>COVER!A13</f>
        <v>28037228026</v>
      </c>
      <c r="F7" s="2678"/>
      <c r="G7" s="2642" t="str">
        <f>COVER!T23</f>
        <v>066-005027</v>
      </c>
      <c r="H7" s="2643"/>
      <c r="I7" s="2643"/>
      <c r="J7" s="2643"/>
      <c r="K7" s="2643"/>
      <c r="L7" s="264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45"/>
      <c r="B9" s="2646"/>
      <c r="C9" s="2646"/>
      <c r="D9" s="2646"/>
      <c r="E9" s="2646"/>
      <c r="F9" s="2647"/>
      <c r="G9" s="2648" t="str">
        <f>COVER!T13</f>
        <v>Gorenz and Associates, Ltd.</v>
      </c>
      <c r="H9" s="2649"/>
      <c r="I9" s="2649"/>
      <c r="J9" s="2649"/>
      <c r="K9" s="2649"/>
      <c r="L9" s="2650"/>
    </row>
    <row r="10" spans="1:29" ht="13.5" customHeight="1" x14ac:dyDescent="0.2">
      <c r="A10" s="2632" t="str">
        <f>COVER!A38</f>
        <v>Dr. Adam Brumbaugh</v>
      </c>
      <c r="B10" s="2633"/>
      <c r="C10" s="2633"/>
      <c r="D10" s="2633"/>
      <c r="E10" s="2633"/>
      <c r="F10" s="2634"/>
      <c r="G10" s="2648" t="str">
        <f>COVER!T17</f>
        <v>4200 N Knoxville Ave.</v>
      </c>
      <c r="H10" s="2663"/>
      <c r="I10" s="2663"/>
      <c r="J10" s="2663"/>
      <c r="K10" s="2663"/>
      <c r="L10" s="2664"/>
    </row>
    <row r="11" spans="1:29" ht="13.5" customHeight="1" x14ac:dyDescent="0.2">
      <c r="A11" s="963" t="s">
        <v>1502</v>
      </c>
      <c r="B11" s="964"/>
      <c r="C11" s="965"/>
      <c r="D11" s="970"/>
      <c r="E11" s="965"/>
      <c r="F11" s="969"/>
      <c r="G11" s="2648" t="str">
        <f>COVER!T19</f>
        <v>Peoria</v>
      </c>
      <c r="H11" s="2663"/>
      <c r="I11" s="2663"/>
      <c r="J11" s="2663"/>
      <c r="K11" s="2663"/>
      <c r="L11" s="2664"/>
    </row>
    <row r="12" spans="1:29" ht="13.5" customHeight="1" x14ac:dyDescent="0.2">
      <c r="A12" s="2668" t="s">
        <v>1501</v>
      </c>
      <c r="B12" s="2669"/>
      <c r="C12" s="2669"/>
      <c r="D12" s="2669"/>
      <c r="E12" s="2669"/>
      <c r="F12" s="2670"/>
      <c r="G12" s="2665"/>
      <c r="H12" s="2666"/>
      <c r="I12" s="2666"/>
      <c r="J12" s="2666"/>
      <c r="K12" s="2666"/>
      <c r="L12" s="2667"/>
    </row>
    <row r="13" spans="1:29" ht="13.5" customHeight="1" x14ac:dyDescent="0.2">
      <c r="A13" s="2648"/>
      <c r="B13" s="2663"/>
      <c r="C13" s="2663"/>
      <c r="D13" s="2663"/>
      <c r="E13" s="2663"/>
      <c r="F13" s="2664"/>
      <c r="G13" s="2658" t="s">
        <v>1503</v>
      </c>
      <c r="H13" s="2659"/>
      <c r="I13" s="2671" t="str">
        <f>COVER!T25</f>
        <v>tcustis@gorenzcpa.com</v>
      </c>
      <c r="J13" s="2672"/>
      <c r="K13" s="2672"/>
      <c r="L13" s="2673"/>
    </row>
    <row r="14" spans="1:29" ht="13.5" customHeight="1" x14ac:dyDescent="0.2">
      <c r="A14" s="2648" t="str">
        <f>COVER!A19</f>
        <v>648 North Chicago St.</v>
      </c>
      <c r="B14" s="2663"/>
      <c r="C14" s="2663"/>
      <c r="D14" s="2663"/>
      <c r="E14" s="2663"/>
      <c r="F14" s="2664"/>
      <c r="G14" s="974" t="s">
        <v>1175</v>
      </c>
      <c r="H14" s="972"/>
      <c r="I14" s="972"/>
      <c r="J14" s="972"/>
      <c r="K14" s="972"/>
      <c r="L14" s="973"/>
    </row>
    <row r="15" spans="1:29" ht="13.5" customHeight="1" x14ac:dyDescent="0.2">
      <c r="A15" s="2648" t="str">
        <f>COVER!A21</f>
        <v>Geneseo, IL</v>
      </c>
      <c r="B15" s="2663"/>
      <c r="C15" s="2663"/>
      <c r="D15" s="2663"/>
      <c r="E15" s="2663"/>
      <c r="F15" s="2664"/>
      <c r="G15" s="2660" t="str">
        <f>COVER!T15</f>
        <v>Tim C. Custis, CPA</v>
      </c>
      <c r="H15" s="2661"/>
      <c r="I15" s="2661"/>
      <c r="J15" s="2661"/>
      <c r="K15" s="2661"/>
      <c r="L15" s="2662"/>
    </row>
    <row r="16" spans="1:29" ht="12.2" customHeight="1" x14ac:dyDescent="0.2">
      <c r="A16" s="2638" t="s">
        <v>2196</v>
      </c>
      <c r="B16" s="2639"/>
      <c r="C16" s="2639"/>
      <c r="D16" s="2639"/>
      <c r="E16" s="2639"/>
      <c r="F16" s="2640"/>
      <c r="G16" s="2651"/>
      <c r="H16" s="2652"/>
      <c r="I16" s="2652"/>
      <c r="J16" s="2652"/>
      <c r="K16" s="2652"/>
      <c r="L16" s="2653"/>
    </row>
    <row r="17" spans="1:13" ht="12.2" customHeight="1" x14ac:dyDescent="0.2">
      <c r="A17" s="2654"/>
      <c r="B17" s="2655"/>
      <c r="C17" s="2655"/>
      <c r="D17" s="2655"/>
      <c r="E17" s="2655"/>
      <c r="F17" s="2656"/>
      <c r="G17" s="974" t="s">
        <v>1174</v>
      </c>
      <c r="H17" s="972"/>
      <c r="I17" s="972"/>
      <c r="J17" s="972"/>
      <c r="K17" s="976" t="s">
        <v>1173</v>
      </c>
      <c r="L17" s="969"/>
      <c r="M17" s="962"/>
    </row>
    <row r="18" spans="1:13" ht="12.2" customHeight="1" x14ac:dyDescent="0.2">
      <c r="A18" s="2632"/>
      <c r="B18" s="2633"/>
      <c r="C18" s="2633"/>
      <c r="D18" s="2633"/>
      <c r="E18" s="2633"/>
      <c r="F18" s="2634"/>
      <c r="G18" s="2635" t="str">
        <f>COVER!T21</f>
        <v>309-685-7621</v>
      </c>
      <c r="H18" s="2636"/>
      <c r="I18" s="2636"/>
      <c r="J18" s="2636"/>
      <c r="K18" s="2635" t="str">
        <f>COVER!X21</f>
        <v>309-685-4758</v>
      </c>
      <c r="L18" s="263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2051</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2051</v>
      </c>
      <c r="C26" s="981" t="s">
        <v>1677</v>
      </c>
    </row>
    <row r="27" spans="1:13" s="977" customFormat="1" ht="9" customHeight="1" x14ac:dyDescent="0.2">
      <c r="B27" s="982"/>
      <c r="C27" s="981"/>
    </row>
    <row r="28" spans="1:13" s="977" customFormat="1" ht="12.2" customHeight="1" x14ac:dyDescent="0.2">
      <c r="A28" s="984"/>
      <c r="B28" s="980" t="s">
        <v>2051</v>
      </c>
      <c r="C28" s="981" t="s">
        <v>1678</v>
      </c>
    </row>
    <row r="29" spans="1:13" s="977" customFormat="1" ht="9" customHeight="1" x14ac:dyDescent="0.2">
      <c r="A29" s="984"/>
      <c r="B29" s="982"/>
      <c r="C29" s="981"/>
    </row>
    <row r="30" spans="1:13" s="977" customFormat="1" ht="12.2" customHeight="1" x14ac:dyDescent="0.2">
      <c r="B30" s="980" t="s">
        <v>2051</v>
      </c>
      <c r="C30" s="981" t="s">
        <v>1545</v>
      </c>
      <c r="D30" s="975"/>
      <c r="E30" s="975"/>
    </row>
    <row r="31" spans="1:13" s="977" customFormat="1" ht="9" customHeight="1" x14ac:dyDescent="0.2">
      <c r="B31" s="982"/>
      <c r="C31" s="981"/>
      <c r="D31" s="975"/>
      <c r="E31" s="975"/>
    </row>
    <row r="32" spans="1:13" s="977" customFormat="1" ht="12.2" customHeight="1" x14ac:dyDescent="0.2">
      <c r="B32" s="980" t="s">
        <v>2051</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2051</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2051</v>
      </c>
      <c r="C38" s="981" t="s">
        <v>1549</v>
      </c>
    </row>
    <row r="39" spans="1:8" ht="9" customHeight="1" x14ac:dyDescent="0.2">
      <c r="B39" s="982"/>
      <c r="C39" s="985"/>
    </row>
    <row r="40" spans="1:8" s="977" customFormat="1" ht="13.5" customHeight="1" x14ac:dyDescent="0.2">
      <c r="B40" s="980" t="s">
        <v>2051</v>
      </c>
      <c r="C40" s="981" t="s">
        <v>1550</v>
      </c>
    </row>
    <row r="41" spans="1:8" ht="9" customHeight="1" x14ac:dyDescent="0.2">
      <c r="A41" s="986"/>
      <c r="B41" s="982"/>
      <c r="C41" s="985"/>
    </row>
    <row r="42" spans="1:8" s="977" customFormat="1" ht="13.5" customHeight="1" x14ac:dyDescent="0.2">
      <c r="B42" s="980" t="s">
        <v>2051</v>
      </c>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79" t="str">
        <f>'Single Audit Cover'!A7</f>
        <v xml:space="preserve">  Geneseo CUSD 228</v>
      </c>
      <c r="B1" s="2680"/>
      <c r="C1" s="2680"/>
      <c r="D1" s="2680"/>
    </row>
    <row r="2" spans="1:11" s="991" customFormat="1" ht="12.75" x14ac:dyDescent="0.2">
      <c r="A2" s="2681">
        <f>'Single Audit Cover'!E7</f>
        <v>28037228026</v>
      </c>
      <c r="B2" s="2682"/>
      <c r="C2" s="2682"/>
      <c r="D2" s="2682"/>
    </row>
    <row r="3" spans="1:11" s="991" customFormat="1" ht="12.75" x14ac:dyDescent="0.2">
      <c r="A3" s="2679" t="s">
        <v>1496</v>
      </c>
      <c r="B3" s="2680"/>
      <c r="C3" s="2680"/>
      <c r="D3" s="26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84" t="str">
        <f>'Single Audit Cover'!A7</f>
        <v xml:space="preserve">  Geneseo CUSD 228</v>
      </c>
      <c r="B1" s="2684"/>
      <c r="C1" s="2684"/>
      <c r="D1" s="2684"/>
      <c r="E1" s="2684"/>
    </row>
    <row r="2" spans="1:5" x14ac:dyDescent="0.2">
      <c r="A2" s="2685">
        <f>'Single Audit Cover'!E7</f>
        <v>28037228026</v>
      </c>
      <c r="B2" s="2685"/>
      <c r="C2" s="2685"/>
      <c r="D2" s="2685"/>
      <c r="E2" s="2685"/>
    </row>
    <row r="3" spans="1:5" ht="4.5" customHeight="1" x14ac:dyDescent="0.2"/>
    <row r="4" spans="1:5" x14ac:dyDescent="0.2">
      <c r="A4" s="2684" t="s">
        <v>1234</v>
      </c>
      <c r="B4" s="2684"/>
      <c r="C4" s="2684"/>
      <c r="D4" s="2684"/>
      <c r="E4" s="2684"/>
    </row>
    <row r="5" spans="1:5" x14ac:dyDescent="0.2">
      <c r="A5" s="2687" t="str">
        <f>'Single Audit Cover'!A4</f>
        <v>Year Ending June 30, 2020</v>
      </c>
      <c r="B5" s="2687"/>
      <c r="C5" s="2687"/>
      <c r="D5" s="2687"/>
      <c r="E5" s="2687"/>
    </row>
    <row r="6" spans="1:5" x14ac:dyDescent="0.2">
      <c r="A6" s="2684" t="s">
        <v>1233</v>
      </c>
      <c r="B6" s="2684"/>
      <c r="C6" s="2684"/>
      <c r="D6" s="2684"/>
      <c r="E6" s="2684"/>
    </row>
    <row r="8" spans="1:5" x14ac:dyDescent="0.2">
      <c r="A8" s="1036" t="s">
        <v>1232</v>
      </c>
    </row>
    <row r="10" spans="1:5" x14ac:dyDescent="0.2">
      <c r="A10" s="1037" t="s">
        <v>1231</v>
      </c>
      <c r="B10" s="1038" t="s">
        <v>1230</v>
      </c>
      <c r="C10" s="1038"/>
      <c r="D10" s="1039">
        <f>SUM('Acct Summary 7-8'!C7:K7)</f>
        <v>1372302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85243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-26808</v>
      </c>
    </row>
    <row r="19" spans="1:4" ht="13.5" thickBot="1" x14ac:dyDescent="0.25">
      <c r="A19" s="1041" t="s">
        <v>1224</v>
      </c>
      <c r="D19" s="1042">
        <f>SUM(D10:D17)</f>
        <v>1430737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86" t="s">
        <v>2270</v>
      </c>
      <c r="B24" s="2686"/>
      <c r="D24" s="1044">
        <v>-85243</v>
      </c>
    </row>
    <row r="25" spans="1:4" x14ac:dyDescent="0.2">
      <c r="A25" s="2683"/>
      <c r="B25" s="2683"/>
      <c r="D25" s="1044"/>
    </row>
    <row r="26" spans="1:4" x14ac:dyDescent="0.2">
      <c r="A26" s="2683"/>
      <c r="B26" s="2683"/>
      <c r="D26" s="1044"/>
    </row>
    <row r="27" spans="1:4" x14ac:dyDescent="0.2">
      <c r="A27" s="2683"/>
      <c r="B27" s="2683"/>
      <c r="D27" s="1044"/>
    </row>
    <row r="28" spans="1:4" x14ac:dyDescent="0.2">
      <c r="A28" s="2683"/>
      <c r="B28" s="2683"/>
      <c r="D28" s="1044"/>
    </row>
    <row r="29" spans="1:4" x14ac:dyDescent="0.2">
      <c r="A29" s="2683"/>
      <c r="B29" s="2683"/>
      <c r="D29" s="1044"/>
    </row>
    <row r="30" spans="1:4" x14ac:dyDescent="0.2">
      <c r="A30" s="2683"/>
      <c r="B30" s="2683"/>
      <c r="D30" s="1044"/>
    </row>
    <row r="32" spans="1:4" x14ac:dyDescent="0.2">
      <c r="A32" s="1036" t="s">
        <v>1222</v>
      </c>
      <c r="D32" s="1039">
        <f>SUM(D19:D30)</f>
        <v>1345494</v>
      </c>
    </row>
    <row r="33" spans="1:4" x14ac:dyDescent="0.2">
      <c r="D33" s="1045"/>
    </row>
    <row r="34" spans="1:4" x14ac:dyDescent="0.2">
      <c r="A34" s="295" t="s">
        <v>1221</v>
      </c>
    </row>
    <row r="35" spans="1:4" x14ac:dyDescent="0.2">
      <c r="A35" s="295" t="s">
        <v>1220</v>
      </c>
      <c r="B35" s="1034" t="s">
        <v>1219</v>
      </c>
      <c r="D35" s="1046">
        <v>1345494</v>
      </c>
    </row>
    <row r="37" spans="1:4" x14ac:dyDescent="0.2">
      <c r="A37" s="1036" t="s">
        <v>1218</v>
      </c>
    </row>
    <row r="39" spans="1:4" ht="13.35" customHeight="1" x14ac:dyDescent="0.2">
      <c r="A39" s="1043" t="s">
        <v>1217</v>
      </c>
    </row>
    <row r="40" spans="1:4" x14ac:dyDescent="0.2">
      <c r="A40" s="2683"/>
      <c r="B40" s="2683"/>
      <c r="D40" s="1044"/>
    </row>
    <row r="41" spans="1:4" x14ac:dyDescent="0.2">
      <c r="A41" s="2683"/>
      <c r="B41" s="2683"/>
      <c r="D41" s="1047"/>
    </row>
    <row r="42" spans="1:4" x14ac:dyDescent="0.2">
      <c r="A42" s="2683"/>
      <c r="B42" s="2683"/>
      <c r="D42" s="1047"/>
    </row>
    <row r="43" spans="1:4" x14ac:dyDescent="0.2">
      <c r="A43" s="2683"/>
      <c r="B43" s="2683"/>
      <c r="D43" s="1047"/>
    </row>
    <row r="44" spans="1:4" x14ac:dyDescent="0.2">
      <c r="A44" s="2683"/>
      <c r="B44" s="2683"/>
      <c r="D44" s="1047"/>
    </row>
    <row r="45" spans="1:4" x14ac:dyDescent="0.2">
      <c r="A45" s="2683"/>
      <c r="B45" s="2683"/>
      <c r="D45" s="1047"/>
    </row>
    <row r="47" spans="1:4" x14ac:dyDescent="0.2">
      <c r="B47" s="1048" t="s">
        <v>1216</v>
      </c>
      <c r="C47" s="1048"/>
      <c r="D47" s="1049">
        <f>SUM(D35:D45)</f>
        <v>1345494</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41" t="str">
        <f>'Single Audit Cover'!A7</f>
        <v xml:space="preserve">  Geneseo CUSD 228</v>
      </c>
      <c r="C1" s="2688"/>
      <c r="D1" s="2688"/>
      <c r="E1" s="2688"/>
      <c r="F1" s="2688"/>
      <c r="G1" s="2688"/>
      <c r="H1" s="2688"/>
      <c r="I1" s="2688"/>
      <c r="J1" s="2688"/>
      <c r="K1" s="2688"/>
      <c r="L1" s="2688"/>
      <c r="M1" s="2688"/>
    </row>
    <row r="2" spans="2:14" ht="15" x14ac:dyDescent="0.2">
      <c r="B2" s="2689">
        <f>'Single Audit Cover'!E7</f>
        <v>28037228026</v>
      </c>
      <c r="C2" s="2689"/>
      <c r="D2" s="2689"/>
      <c r="E2" s="2689"/>
      <c r="F2" s="2689"/>
      <c r="G2" s="2689"/>
      <c r="H2" s="2689"/>
      <c r="I2" s="2689"/>
      <c r="J2" s="2689"/>
      <c r="K2" s="2689"/>
      <c r="L2" s="2689"/>
      <c r="M2" s="2689"/>
      <c r="N2" s="1078"/>
    </row>
    <row r="3" spans="2:14" ht="15" x14ac:dyDescent="0.2">
      <c r="B3" s="2690" t="s">
        <v>1208</v>
      </c>
      <c r="C3" s="2690"/>
      <c r="D3" s="2690"/>
      <c r="E3" s="2690"/>
      <c r="F3" s="2690"/>
      <c r="G3" s="2690"/>
      <c r="H3" s="2690"/>
      <c r="I3" s="2690"/>
      <c r="J3" s="2690"/>
      <c r="K3" s="2690"/>
      <c r="L3" s="2690"/>
      <c r="M3" s="2690"/>
      <c r="N3" s="1078"/>
    </row>
    <row r="4" spans="2:14" ht="15" x14ac:dyDescent="0.2">
      <c r="B4" s="2691" t="str">
        <f>'Single Audit Cover'!A4</f>
        <v>Year Ending June 30, 2020</v>
      </c>
      <c r="C4" s="2691"/>
      <c r="D4" s="2691"/>
      <c r="E4" s="2691"/>
      <c r="F4" s="2691"/>
      <c r="G4" s="2691"/>
      <c r="H4" s="2691"/>
      <c r="I4" s="2691"/>
      <c r="J4" s="2691"/>
      <c r="K4" s="2691"/>
      <c r="L4" s="2691"/>
      <c r="M4" s="2691"/>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X143"/>
  <sheetViews>
    <sheetView showGridLines="0" zoomScale="85" zoomScaleNormal="85" zoomScaleSheetLayoutView="55" workbookViewId="0">
      <selection activeCell="N30" sqref="N30"/>
    </sheetView>
  </sheetViews>
  <sheetFormatPr defaultColWidth="16.7109375" defaultRowHeight="15.95" customHeight="1" x14ac:dyDescent="0.2"/>
  <cols>
    <col min="1" max="1" width="11.5703125" style="2065" customWidth="1"/>
    <col min="2" max="2" width="73.85546875" style="2037" customWidth="1"/>
    <col min="3" max="3" width="9.140625" style="2037" customWidth="1"/>
    <col min="4" max="4" width="7.140625" style="2037" customWidth="1"/>
    <col min="5" max="5" width="15.5703125" style="2037" customWidth="1"/>
    <col min="6" max="6" width="5.28515625" style="2100" customWidth="1"/>
    <col min="7" max="7" width="12" style="2037" customWidth="1"/>
    <col min="8" max="8" width="1.85546875" style="2037" customWidth="1"/>
    <col min="9" max="9" width="12.7109375" style="2037" customWidth="1"/>
    <col min="10" max="10" width="3.85546875" style="2100" customWidth="1"/>
    <col min="11" max="11" width="12" style="2037" customWidth="1"/>
    <col min="12" max="12" width="1.85546875" style="2037" customWidth="1"/>
    <col min="13" max="13" width="13.140625" style="2037" customWidth="1"/>
    <col min="14" max="14" width="5.5703125" style="2037" customWidth="1"/>
    <col min="15" max="15" width="11.85546875" style="2037" customWidth="1"/>
    <col min="16" max="16" width="4.42578125" style="2100" bestFit="1" customWidth="1"/>
    <col min="17" max="17" width="13" style="2037" customWidth="1"/>
    <col min="18" max="18" width="4" style="2037" bestFit="1" customWidth="1"/>
    <col min="19" max="19" width="13.140625" style="2037" customWidth="1"/>
    <col min="20" max="249" width="16.7109375" style="2037"/>
    <col min="250" max="250" width="11.5703125" style="2037" customWidth="1"/>
    <col min="251" max="251" width="50.140625" style="2037" customWidth="1"/>
    <col min="252" max="252" width="9.140625" style="2037" customWidth="1"/>
    <col min="253" max="253" width="7.140625" style="2037" customWidth="1"/>
    <col min="254" max="254" width="15.5703125" style="2037" customWidth="1"/>
    <col min="255" max="255" width="5.28515625" style="2037" customWidth="1"/>
    <col min="256" max="256" width="12" style="2037" customWidth="1"/>
    <col min="257" max="257" width="1.85546875" style="2037" customWidth="1"/>
    <col min="258" max="258" width="12.7109375" style="2037" customWidth="1"/>
    <col min="259" max="259" width="3.85546875" style="2037" customWidth="1"/>
    <col min="260" max="260" width="12" style="2037" customWidth="1"/>
    <col min="261" max="261" width="1.85546875" style="2037" customWidth="1"/>
    <col min="262" max="262" width="13.140625" style="2037" customWidth="1"/>
    <col min="263" max="263" width="5.5703125" style="2037" customWidth="1"/>
    <col min="264" max="264" width="11.85546875" style="2037" customWidth="1"/>
    <col min="265" max="265" width="4.42578125" style="2037" bestFit="1" customWidth="1"/>
    <col min="266" max="266" width="13" style="2037" customWidth="1"/>
    <col min="267" max="267" width="4" style="2037" bestFit="1" customWidth="1"/>
    <col min="268" max="268" width="13.140625" style="2037" customWidth="1"/>
    <col min="269" max="274" width="12.42578125" style="2037" customWidth="1"/>
    <col min="275" max="505" width="16.7109375" style="2037"/>
    <col min="506" max="506" width="11.5703125" style="2037" customWidth="1"/>
    <col min="507" max="507" width="50.140625" style="2037" customWidth="1"/>
    <col min="508" max="508" width="9.140625" style="2037" customWidth="1"/>
    <col min="509" max="509" width="7.140625" style="2037" customWidth="1"/>
    <col min="510" max="510" width="15.5703125" style="2037" customWidth="1"/>
    <col min="511" max="511" width="5.28515625" style="2037" customWidth="1"/>
    <col min="512" max="512" width="12" style="2037" customWidth="1"/>
    <col min="513" max="513" width="1.85546875" style="2037" customWidth="1"/>
    <col min="514" max="514" width="12.7109375" style="2037" customWidth="1"/>
    <col min="515" max="515" width="3.85546875" style="2037" customWidth="1"/>
    <col min="516" max="516" width="12" style="2037" customWidth="1"/>
    <col min="517" max="517" width="1.85546875" style="2037" customWidth="1"/>
    <col min="518" max="518" width="13.140625" style="2037" customWidth="1"/>
    <col min="519" max="519" width="5.5703125" style="2037" customWidth="1"/>
    <col min="520" max="520" width="11.85546875" style="2037" customWidth="1"/>
    <col min="521" max="521" width="4.42578125" style="2037" bestFit="1" customWidth="1"/>
    <col min="522" max="522" width="13" style="2037" customWidth="1"/>
    <col min="523" max="523" width="4" style="2037" bestFit="1" customWidth="1"/>
    <col min="524" max="524" width="13.140625" style="2037" customWidth="1"/>
    <col min="525" max="530" width="12.42578125" style="2037" customWidth="1"/>
    <col min="531" max="761" width="16.7109375" style="2037"/>
    <col min="762" max="762" width="11.5703125" style="2037" customWidth="1"/>
    <col min="763" max="763" width="50.140625" style="2037" customWidth="1"/>
    <col min="764" max="764" width="9.140625" style="2037" customWidth="1"/>
    <col min="765" max="765" width="7.140625" style="2037" customWidth="1"/>
    <col min="766" max="766" width="15.5703125" style="2037" customWidth="1"/>
    <col min="767" max="767" width="5.28515625" style="2037" customWidth="1"/>
    <col min="768" max="768" width="12" style="2037" customWidth="1"/>
    <col min="769" max="769" width="1.85546875" style="2037" customWidth="1"/>
    <col min="770" max="770" width="12.7109375" style="2037" customWidth="1"/>
    <col min="771" max="771" width="3.85546875" style="2037" customWidth="1"/>
    <col min="772" max="772" width="12" style="2037" customWidth="1"/>
    <col min="773" max="773" width="1.85546875" style="2037" customWidth="1"/>
    <col min="774" max="774" width="13.140625" style="2037" customWidth="1"/>
    <col min="775" max="775" width="5.5703125" style="2037" customWidth="1"/>
    <col min="776" max="776" width="11.85546875" style="2037" customWidth="1"/>
    <col min="777" max="777" width="4.42578125" style="2037" bestFit="1" customWidth="1"/>
    <col min="778" max="778" width="13" style="2037" customWidth="1"/>
    <col min="779" max="779" width="4" style="2037" bestFit="1" customWidth="1"/>
    <col min="780" max="780" width="13.140625" style="2037" customWidth="1"/>
    <col min="781" max="786" width="12.42578125" style="2037" customWidth="1"/>
    <col min="787" max="1017" width="16.7109375" style="2037"/>
    <col min="1018" max="1018" width="11.5703125" style="2037" customWidth="1"/>
    <col min="1019" max="1019" width="50.140625" style="2037" customWidth="1"/>
    <col min="1020" max="1020" width="9.140625" style="2037" customWidth="1"/>
    <col min="1021" max="1021" width="7.140625" style="2037" customWidth="1"/>
    <col min="1022" max="1022" width="15.5703125" style="2037" customWidth="1"/>
    <col min="1023" max="1023" width="5.28515625" style="2037" customWidth="1"/>
    <col min="1024" max="1024" width="12" style="2037" customWidth="1"/>
    <col min="1025" max="1025" width="1.85546875" style="2037" customWidth="1"/>
    <col min="1026" max="1026" width="12.7109375" style="2037" customWidth="1"/>
    <col min="1027" max="1027" width="3.85546875" style="2037" customWidth="1"/>
    <col min="1028" max="1028" width="12" style="2037" customWidth="1"/>
    <col min="1029" max="1029" width="1.85546875" style="2037" customWidth="1"/>
    <col min="1030" max="1030" width="13.140625" style="2037" customWidth="1"/>
    <col min="1031" max="1031" width="5.5703125" style="2037" customWidth="1"/>
    <col min="1032" max="1032" width="11.85546875" style="2037" customWidth="1"/>
    <col min="1033" max="1033" width="4.42578125" style="2037" bestFit="1" customWidth="1"/>
    <col min="1034" max="1034" width="13" style="2037" customWidth="1"/>
    <col min="1035" max="1035" width="4" style="2037" bestFit="1" customWidth="1"/>
    <col min="1036" max="1036" width="13.140625" style="2037" customWidth="1"/>
    <col min="1037" max="1042" width="12.42578125" style="2037" customWidth="1"/>
    <col min="1043" max="1273" width="16.7109375" style="2037"/>
    <col min="1274" max="1274" width="11.5703125" style="2037" customWidth="1"/>
    <col min="1275" max="1275" width="50.140625" style="2037" customWidth="1"/>
    <col min="1276" max="1276" width="9.140625" style="2037" customWidth="1"/>
    <col min="1277" max="1277" width="7.140625" style="2037" customWidth="1"/>
    <col min="1278" max="1278" width="15.5703125" style="2037" customWidth="1"/>
    <col min="1279" max="1279" width="5.28515625" style="2037" customWidth="1"/>
    <col min="1280" max="1280" width="12" style="2037" customWidth="1"/>
    <col min="1281" max="1281" width="1.85546875" style="2037" customWidth="1"/>
    <col min="1282" max="1282" width="12.7109375" style="2037" customWidth="1"/>
    <col min="1283" max="1283" width="3.85546875" style="2037" customWidth="1"/>
    <col min="1284" max="1284" width="12" style="2037" customWidth="1"/>
    <col min="1285" max="1285" width="1.85546875" style="2037" customWidth="1"/>
    <col min="1286" max="1286" width="13.140625" style="2037" customWidth="1"/>
    <col min="1287" max="1287" width="5.5703125" style="2037" customWidth="1"/>
    <col min="1288" max="1288" width="11.85546875" style="2037" customWidth="1"/>
    <col min="1289" max="1289" width="4.42578125" style="2037" bestFit="1" customWidth="1"/>
    <col min="1290" max="1290" width="13" style="2037" customWidth="1"/>
    <col min="1291" max="1291" width="4" style="2037" bestFit="1" customWidth="1"/>
    <col min="1292" max="1292" width="13.140625" style="2037" customWidth="1"/>
    <col min="1293" max="1298" width="12.42578125" style="2037" customWidth="1"/>
    <col min="1299" max="1529" width="16.7109375" style="2037"/>
    <col min="1530" max="1530" width="11.5703125" style="2037" customWidth="1"/>
    <col min="1531" max="1531" width="50.140625" style="2037" customWidth="1"/>
    <col min="1532" max="1532" width="9.140625" style="2037" customWidth="1"/>
    <col min="1533" max="1533" width="7.140625" style="2037" customWidth="1"/>
    <col min="1534" max="1534" width="15.5703125" style="2037" customWidth="1"/>
    <col min="1535" max="1535" width="5.28515625" style="2037" customWidth="1"/>
    <col min="1536" max="1536" width="12" style="2037" customWidth="1"/>
    <col min="1537" max="1537" width="1.85546875" style="2037" customWidth="1"/>
    <col min="1538" max="1538" width="12.7109375" style="2037" customWidth="1"/>
    <col min="1539" max="1539" width="3.85546875" style="2037" customWidth="1"/>
    <col min="1540" max="1540" width="12" style="2037" customWidth="1"/>
    <col min="1541" max="1541" width="1.85546875" style="2037" customWidth="1"/>
    <col min="1542" max="1542" width="13.140625" style="2037" customWidth="1"/>
    <col min="1543" max="1543" width="5.5703125" style="2037" customWidth="1"/>
    <col min="1544" max="1544" width="11.85546875" style="2037" customWidth="1"/>
    <col min="1545" max="1545" width="4.42578125" style="2037" bestFit="1" customWidth="1"/>
    <col min="1546" max="1546" width="13" style="2037" customWidth="1"/>
    <col min="1547" max="1547" width="4" style="2037" bestFit="1" customWidth="1"/>
    <col min="1548" max="1548" width="13.140625" style="2037" customWidth="1"/>
    <col min="1549" max="1554" width="12.42578125" style="2037" customWidth="1"/>
    <col min="1555" max="1785" width="16.7109375" style="2037"/>
    <col min="1786" max="1786" width="11.5703125" style="2037" customWidth="1"/>
    <col min="1787" max="1787" width="50.140625" style="2037" customWidth="1"/>
    <col min="1788" max="1788" width="9.140625" style="2037" customWidth="1"/>
    <col min="1789" max="1789" width="7.140625" style="2037" customWidth="1"/>
    <col min="1790" max="1790" width="15.5703125" style="2037" customWidth="1"/>
    <col min="1791" max="1791" width="5.28515625" style="2037" customWidth="1"/>
    <col min="1792" max="1792" width="12" style="2037" customWidth="1"/>
    <col min="1793" max="1793" width="1.85546875" style="2037" customWidth="1"/>
    <col min="1794" max="1794" width="12.7109375" style="2037" customWidth="1"/>
    <col min="1795" max="1795" width="3.85546875" style="2037" customWidth="1"/>
    <col min="1796" max="1796" width="12" style="2037" customWidth="1"/>
    <col min="1797" max="1797" width="1.85546875" style="2037" customWidth="1"/>
    <col min="1798" max="1798" width="13.140625" style="2037" customWidth="1"/>
    <col min="1799" max="1799" width="5.5703125" style="2037" customWidth="1"/>
    <col min="1800" max="1800" width="11.85546875" style="2037" customWidth="1"/>
    <col min="1801" max="1801" width="4.42578125" style="2037" bestFit="1" customWidth="1"/>
    <col min="1802" max="1802" width="13" style="2037" customWidth="1"/>
    <col min="1803" max="1803" width="4" style="2037" bestFit="1" customWidth="1"/>
    <col min="1804" max="1804" width="13.140625" style="2037" customWidth="1"/>
    <col min="1805" max="1810" width="12.42578125" style="2037" customWidth="1"/>
    <col min="1811" max="2041" width="16.7109375" style="2037"/>
    <col min="2042" max="2042" width="11.5703125" style="2037" customWidth="1"/>
    <col min="2043" max="2043" width="50.140625" style="2037" customWidth="1"/>
    <col min="2044" max="2044" width="9.140625" style="2037" customWidth="1"/>
    <col min="2045" max="2045" width="7.140625" style="2037" customWidth="1"/>
    <col min="2046" max="2046" width="15.5703125" style="2037" customWidth="1"/>
    <col min="2047" max="2047" width="5.28515625" style="2037" customWidth="1"/>
    <col min="2048" max="2048" width="12" style="2037" customWidth="1"/>
    <col min="2049" max="2049" width="1.85546875" style="2037" customWidth="1"/>
    <col min="2050" max="2050" width="12.7109375" style="2037" customWidth="1"/>
    <col min="2051" max="2051" width="3.85546875" style="2037" customWidth="1"/>
    <col min="2052" max="2052" width="12" style="2037" customWidth="1"/>
    <col min="2053" max="2053" width="1.85546875" style="2037" customWidth="1"/>
    <col min="2054" max="2054" width="13.140625" style="2037" customWidth="1"/>
    <col min="2055" max="2055" width="5.5703125" style="2037" customWidth="1"/>
    <col min="2056" max="2056" width="11.85546875" style="2037" customWidth="1"/>
    <col min="2057" max="2057" width="4.42578125" style="2037" bestFit="1" customWidth="1"/>
    <col min="2058" max="2058" width="13" style="2037" customWidth="1"/>
    <col min="2059" max="2059" width="4" style="2037" bestFit="1" customWidth="1"/>
    <col min="2060" max="2060" width="13.140625" style="2037" customWidth="1"/>
    <col min="2061" max="2066" width="12.42578125" style="2037" customWidth="1"/>
    <col min="2067" max="2297" width="16.7109375" style="2037"/>
    <col min="2298" max="2298" width="11.5703125" style="2037" customWidth="1"/>
    <col min="2299" max="2299" width="50.140625" style="2037" customWidth="1"/>
    <col min="2300" max="2300" width="9.140625" style="2037" customWidth="1"/>
    <col min="2301" max="2301" width="7.140625" style="2037" customWidth="1"/>
    <col min="2302" max="2302" width="15.5703125" style="2037" customWidth="1"/>
    <col min="2303" max="2303" width="5.28515625" style="2037" customWidth="1"/>
    <col min="2304" max="2304" width="12" style="2037" customWidth="1"/>
    <col min="2305" max="2305" width="1.85546875" style="2037" customWidth="1"/>
    <col min="2306" max="2306" width="12.7109375" style="2037" customWidth="1"/>
    <col min="2307" max="2307" width="3.85546875" style="2037" customWidth="1"/>
    <col min="2308" max="2308" width="12" style="2037" customWidth="1"/>
    <col min="2309" max="2309" width="1.85546875" style="2037" customWidth="1"/>
    <col min="2310" max="2310" width="13.140625" style="2037" customWidth="1"/>
    <col min="2311" max="2311" width="5.5703125" style="2037" customWidth="1"/>
    <col min="2312" max="2312" width="11.85546875" style="2037" customWidth="1"/>
    <col min="2313" max="2313" width="4.42578125" style="2037" bestFit="1" customWidth="1"/>
    <col min="2314" max="2314" width="13" style="2037" customWidth="1"/>
    <col min="2315" max="2315" width="4" style="2037" bestFit="1" customWidth="1"/>
    <col min="2316" max="2316" width="13.140625" style="2037" customWidth="1"/>
    <col min="2317" max="2322" width="12.42578125" style="2037" customWidth="1"/>
    <col min="2323" max="2553" width="16.7109375" style="2037"/>
    <col min="2554" max="2554" width="11.5703125" style="2037" customWidth="1"/>
    <col min="2555" max="2555" width="50.140625" style="2037" customWidth="1"/>
    <col min="2556" max="2556" width="9.140625" style="2037" customWidth="1"/>
    <col min="2557" max="2557" width="7.140625" style="2037" customWidth="1"/>
    <col min="2558" max="2558" width="15.5703125" style="2037" customWidth="1"/>
    <col min="2559" max="2559" width="5.28515625" style="2037" customWidth="1"/>
    <col min="2560" max="2560" width="12" style="2037" customWidth="1"/>
    <col min="2561" max="2561" width="1.85546875" style="2037" customWidth="1"/>
    <col min="2562" max="2562" width="12.7109375" style="2037" customWidth="1"/>
    <col min="2563" max="2563" width="3.85546875" style="2037" customWidth="1"/>
    <col min="2564" max="2564" width="12" style="2037" customWidth="1"/>
    <col min="2565" max="2565" width="1.85546875" style="2037" customWidth="1"/>
    <col min="2566" max="2566" width="13.140625" style="2037" customWidth="1"/>
    <col min="2567" max="2567" width="5.5703125" style="2037" customWidth="1"/>
    <col min="2568" max="2568" width="11.85546875" style="2037" customWidth="1"/>
    <col min="2569" max="2569" width="4.42578125" style="2037" bestFit="1" customWidth="1"/>
    <col min="2570" max="2570" width="13" style="2037" customWidth="1"/>
    <col min="2571" max="2571" width="4" style="2037" bestFit="1" customWidth="1"/>
    <col min="2572" max="2572" width="13.140625" style="2037" customWidth="1"/>
    <col min="2573" max="2578" width="12.42578125" style="2037" customWidth="1"/>
    <col min="2579" max="2809" width="16.7109375" style="2037"/>
    <col min="2810" max="2810" width="11.5703125" style="2037" customWidth="1"/>
    <col min="2811" max="2811" width="50.140625" style="2037" customWidth="1"/>
    <col min="2812" max="2812" width="9.140625" style="2037" customWidth="1"/>
    <col min="2813" max="2813" width="7.140625" style="2037" customWidth="1"/>
    <col min="2814" max="2814" width="15.5703125" style="2037" customWidth="1"/>
    <col min="2815" max="2815" width="5.28515625" style="2037" customWidth="1"/>
    <col min="2816" max="2816" width="12" style="2037" customWidth="1"/>
    <col min="2817" max="2817" width="1.85546875" style="2037" customWidth="1"/>
    <col min="2818" max="2818" width="12.7109375" style="2037" customWidth="1"/>
    <col min="2819" max="2819" width="3.85546875" style="2037" customWidth="1"/>
    <col min="2820" max="2820" width="12" style="2037" customWidth="1"/>
    <col min="2821" max="2821" width="1.85546875" style="2037" customWidth="1"/>
    <col min="2822" max="2822" width="13.140625" style="2037" customWidth="1"/>
    <col min="2823" max="2823" width="5.5703125" style="2037" customWidth="1"/>
    <col min="2824" max="2824" width="11.85546875" style="2037" customWidth="1"/>
    <col min="2825" max="2825" width="4.42578125" style="2037" bestFit="1" customWidth="1"/>
    <col min="2826" max="2826" width="13" style="2037" customWidth="1"/>
    <col min="2827" max="2827" width="4" style="2037" bestFit="1" customWidth="1"/>
    <col min="2828" max="2828" width="13.140625" style="2037" customWidth="1"/>
    <col min="2829" max="2834" width="12.42578125" style="2037" customWidth="1"/>
    <col min="2835" max="3065" width="16.7109375" style="2037"/>
    <col min="3066" max="3066" width="11.5703125" style="2037" customWidth="1"/>
    <col min="3067" max="3067" width="50.140625" style="2037" customWidth="1"/>
    <col min="3068" max="3068" width="9.140625" style="2037" customWidth="1"/>
    <col min="3069" max="3069" width="7.140625" style="2037" customWidth="1"/>
    <col min="3070" max="3070" width="15.5703125" style="2037" customWidth="1"/>
    <col min="3071" max="3071" width="5.28515625" style="2037" customWidth="1"/>
    <col min="3072" max="3072" width="12" style="2037" customWidth="1"/>
    <col min="3073" max="3073" width="1.85546875" style="2037" customWidth="1"/>
    <col min="3074" max="3074" width="12.7109375" style="2037" customWidth="1"/>
    <col min="3075" max="3075" width="3.85546875" style="2037" customWidth="1"/>
    <col min="3076" max="3076" width="12" style="2037" customWidth="1"/>
    <col min="3077" max="3077" width="1.85546875" style="2037" customWidth="1"/>
    <col min="3078" max="3078" width="13.140625" style="2037" customWidth="1"/>
    <col min="3079" max="3079" width="5.5703125" style="2037" customWidth="1"/>
    <col min="3080" max="3080" width="11.85546875" style="2037" customWidth="1"/>
    <col min="3081" max="3081" width="4.42578125" style="2037" bestFit="1" customWidth="1"/>
    <col min="3082" max="3082" width="13" style="2037" customWidth="1"/>
    <col min="3083" max="3083" width="4" style="2037" bestFit="1" customWidth="1"/>
    <col min="3084" max="3084" width="13.140625" style="2037" customWidth="1"/>
    <col min="3085" max="3090" width="12.42578125" style="2037" customWidth="1"/>
    <col min="3091" max="3321" width="16.7109375" style="2037"/>
    <col min="3322" max="3322" width="11.5703125" style="2037" customWidth="1"/>
    <col min="3323" max="3323" width="50.140625" style="2037" customWidth="1"/>
    <col min="3324" max="3324" width="9.140625" style="2037" customWidth="1"/>
    <col min="3325" max="3325" width="7.140625" style="2037" customWidth="1"/>
    <col min="3326" max="3326" width="15.5703125" style="2037" customWidth="1"/>
    <col min="3327" max="3327" width="5.28515625" style="2037" customWidth="1"/>
    <col min="3328" max="3328" width="12" style="2037" customWidth="1"/>
    <col min="3329" max="3329" width="1.85546875" style="2037" customWidth="1"/>
    <col min="3330" max="3330" width="12.7109375" style="2037" customWidth="1"/>
    <col min="3331" max="3331" width="3.85546875" style="2037" customWidth="1"/>
    <col min="3332" max="3332" width="12" style="2037" customWidth="1"/>
    <col min="3333" max="3333" width="1.85546875" style="2037" customWidth="1"/>
    <col min="3334" max="3334" width="13.140625" style="2037" customWidth="1"/>
    <col min="3335" max="3335" width="5.5703125" style="2037" customWidth="1"/>
    <col min="3336" max="3336" width="11.85546875" style="2037" customWidth="1"/>
    <col min="3337" max="3337" width="4.42578125" style="2037" bestFit="1" customWidth="1"/>
    <col min="3338" max="3338" width="13" style="2037" customWidth="1"/>
    <col min="3339" max="3339" width="4" style="2037" bestFit="1" customWidth="1"/>
    <col min="3340" max="3340" width="13.140625" style="2037" customWidth="1"/>
    <col min="3341" max="3346" width="12.42578125" style="2037" customWidth="1"/>
    <col min="3347" max="3577" width="16.7109375" style="2037"/>
    <col min="3578" max="3578" width="11.5703125" style="2037" customWidth="1"/>
    <col min="3579" max="3579" width="50.140625" style="2037" customWidth="1"/>
    <col min="3580" max="3580" width="9.140625" style="2037" customWidth="1"/>
    <col min="3581" max="3581" width="7.140625" style="2037" customWidth="1"/>
    <col min="3582" max="3582" width="15.5703125" style="2037" customWidth="1"/>
    <col min="3583" max="3583" width="5.28515625" style="2037" customWidth="1"/>
    <col min="3584" max="3584" width="12" style="2037" customWidth="1"/>
    <col min="3585" max="3585" width="1.85546875" style="2037" customWidth="1"/>
    <col min="3586" max="3586" width="12.7109375" style="2037" customWidth="1"/>
    <col min="3587" max="3587" width="3.85546875" style="2037" customWidth="1"/>
    <col min="3588" max="3588" width="12" style="2037" customWidth="1"/>
    <col min="3589" max="3589" width="1.85546875" style="2037" customWidth="1"/>
    <col min="3590" max="3590" width="13.140625" style="2037" customWidth="1"/>
    <col min="3591" max="3591" width="5.5703125" style="2037" customWidth="1"/>
    <col min="3592" max="3592" width="11.85546875" style="2037" customWidth="1"/>
    <col min="3593" max="3593" width="4.42578125" style="2037" bestFit="1" customWidth="1"/>
    <col min="3594" max="3594" width="13" style="2037" customWidth="1"/>
    <col min="3595" max="3595" width="4" style="2037" bestFit="1" customWidth="1"/>
    <col min="3596" max="3596" width="13.140625" style="2037" customWidth="1"/>
    <col min="3597" max="3602" width="12.42578125" style="2037" customWidth="1"/>
    <col min="3603" max="3833" width="16.7109375" style="2037"/>
    <col min="3834" max="3834" width="11.5703125" style="2037" customWidth="1"/>
    <col min="3835" max="3835" width="50.140625" style="2037" customWidth="1"/>
    <col min="3836" max="3836" width="9.140625" style="2037" customWidth="1"/>
    <col min="3837" max="3837" width="7.140625" style="2037" customWidth="1"/>
    <col min="3838" max="3838" width="15.5703125" style="2037" customWidth="1"/>
    <col min="3839" max="3839" width="5.28515625" style="2037" customWidth="1"/>
    <col min="3840" max="3840" width="12" style="2037" customWidth="1"/>
    <col min="3841" max="3841" width="1.85546875" style="2037" customWidth="1"/>
    <col min="3842" max="3842" width="12.7109375" style="2037" customWidth="1"/>
    <col min="3843" max="3843" width="3.85546875" style="2037" customWidth="1"/>
    <col min="3844" max="3844" width="12" style="2037" customWidth="1"/>
    <col min="3845" max="3845" width="1.85546875" style="2037" customWidth="1"/>
    <col min="3846" max="3846" width="13.140625" style="2037" customWidth="1"/>
    <col min="3847" max="3847" width="5.5703125" style="2037" customWidth="1"/>
    <col min="3848" max="3848" width="11.85546875" style="2037" customWidth="1"/>
    <col min="3849" max="3849" width="4.42578125" style="2037" bestFit="1" customWidth="1"/>
    <col min="3850" max="3850" width="13" style="2037" customWidth="1"/>
    <col min="3851" max="3851" width="4" style="2037" bestFit="1" customWidth="1"/>
    <col min="3852" max="3852" width="13.140625" style="2037" customWidth="1"/>
    <col min="3853" max="3858" width="12.42578125" style="2037" customWidth="1"/>
    <col min="3859" max="4089" width="16.7109375" style="2037"/>
    <col min="4090" max="4090" width="11.5703125" style="2037" customWidth="1"/>
    <col min="4091" max="4091" width="50.140625" style="2037" customWidth="1"/>
    <col min="4092" max="4092" width="9.140625" style="2037" customWidth="1"/>
    <col min="4093" max="4093" width="7.140625" style="2037" customWidth="1"/>
    <col min="4094" max="4094" width="15.5703125" style="2037" customWidth="1"/>
    <col min="4095" max="4095" width="5.28515625" style="2037" customWidth="1"/>
    <col min="4096" max="4096" width="12" style="2037" customWidth="1"/>
    <col min="4097" max="4097" width="1.85546875" style="2037" customWidth="1"/>
    <col min="4098" max="4098" width="12.7109375" style="2037" customWidth="1"/>
    <col min="4099" max="4099" width="3.85546875" style="2037" customWidth="1"/>
    <col min="4100" max="4100" width="12" style="2037" customWidth="1"/>
    <col min="4101" max="4101" width="1.85546875" style="2037" customWidth="1"/>
    <col min="4102" max="4102" width="13.140625" style="2037" customWidth="1"/>
    <col min="4103" max="4103" width="5.5703125" style="2037" customWidth="1"/>
    <col min="4104" max="4104" width="11.85546875" style="2037" customWidth="1"/>
    <col min="4105" max="4105" width="4.42578125" style="2037" bestFit="1" customWidth="1"/>
    <col min="4106" max="4106" width="13" style="2037" customWidth="1"/>
    <col min="4107" max="4107" width="4" style="2037" bestFit="1" customWidth="1"/>
    <col min="4108" max="4108" width="13.140625" style="2037" customWidth="1"/>
    <col min="4109" max="4114" width="12.42578125" style="2037" customWidth="1"/>
    <col min="4115" max="4345" width="16.7109375" style="2037"/>
    <col min="4346" max="4346" width="11.5703125" style="2037" customWidth="1"/>
    <col min="4347" max="4347" width="50.140625" style="2037" customWidth="1"/>
    <col min="4348" max="4348" width="9.140625" style="2037" customWidth="1"/>
    <col min="4349" max="4349" width="7.140625" style="2037" customWidth="1"/>
    <col min="4350" max="4350" width="15.5703125" style="2037" customWidth="1"/>
    <col min="4351" max="4351" width="5.28515625" style="2037" customWidth="1"/>
    <col min="4352" max="4352" width="12" style="2037" customWidth="1"/>
    <col min="4353" max="4353" width="1.85546875" style="2037" customWidth="1"/>
    <col min="4354" max="4354" width="12.7109375" style="2037" customWidth="1"/>
    <col min="4355" max="4355" width="3.85546875" style="2037" customWidth="1"/>
    <col min="4356" max="4356" width="12" style="2037" customWidth="1"/>
    <col min="4357" max="4357" width="1.85546875" style="2037" customWidth="1"/>
    <col min="4358" max="4358" width="13.140625" style="2037" customWidth="1"/>
    <col min="4359" max="4359" width="5.5703125" style="2037" customWidth="1"/>
    <col min="4360" max="4360" width="11.85546875" style="2037" customWidth="1"/>
    <col min="4361" max="4361" width="4.42578125" style="2037" bestFit="1" customWidth="1"/>
    <col min="4362" max="4362" width="13" style="2037" customWidth="1"/>
    <col min="4363" max="4363" width="4" style="2037" bestFit="1" customWidth="1"/>
    <col min="4364" max="4364" width="13.140625" style="2037" customWidth="1"/>
    <col min="4365" max="4370" width="12.42578125" style="2037" customWidth="1"/>
    <col min="4371" max="4601" width="16.7109375" style="2037"/>
    <col min="4602" max="4602" width="11.5703125" style="2037" customWidth="1"/>
    <col min="4603" max="4603" width="50.140625" style="2037" customWidth="1"/>
    <col min="4604" max="4604" width="9.140625" style="2037" customWidth="1"/>
    <col min="4605" max="4605" width="7.140625" style="2037" customWidth="1"/>
    <col min="4606" max="4606" width="15.5703125" style="2037" customWidth="1"/>
    <col min="4607" max="4607" width="5.28515625" style="2037" customWidth="1"/>
    <col min="4608" max="4608" width="12" style="2037" customWidth="1"/>
    <col min="4609" max="4609" width="1.85546875" style="2037" customWidth="1"/>
    <col min="4610" max="4610" width="12.7109375" style="2037" customWidth="1"/>
    <col min="4611" max="4611" width="3.85546875" style="2037" customWidth="1"/>
    <col min="4612" max="4612" width="12" style="2037" customWidth="1"/>
    <col min="4613" max="4613" width="1.85546875" style="2037" customWidth="1"/>
    <col min="4614" max="4614" width="13.140625" style="2037" customWidth="1"/>
    <col min="4615" max="4615" width="5.5703125" style="2037" customWidth="1"/>
    <col min="4616" max="4616" width="11.85546875" style="2037" customWidth="1"/>
    <col min="4617" max="4617" width="4.42578125" style="2037" bestFit="1" customWidth="1"/>
    <col min="4618" max="4618" width="13" style="2037" customWidth="1"/>
    <col min="4619" max="4619" width="4" style="2037" bestFit="1" customWidth="1"/>
    <col min="4620" max="4620" width="13.140625" style="2037" customWidth="1"/>
    <col min="4621" max="4626" width="12.42578125" style="2037" customWidth="1"/>
    <col min="4627" max="4857" width="16.7109375" style="2037"/>
    <col min="4858" max="4858" width="11.5703125" style="2037" customWidth="1"/>
    <col min="4859" max="4859" width="50.140625" style="2037" customWidth="1"/>
    <col min="4860" max="4860" width="9.140625" style="2037" customWidth="1"/>
    <col min="4861" max="4861" width="7.140625" style="2037" customWidth="1"/>
    <col min="4862" max="4862" width="15.5703125" style="2037" customWidth="1"/>
    <col min="4863" max="4863" width="5.28515625" style="2037" customWidth="1"/>
    <col min="4864" max="4864" width="12" style="2037" customWidth="1"/>
    <col min="4865" max="4865" width="1.85546875" style="2037" customWidth="1"/>
    <col min="4866" max="4866" width="12.7109375" style="2037" customWidth="1"/>
    <col min="4867" max="4867" width="3.85546875" style="2037" customWidth="1"/>
    <col min="4868" max="4868" width="12" style="2037" customWidth="1"/>
    <col min="4869" max="4869" width="1.85546875" style="2037" customWidth="1"/>
    <col min="4870" max="4870" width="13.140625" style="2037" customWidth="1"/>
    <col min="4871" max="4871" width="5.5703125" style="2037" customWidth="1"/>
    <col min="4872" max="4872" width="11.85546875" style="2037" customWidth="1"/>
    <col min="4873" max="4873" width="4.42578125" style="2037" bestFit="1" customWidth="1"/>
    <col min="4874" max="4874" width="13" style="2037" customWidth="1"/>
    <col min="4875" max="4875" width="4" style="2037" bestFit="1" customWidth="1"/>
    <col min="4876" max="4876" width="13.140625" style="2037" customWidth="1"/>
    <col min="4877" max="4882" width="12.42578125" style="2037" customWidth="1"/>
    <col min="4883" max="5113" width="16.7109375" style="2037"/>
    <col min="5114" max="5114" width="11.5703125" style="2037" customWidth="1"/>
    <col min="5115" max="5115" width="50.140625" style="2037" customWidth="1"/>
    <col min="5116" max="5116" width="9.140625" style="2037" customWidth="1"/>
    <col min="5117" max="5117" width="7.140625" style="2037" customWidth="1"/>
    <col min="5118" max="5118" width="15.5703125" style="2037" customWidth="1"/>
    <col min="5119" max="5119" width="5.28515625" style="2037" customWidth="1"/>
    <col min="5120" max="5120" width="12" style="2037" customWidth="1"/>
    <col min="5121" max="5121" width="1.85546875" style="2037" customWidth="1"/>
    <col min="5122" max="5122" width="12.7109375" style="2037" customWidth="1"/>
    <col min="5123" max="5123" width="3.85546875" style="2037" customWidth="1"/>
    <col min="5124" max="5124" width="12" style="2037" customWidth="1"/>
    <col min="5125" max="5125" width="1.85546875" style="2037" customWidth="1"/>
    <col min="5126" max="5126" width="13.140625" style="2037" customWidth="1"/>
    <col min="5127" max="5127" width="5.5703125" style="2037" customWidth="1"/>
    <col min="5128" max="5128" width="11.85546875" style="2037" customWidth="1"/>
    <col min="5129" max="5129" width="4.42578125" style="2037" bestFit="1" customWidth="1"/>
    <col min="5130" max="5130" width="13" style="2037" customWidth="1"/>
    <col min="5131" max="5131" width="4" style="2037" bestFit="1" customWidth="1"/>
    <col min="5132" max="5132" width="13.140625" style="2037" customWidth="1"/>
    <col min="5133" max="5138" width="12.42578125" style="2037" customWidth="1"/>
    <col min="5139" max="5369" width="16.7109375" style="2037"/>
    <col min="5370" max="5370" width="11.5703125" style="2037" customWidth="1"/>
    <col min="5371" max="5371" width="50.140625" style="2037" customWidth="1"/>
    <col min="5372" max="5372" width="9.140625" style="2037" customWidth="1"/>
    <col min="5373" max="5373" width="7.140625" style="2037" customWidth="1"/>
    <col min="5374" max="5374" width="15.5703125" style="2037" customWidth="1"/>
    <col min="5375" max="5375" width="5.28515625" style="2037" customWidth="1"/>
    <col min="5376" max="5376" width="12" style="2037" customWidth="1"/>
    <col min="5377" max="5377" width="1.85546875" style="2037" customWidth="1"/>
    <col min="5378" max="5378" width="12.7109375" style="2037" customWidth="1"/>
    <col min="5379" max="5379" width="3.85546875" style="2037" customWidth="1"/>
    <col min="5380" max="5380" width="12" style="2037" customWidth="1"/>
    <col min="5381" max="5381" width="1.85546875" style="2037" customWidth="1"/>
    <col min="5382" max="5382" width="13.140625" style="2037" customWidth="1"/>
    <col min="5383" max="5383" width="5.5703125" style="2037" customWidth="1"/>
    <col min="5384" max="5384" width="11.85546875" style="2037" customWidth="1"/>
    <col min="5385" max="5385" width="4.42578125" style="2037" bestFit="1" customWidth="1"/>
    <col min="5386" max="5386" width="13" style="2037" customWidth="1"/>
    <col min="5387" max="5387" width="4" style="2037" bestFit="1" customWidth="1"/>
    <col min="5388" max="5388" width="13.140625" style="2037" customWidth="1"/>
    <col min="5389" max="5394" width="12.42578125" style="2037" customWidth="1"/>
    <col min="5395" max="5625" width="16.7109375" style="2037"/>
    <col min="5626" max="5626" width="11.5703125" style="2037" customWidth="1"/>
    <col min="5627" max="5627" width="50.140625" style="2037" customWidth="1"/>
    <col min="5628" max="5628" width="9.140625" style="2037" customWidth="1"/>
    <col min="5629" max="5629" width="7.140625" style="2037" customWidth="1"/>
    <col min="5630" max="5630" width="15.5703125" style="2037" customWidth="1"/>
    <col min="5631" max="5631" width="5.28515625" style="2037" customWidth="1"/>
    <col min="5632" max="5632" width="12" style="2037" customWidth="1"/>
    <col min="5633" max="5633" width="1.85546875" style="2037" customWidth="1"/>
    <col min="5634" max="5634" width="12.7109375" style="2037" customWidth="1"/>
    <col min="5635" max="5635" width="3.85546875" style="2037" customWidth="1"/>
    <col min="5636" max="5636" width="12" style="2037" customWidth="1"/>
    <col min="5637" max="5637" width="1.85546875" style="2037" customWidth="1"/>
    <col min="5638" max="5638" width="13.140625" style="2037" customWidth="1"/>
    <col min="5639" max="5639" width="5.5703125" style="2037" customWidth="1"/>
    <col min="5640" max="5640" width="11.85546875" style="2037" customWidth="1"/>
    <col min="5641" max="5641" width="4.42578125" style="2037" bestFit="1" customWidth="1"/>
    <col min="5642" max="5642" width="13" style="2037" customWidth="1"/>
    <col min="5643" max="5643" width="4" style="2037" bestFit="1" customWidth="1"/>
    <col min="5644" max="5644" width="13.140625" style="2037" customWidth="1"/>
    <col min="5645" max="5650" width="12.42578125" style="2037" customWidth="1"/>
    <col min="5651" max="5881" width="16.7109375" style="2037"/>
    <col min="5882" max="5882" width="11.5703125" style="2037" customWidth="1"/>
    <col min="5883" max="5883" width="50.140625" style="2037" customWidth="1"/>
    <col min="5884" max="5884" width="9.140625" style="2037" customWidth="1"/>
    <col min="5885" max="5885" width="7.140625" style="2037" customWidth="1"/>
    <col min="5886" max="5886" width="15.5703125" style="2037" customWidth="1"/>
    <col min="5887" max="5887" width="5.28515625" style="2037" customWidth="1"/>
    <col min="5888" max="5888" width="12" style="2037" customWidth="1"/>
    <col min="5889" max="5889" width="1.85546875" style="2037" customWidth="1"/>
    <col min="5890" max="5890" width="12.7109375" style="2037" customWidth="1"/>
    <col min="5891" max="5891" width="3.85546875" style="2037" customWidth="1"/>
    <col min="5892" max="5892" width="12" style="2037" customWidth="1"/>
    <col min="5893" max="5893" width="1.85546875" style="2037" customWidth="1"/>
    <col min="5894" max="5894" width="13.140625" style="2037" customWidth="1"/>
    <col min="5895" max="5895" width="5.5703125" style="2037" customWidth="1"/>
    <col min="5896" max="5896" width="11.85546875" style="2037" customWidth="1"/>
    <col min="5897" max="5897" width="4.42578125" style="2037" bestFit="1" customWidth="1"/>
    <col min="5898" max="5898" width="13" style="2037" customWidth="1"/>
    <col min="5899" max="5899" width="4" style="2037" bestFit="1" customWidth="1"/>
    <col min="5900" max="5900" width="13.140625" style="2037" customWidth="1"/>
    <col min="5901" max="5906" width="12.42578125" style="2037" customWidth="1"/>
    <col min="5907" max="6137" width="16.7109375" style="2037"/>
    <col min="6138" max="6138" width="11.5703125" style="2037" customWidth="1"/>
    <col min="6139" max="6139" width="50.140625" style="2037" customWidth="1"/>
    <col min="6140" max="6140" width="9.140625" style="2037" customWidth="1"/>
    <col min="6141" max="6141" width="7.140625" style="2037" customWidth="1"/>
    <col min="6142" max="6142" width="15.5703125" style="2037" customWidth="1"/>
    <col min="6143" max="6143" width="5.28515625" style="2037" customWidth="1"/>
    <col min="6144" max="6144" width="12" style="2037" customWidth="1"/>
    <col min="6145" max="6145" width="1.85546875" style="2037" customWidth="1"/>
    <col min="6146" max="6146" width="12.7109375" style="2037" customWidth="1"/>
    <col min="6147" max="6147" width="3.85546875" style="2037" customWidth="1"/>
    <col min="6148" max="6148" width="12" style="2037" customWidth="1"/>
    <col min="6149" max="6149" width="1.85546875" style="2037" customWidth="1"/>
    <col min="6150" max="6150" width="13.140625" style="2037" customWidth="1"/>
    <col min="6151" max="6151" width="5.5703125" style="2037" customWidth="1"/>
    <col min="6152" max="6152" width="11.85546875" style="2037" customWidth="1"/>
    <col min="6153" max="6153" width="4.42578125" style="2037" bestFit="1" customWidth="1"/>
    <col min="6154" max="6154" width="13" style="2037" customWidth="1"/>
    <col min="6155" max="6155" width="4" style="2037" bestFit="1" customWidth="1"/>
    <col min="6156" max="6156" width="13.140625" style="2037" customWidth="1"/>
    <col min="6157" max="6162" width="12.42578125" style="2037" customWidth="1"/>
    <col min="6163" max="6393" width="16.7109375" style="2037"/>
    <col min="6394" max="6394" width="11.5703125" style="2037" customWidth="1"/>
    <col min="6395" max="6395" width="50.140625" style="2037" customWidth="1"/>
    <col min="6396" max="6396" width="9.140625" style="2037" customWidth="1"/>
    <col min="6397" max="6397" width="7.140625" style="2037" customWidth="1"/>
    <col min="6398" max="6398" width="15.5703125" style="2037" customWidth="1"/>
    <col min="6399" max="6399" width="5.28515625" style="2037" customWidth="1"/>
    <col min="6400" max="6400" width="12" style="2037" customWidth="1"/>
    <col min="6401" max="6401" width="1.85546875" style="2037" customWidth="1"/>
    <col min="6402" max="6402" width="12.7109375" style="2037" customWidth="1"/>
    <col min="6403" max="6403" width="3.85546875" style="2037" customWidth="1"/>
    <col min="6404" max="6404" width="12" style="2037" customWidth="1"/>
    <col min="6405" max="6405" width="1.85546875" style="2037" customWidth="1"/>
    <col min="6406" max="6406" width="13.140625" style="2037" customWidth="1"/>
    <col min="6407" max="6407" width="5.5703125" style="2037" customWidth="1"/>
    <col min="6408" max="6408" width="11.85546875" style="2037" customWidth="1"/>
    <col min="6409" max="6409" width="4.42578125" style="2037" bestFit="1" customWidth="1"/>
    <col min="6410" max="6410" width="13" style="2037" customWidth="1"/>
    <col min="6411" max="6411" width="4" style="2037" bestFit="1" customWidth="1"/>
    <col min="6412" max="6412" width="13.140625" style="2037" customWidth="1"/>
    <col min="6413" max="6418" width="12.42578125" style="2037" customWidth="1"/>
    <col min="6419" max="6649" width="16.7109375" style="2037"/>
    <col min="6650" max="6650" width="11.5703125" style="2037" customWidth="1"/>
    <col min="6651" max="6651" width="50.140625" style="2037" customWidth="1"/>
    <col min="6652" max="6652" width="9.140625" style="2037" customWidth="1"/>
    <col min="6653" max="6653" width="7.140625" style="2037" customWidth="1"/>
    <col min="6654" max="6654" width="15.5703125" style="2037" customWidth="1"/>
    <col min="6655" max="6655" width="5.28515625" style="2037" customWidth="1"/>
    <col min="6656" max="6656" width="12" style="2037" customWidth="1"/>
    <col min="6657" max="6657" width="1.85546875" style="2037" customWidth="1"/>
    <col min="6658" max="6658" width="12.7109375" style="2037" customWidth="1"/>
    <col min="6659" max="6659" width="3.85546875" style="2037" customWidth="1"/>
    <col min="6660" max="6660" width="12" style="2037" customWidth="1"/>
    <col min="6661" max="6661" width="1.85546875" style="2037" customWidth="1"/>
    <col min="6662" max="6662" width="13.140625" style="2037" customWidth="1"/>
    <col min="6663" max="6663" width="5.5703125" style="2037" customWidth="1"/>
    <col min="6664" max="6664" width="11.85546875" style="2037" customWidth="1"/>
    <col min="6665" max="6665" width="4.42578125" style="2037" bestFit="1" customWidth="1"/>
    <col min="6666" max="6666" width="13" style="2037" customWidth="1"/>
    <col min="6667" max="6667" width="4" style="2037" bestFit="1" customWidth="1"/>
    <col min="6668" max="6668" width="13.140625" style="2037" customWidth="1"/>
    <col min="6669" max="6674" width="12.42578125" style="2037" customWidth="1"/>
    <col min="6675" max="6905" width="16.7109375" style="2037"/>
    <col min="6906" max="6906" width="11.5703125" style="2037" customWidth="1"/>
    <col min="6907" max="6907" width="50.140625" style="2037" customWidth="1"/>
    <col min="6908" max="6908" width="9.140625" style="2037" customWidth="1"/>
    <col min="6909" max="6909" width="7.140625" style="2037" customWidth="1"/>
    <col min="6910" max="6910" width="15.5703125" style="2037" customWidth="1"/>
    <col min="6911" max="6911" width="5.28515625" style="2037" customWidth="1"/>
    <col min="6912" max="6912" width="12" style="2037" customWidth="1"/>
    <col min="6913" max="6913" width="1.85546875" style="2037" customWidth="1"/>
    <col min="6914" max="6914" width="12.7109375" style="2037" customWidth="1"/>
    <col min="6915" max="6915" width="3.85546875" style="2037" customWidth="1"/>
    <col min="6916" max="6916" width="12" style="2037" customWidth="1"/>
    <col min="6917" max="6917" width="1.85546875" style="2037" customWidth="1"/>
    <col min="6918" max="6918" width="13.140625" style="2037" customWidth="1"/>
    <col min="6919" max="6919" width="5.5703125" style="2037" customWidth="1"/>
    <col min="6920" max="6920" width="11.85546875" style="2037" customWidth="1"/>
    <col min="6921" max="6921" width="4.42578125" style="2037" bestFit="1" customWidth="1"/>
    <col min="6922" max="6922" width="13" style="2037" customWidth="1"/>
    <col min="6923" max="6923" width="4" style="2037" bestFit="1" customWidth="1"/>
    <col min="6924" max="6924" width="13.140625" style="2037" customWidth="1"/>
    <col min="6925" max="6930" width="12.42578125" style="2037" customWidth="1"/>
    <col min="6931" max="7161" width="16.7109375" style="2037"/>
    <col min="7162" max="7162" width="11.5703125" style="2037" customWidth="1"/>
    <col min="7163" max="7163" width="50.140625" style="2037" customWidth="1"/>
    <col min="7164" max="7164" width="9.140625" style="2037" customWidth="1"/>
    <col min="7165" max="7165" width="7.140625" style="2037" customWidth="1"/>
    <col min="7166" max="7166" width="15.5703125" style="2037" customWidth="1"/>
    <col min="7167" max="7167" width="5.28515625" style="2037" customWidth="1"/>
    <col min="7168" max="7168" width="12" style="2037" customWidth="1"/>
    <col min="7169" max="7169" width="1.85546875" style="2037" customWidth="1"/>
    <col min="7170" max="7170" width="12.7109375" style="2037" customWidth="1"/>
    <col min="7171" max="7171" width="3.85546875" style="2037" customWidth="1"/>
    <col min="7172" max="7172" width="12" style="2037" customWidth="1"/>
    <col min="7173" max="7173" width="1.85546875" style="2037" customWidth="1"/>
    <col min="7174" max="7174" width="13.140625" style="2037" customWidth="1"/>
    <col min="7175" max="7175" width="5.5703125" style="2037" customWidth="1"/>
    <col min="7176" max="7176" width="11.85546875" style="2037" customWidth="1"/>
    <col min="7177" max="7177" width="4.42578125" style="2037" bestFit="1" customWidth="1"/>
    <col min="7178" max="7178" width="13" style="2037" customWidth="1"/>
    <col min="7179" max="7179" width="4" style="2037" bestFit="1" customWidth="1"/>
    <col min="7180" max="7180" width="13.140625" style="2037" customWidth="1"/>
    <col min="7181" max="7186" width="12.42578125" style="2037" customWidth="1"/>
    <col min="7187" max="7417" width="16.7109375" style="2037"/>
    <col min="7418" max="7418" width="11.5703125" style="2037" customWidth="1"/>
    <col min="7419" max="7419" width="50.140625" style="2037" customWidth="1"/>
    <col min="7420" max="7420" width="9.140625" style="2037" customWidth="1"/>
    <col min="7421" max="7421" width="7.140625" style="2037" customWidth="1"/>
    <col min="7422" max="7422" width="15.5703125" style="2037" customWidth="1"/>
    <col min="7423" max="7423" width="5.28515625" style="2037" customWidth="1"/>
    <col min="7424" max="7424" width="12" style="2037" customWidth="1"/>
    <col min="7425" max="7425" width="1.85546875" style="2037" customWidth="1"/>
    <col min="7426" max="7426" width="12.7109375" style="2037" customWidth="1"/>
    <col min="7427" max="7427" width="3.85546875" style="2037" customWidth="1"/>
    <col min="7428" max="7428" width="12" style="2037" customWidth="1"/>
    <col min="7429" max="7429" width="1.85546875" style="2037" customWidth="1"/>
    <col min="7430" max="7430" width="13.140625" style="2037" customWidth="1"/>
    <col min="7431" max="7431" width="5.5703125" style="2037" customWidth="1"/>
    <col min="7432" max="7432" width="11.85546875" style="2037" customWidth="1"/>
    <col min="7433" max="7433" width="4.42578125" style="2037" bestFit="1" customWidth="1"/>
    <col min="7434" max="7434" width="13" style="2037" customWidth="1"/>
    <col min="7435" max="7435" width="4" style="2037" bestFit="1" customWidth="1"/>
    <col min="7436" max="7436" width="13.140625" style="2037" customWidth="1"/>
    <col min="7437" max="7442" width="12.42578125" style="2037" customWidth="1"/>
    <col min="7443" max="7673" width="16.7109375" style="2037"/>
    <col min="7674" max="7674" width="11.5703125" style="2037" customWidth="1"/>
    <col min="7675" max="7675" width="50.140625" style="2037" customWidth="1"/>
    <col min="7676" max="7676" width="9.140625" style="2037" customWidth="1"/>
    <col min="7677" max="7677" width="7.140625" style="2037" customWidth="1"/>
    <col min="7678" max="7678" width="15.5703125" style="2037" customWidth="1"/>
    <col min="7679" max="7679" width="5.28515625" style="2037" customWidth="1"/>
    <col min="7680" max="7680" width="12" style="2037" customWidth="1"/>
    <col min="7681" max="7681" width="1.85546875" style="2037" customWidth="1"/>
    <col min="7682" max="7682" width="12.7109375" style="2037" customWidth="1"/>
    <col min="7683" max="7683" width="3.85546875" style="2037" customWidth="1"/>
    <col min="7684" max="7684" width="12" style="2037" customWidth="1"/>
    <col min="7685" max="7685" width="1.85546875" style="2037" customWidth="1"/>
    <col min="7686" max="7686" width="13.140625" style="2037" customWidth="1"/>
    <col min="7687" max="7687" width="5.5703125" style="2037" customWidth="1"/>
    <col min="7688" max="7688" width="11.85546875" style="2037" customWidth="1"/>
    <col min="7689" max="7689" width="4.42578125" style="2037" bestFit="1" customWidth="1"/>
    <col min="7690" max="7690" width="13" style="2037" customWidth="1"/>
    <col min="7691" max="7691" width="4" style="2037" bestFit="1" customWidth="1"/>
    <col min="7692" max="7692" width="13.140625" style="2037" customWidth="1"/>
    <col min="7693" max="7698" width="12.42578125" style="2037" customWidth="1"/>
    <col min="7699" max="7929" width="16.7109375" style="2037"/>
    <col min="7930" max="7930" width="11.5703125" style="2037" customWidth="1"/>
    <col min="7931" max="7931" width="50.140625" style="2037" customWidth="1"/>
    <col min="7932" max="7932" width="9.140625" style="2037" customWidth="1"/>
    <col min="7933" max="7933" width="7.140625" style="2037" customWidth="1"/>
    <col min="7934" max="7934" width="15.5703125" style="2037" customWidth="1"/>
    <col min="7935" max="7935" width="5.28515625" style="2037" customWidth="1"/>
    <col min="7936" max="7936" width="12" style="2037" customWidth="1"/>
    <col min="7937" max="7937" width="1.85546875" style="2037" customWidth="1"/>
    <col min="7938" max="7938" width="12.7109375" style="2037" customWidth="1"/>
    <col min="7939" max="7939" width="3.85546875" style="2037" customWidth="1"/>
    <col min="7940" max="7940" width="12" style="2037" customWidth="1"/>
    <col min="7941" max="7941" width="1.85546875" style="2037" customWidth="1"/>
    <col min="7942" max="7942" width="13.140625" style="2037" customWidth="1"/>
    <col min="7943" max="7943" width="5.5703125" style="2037" customWidth="1"/>
    <col min="7944" max="7944" width="11.85546875" style="2037" customWidth="1"/>
    <col min="7945" max="7945" width="4.42578125" style="2037" bestFit="1" customWidth="1"/>
    <col min="7946" max="7946" width="13" style="2037" customWidth="1"/>
    <col min="7947" max="7947" width="4" style="2037" bestFit="1" customWidth="1"/>
    <col min="7948" max="7948" width="13.140625" style="2037" customWidth="1"/>
    <col min="7949" max="7954" width="12.42578125" style="2037" customWidth="1"/>
    <col min="7955" max="8185" width="16.7109375" style="2037"/>
    <col min="8186" max="8186" width="11.5703125" style="2037" customWidth="1"/>
    <col min="8187" max="8187" width="50.140625" style="2037" customWidth="1"/>
    <col min="8188" max="8188" width="9.140625" style="2037" customWidth="1"/>
    <col min="8189" max="8189" width="7.140625" style="2037" customWidth="1"/>
    <col min="8190" max="8190" width="15.5703125" style="2037" customWidth="1"/>
    <col min="8191" max="8191" width="5.28515625" style="2037" customWidth="1"/>
    <col min="8192" max="8192" width="12" style="2037" customWidth="1"/>
    <col min="8193" max="8193" width="1.85546875" style="2037" customWidth="1"/>
    <col min="8194" max="8194" width="12.7109375" style="2037" customWidth="1"/>
    <col min="8195" max="8195" width="3.85546875" style="2037" customWidth="1"/>
    <col min="8196" max="8196" width="12" style="2037" customWidth="1"/>
    <col min="8197" max="8197" width="1.85546875" style="2037" customWidth="1"/>
    <col min="8198" max="8198" width="13.140625" style="2037" customWidth="1"/>
    <col min="8199" max="8199" width="5.5703125" style="2037" customWidth="1"/>
    <col min="8200" max="8200" width="11.85546875" style="2037" customWidth="1"/>
    <col min="8201" max="8201" width="4.42578125" style="2037" bestFit="1" customWidth="1"/>
    <col min="8202" max="8202" width="13" style="2037" customWidth="1"/>
    <col min="8203" max="8203" width="4" style="2037" bestFit="1" customWidth="1"/>
    <col min="8204" max="8204" width="13.140625" style="2037" customWidth="1"/>
    <col min="8205" max="8210" width="12.42578125" style="2037" customWidth="1"/>
    <col min="8211" max="8441" width="16.7109375" style="2037"/>
    <col min="8442" max="8442" width="11.5703125" style="2037" customWidth="1"/>
    <col min="8443" max="8443" width="50.140625" style="2037" customWidth="1"/>
    <col min="8444" max="8444" width="9.140625" style="2037" customWidth="1"/>
    <col min="8445" max="8445" width="7.140625" style="2037" customWidth="1"/>
    <col min="8446" max="8446" width="15.5703125" style="2037" customWidth="1"/>
    <col min="8447" max="8447" width="5.28515625" style="2037" customWidth="1"/>
    <col min="8448" max="8448" width="12" style="2037" customWidth="1"/>
    <col min="8449" max="8449" width="1.85546875" style="2037" customWidth="1"/>
    <col min="8450" max="8450" width="12.7109375" style="2037" customWidth="1"/>
    <col min="8451" max="8451" width="3.85546875" style="2037" customWidth="1"/>
    <col min="8452" max="8452" width="12" style="2037" customWidth="1"/>
    <col min="8453" max="8453" width="1.85546875" style="2037" customWidth="1"/>
    <col min="8454" max="8454" width="13.140625" style="2037" customWidth="1"/>
    <col min="8455" max="8455" width="5.5703125" style="2037" customWidth="1"/>
    <col min="8456" max="8456" width="11.85546875" style="2037" customWidth="1"/>
    <col min="8457" max="8457" width="4.42578125" style="2037" bestFit="1" customWidth="1"/>
    <col min="8458" max="8458" width="13" style="2037" customWidth="1"/>
    <col min="8459" max="8459" width="4" style="2037" bestFit="1" customWidth="1"/>
    <col min="8460" max="8460" width="13.140625" style="2037" customWidth="1"/>
    <col min="8461" max="8466" width="12.42578125" style="2037" customWidth="1"/>
    <col min="8467" max="8697" width="16.7109375" style="2037"/>
    <col min="8698" max="8698" width="11.5703125" style="2037" customWidth="1"/>
    <col min="8699" max="8699" width="50.140625" style="2037" customWidth="1"/>
    <col min="8700" max="8700" width="9.140625" style="2037" customWidth="1"/>
    <col min="8701" max="8701" width="7.140625" style="2037" customWidth="1"/>
    <col min="8702" max="8702" width="15.5703125" style="2037" customWidth="1"/>
    <col min="8703" max="8703" width="5.28515625" style="2037" customWidth="1"/>
    <col min="8704" max="8704" width="12" style="2037" customWidth="1"/>
    <col min="8705" max="8705" width="1.85546875" style="2037" customWidth="1"/>
    <col min="8706" max="8706" width="12.7109375" style="2037" customWidth="1"/>
    <col min="8707" max="8707" width="3.85546875" style="2037" customWidth="1"/>
    <col min="8708" max="8708" width="12" style="2037" customWidth="1"/>
    <col min="8709" max="8709" width="1.85546875" style="2037" customWidth="1"/>
    <col min="8710" max="8710" width="13.140625" style="2037" customWidth="1"/>
    <col min="8711" max="8711" width="5.5703125" style="2037" customWidth="1"/>
    <col min="8712" max="8712" width="11.85546875" style="2037" customWidth="1"/>
    <col min="8713" max="8713" width="4.42578125" style="2037" bestFit="1" customWidth="1"/>
    <col min="8714" max="8714" width="13" style="2037" customWidth="1"/>
    <col min="8715" max="8715" width="4" style="2037" bestFit="1" customWidth="1"/>
    <col min="8716" max="8716" width="13.140625" style="2037" customWidth="1"/>
    <col min="8717" max="8722" width="12.42578125" style="2037" customWidth="1"/>
    <col min="8723" max="8953" width="16.7109375" style="2037"/>
    <col min="8954" max="8954" width="11.5703125" style="2037" customWidth="1"/>
    <col min="8955" max="8955" width="50.140625" style="2037" customWidth="1"/>
    <col min="8956" max="8956" width="9.140625" style="2037" customWidth="1"/>
    <col min="8957" max="8957" width="7.140625" style="2037" customWidth="1"/>
    <col min="8958" max="8958" width="15.5703125" style="2037" customWidth="1"/>
    <col min="8959" max="8959" width="5.28515625" style="2037" customWidth="1"/>
    <col min="8960" max="8960" width="12" style="2037" customWidth="1"/>
    <col min="8961" max="8961" width="1.85546875" style="2037" customWidth="1"/>
    <col min="8962" max="8962" width="12.7109375" style="2037" customWidth="1"/>
    <col min="8963" max="8963" width="3.85546875" style="2037" customWidth="1"/>
    <col min="8964" max="8964" width="12" style="2037" customWidth="1"/>
    <col min="8965" max="8965" width="1.85546875" style="2037" customWidth="1"/>
    <col min="8966" max="8966" width="13.140625" style="2037" customWidth="1"/>
    <col min="8967" max="8967" width="5.5703125" style="2037" customWidth="1"/>
    <col min="8968" max="8968" width="11.85546875" style="2037" customWidth="1"/>
    <col min="8969" max="8969" width="4.42578125" style="2037" bestFit="1" customWidth="1"/>
    <col min="8970" max="8970" width="13" style="2037" customWidth="1"/>
    <col min="8971" max="8971" width="4" style="2037" bestFit="1" customWidth="1"/>
    <col min="8972" max="8972" width="13.140625" style="2037" customWidth="1"/>
    <col min="8973" max="8978" width="12.42578125" style="2037" customWidth="1"/>
    <col min="8979" max="9209" width="16.7109375" style="2037"/>
    <col min="9210" max="9210" width="11.5703125" style="2037" customWidth="1"/>
    <col min="9211" max="9211" width="50.140625" style="2037" customWidth="1"/>
    <col min="9212" max="9212" width="9.140625" style="2037" customWidth="1"/>
    <col min="9213" max="9213" width="7.140625" style="2037" customWidth="1"/>
    <col min="9214" max="9214" width="15.5703125" style="2037" customWidth="1"/>
    <col min="9215" max="9215" width="5.28515625" style="2037" customWidth="1"/>
    <col min="9216" max="9216" width="12" style="2037" customWidth="1"/>
    <col min="9217" max="9217" width="1.85546875" style="2037" customWidth="1"/>
    <col min="9218" max="9218" width="12.7109375" style="2037" customWidth="1"/>
    <col min="9219" max="9219" width="3.85546875" style="2037" customWidth="1"/>
    <col min="9220" max="9220" width="12" style="2037" customWidth="1"/>
    <col min="9221" max="9221" width="1.85546875" style="2037" customWidth="1"/>
    <col min="9222" max="9222" width="13.140625" style="2037" customWidth="1"/>
    <col min="9223" max="9223" width="5.5703125" style="2037" customWidth="1"/>
    <col min="9224" max="9224" width="11.85546875" style="2037" customWidth="1"/>
    <col min="9225" max="9225" width="4.42578125" style="2037" bestFit="1" customWidth="1"/>
    <col min="9226" max="9226" width="13" style="2037" customWidth="1"/>
    <col min="9227" max="9227" width="4" style="2037" bestFit="1" customWidth="1"/>
    <col min="9228" max="9228" width="13.140625" style="2037" customWidth="1"/>
    <col min="9229" max="9234" width="12.42578125" style="2037" customWidth="1"/>
    <col min="9235" max="9465" width="16.7109375" style="2037"/>
    <col min="9466" max="9466" width="11.5703125" style="2037" customWidth="1"/>
    <col min="9467" max="9467" width="50.140625" style="2037" customWidth="1"/>
    <col min="9468" max="9468" width="9.140625" style="2037" customWidth="1"/>
    <col min="9469" max="9469" width="7.140625" style="2037" customWidth="1"/>
    <col min="9470" max="9470" width="15.5703125" style="2037" customWidth="1"/>
    <col min="9471" max="9471" width="5.28515625" style="2037" customWidth="1"/>
    <col min="9472" max="9472" width="12" style="2037" customWidth="1"/>
    <col min="9473" max="9473" width="1.85546875" style="2037" customWidth="1"/>
    <col min="9474" max="9474" width="12.7109375" style="2037" customWidth="1"/>
    <col min="9475" max="9475" width="3.85546875" style="2037" customWidth="1"/>
    <col min="9476" max="9476" width="12" style="2037" customWidth="1"/>
    <col min="9477" max="9477" width="1.85546875" style="2037" customWidth="1"/>
    <col min="9478" max="9478" width="13.140625" style="2037" customWidth="1"/>
    <col min="9479" max="9479" width="5.5703125" style="2037" customWidth="1"/>
    <col min="9480" max="9480" width="11.85546875" style="2037" customWidth="1"/>
    <col min="9481" max="9481" width="4.42578125" style="2037" bestFit="1" customWidth="1"/>
    <col min="9482" max="9482" width="13" style="2037" customWidth="1"/>
    <col min="9483" max="9483" width="4" style="2037" bestFit="1" customWidth="1"/>
    <col min="9484" max="9484" width="13.140625" style="2037" customWidth="1"/>
    <col min="9485" max="9490" width="12.42578125" style="2037" customWidth="1"/>
    <col min="9491" max="9721" width="16.7109375" style="2037"/>
    <col min="9722" max="9722" width="11.5703125" style="2037" customWidth="1"/>
    <col min="9723" max="9723" width="50.140625" style="2037" customWidth="1"/>
    <col min="9724" max="9724" width="9.140625" style="2037" customWidth="1"/>
    <col min="9725" max="9725" width="7.140625" style="2037" customWidth="1"/>
    <col min="9726" max="9726" width="15.5703125" style="2037" customWidth="1"/>
    <col min="9727" max="9727" width="5.28515625" style="2037" customWidth="1"/>
    <col min="9728" max="9728" width="12" style="2037" customWidth="1"/>
    <col min="9729" max="9729" width="1.85546875" style="2037" customWidth="1"/>
    <col min="9730" max="9730" width="12.7109375" style="2037" customWidth="1"/>
    <col min="9731" max="9731" width="3.85546875" style="2037" customWidth="1"/>
    <col min="9732" max="9732" width="12" style="2037" customWidth="1"/>
    <col min="9733" max="9733" width="1.85546875" style="2037" customWidth="1"/>
    <col min="9734" max="9734" width="13.140625" style="2037" customWidth="1"/>
    <col min="9735" max="9735" width="5.5703125" style="2037" customWidth="1"/>
    <col min="9736" max="9736" width="11.85546875" style="2037" customWidth="1"/>
    <col min="9737" max="9737" width="4.42578125" style="2037" bestFit="1" customWidth="1"/>
    <col min="9738" max="9738" width="13" style="2037" customWidth="1"/>
    <col min="9739" max="9739" width="4" style="2037" bestFit="1" customWidth="1"/>
    <col min="9740" max="9740" width="13.140625" style="2037" customWidth="1"/>
    <col min="9741" max="9746" width="12.42578125" style="2037" customWidth="1"/>
    <col min="9747" max="9977" width="16.7109375" style="2037"/>
    <col min="9978" max="9978" width="11.5703125" style="2037" customWidth="1"/>
    <col min="9979" max="9979" width="50.140625" style="2037" customWidth="1"/>
    <col min="9980" max="9980" width="9.140625" style="2037" customWidth="1"/>
    <col min="9981" max="9981" width="7.140625" style="2037" customWidth="1"/>
    <col min="9982" max="9982" width="15.5703125" style="2037" customWidth="1"/>
    <col min="9983" max="9983" width="5.28515625" style="2037" customWidth="1"/>
    <col min="9984" max="9984" width="12" style="2037" customWidth="1"/>
    <col min="9985" max="9985" width="1.85546875" style="2037" customWidth="1"/>
    <col min="9986" max="9986" width="12.7109375" style="2037" customWidth="1"/>
    <col min="9987" max="9987" width="3.85546875" style="2037" customWidth="1"/>
    <col min="9988" max="9988" width="12" style="2037" customWidth="1"/>
    <col min="9989" max="9989" width="1.85546875" style="2037" customWidth="1"/>
    <col min="9990" max="9990" width="13.140625" style="2037" customWidth="1"/>
    <col min="9991" max="9991" width="5.5703125" style="2037" customWidth="1"/>
    <col min="9992" max="9992" width="11.85546875" style="2037" customWidth="1"/>
    <col min="9993" max="9993" width="4.42578125" style="2037" bestFit="1" customWidth="1"/>
    <col min="9994" max="9994" width="13" style="2037" customWidth="1"/>
    <col min="9995" max="9995" width="4" style="2037" bestFit="1" customWidth="1"/>
    <col min="9996" max="9996" width="13.140625" style="2037" customWidth="1"/>
    <col min="9997" max="10002" width="12.42578125" style="2037" customWidth="1"/>
    <col min="10003" max="10233" width="16.7109375" style="2037"/>
    <col min="10234" max="10234" width="11.5703125" style="2037" customWidth="1"/>
    <col min="10235" max="10235" width="50.140625" style="2037" customWidth="1"/>
    <col min="10236" max="10236" width="9.140625" style="2037" customWidth="1"/>
    <col min="10237" max="10237" width="7.140625" style="2037" customWidth="1"/>
    <col min="10238" max="10238" width="15.5703125" style="2037" customWidth="1"/>
    <col min="10239" max="10239" width="5.28515625" style="2037" customWidth="1"/>
    <col min="10240" max="10240" width="12" style="2037" customWidth="1"/>
    <col min="10241" max="10241" width="1.85546875" style="2037" customWidth="1"/>
    <col min="10242" max="10242" width="12.7109375" style="2037" customWidth="1"/>
    <col min="10243" max="10243" width="3.85546875" style="2037" customWidth="1"/>
    <col min="10244" max="10244" width="12" style="2037" customWidth="1"/>
    <col min="10245" max="10245" width="1.85546875" style="2037" customWidth="1"/>
    <col min="10246" max="10246" width="13.140625" style="2037" customWidth="1"/>
    <col min="10247" max="10247" width="5.5703125" style="2037" customWidth="1"/>
    <col min="10248" max="10248" width="11.85546875" style="2037" customWidth="1"/>
    <col min="10249" max="10249" width="4.42578125" style="2037" bestFit="1" customWidth="1"/>
    <col min="10250" max="10250" width="13" style="2037" customWidth="1"/>
    <col min="10251" max="10251" width="4" style="2037" bestFit="1" customWidth="1"/>
    <col min="10252" max="10252" width="13.140625" style="2037" customWidth="1"/>
    <col min="10253" max="10258" width="12.42578125" style="2037" customWidth="1"/>
    <col min="10259" max="10489" width="16.7109375" style="2037"/>
    <col min="10490" max="10490" width="11.5703125" style="2037" customWidth="1"/>
    <col min="10491" max="10491" width="50.140625" style="2037" customWidth="1"/>
    <col min="10492" max="10492" width="9.140625" style="2037" customWidth="1"/>
    <col min="10493" max="10493" width="7.140625" style="2037" customWidth="1"/>
    <col min="10494" max="10494" width="15.5703125" style="2037" customWidth="1"/>
    <col min="10495" max="10495" width="5.28515625" style="2037" customWidth="1"/>
    <col min="10496" max="10496" width="12" style="2037" customWidth="1"/>
    <col min="10497" max="10497" width="1.85546875" style="2037" customWidth="1"/>
    <col min="10498" max="10498" width="12.7109375" style="2037" customWidth="1"/>
    <col min="10499" max="10499" width="3.85546875" style="2037" customWidth="1"/>
    <col min="10500" max="10500" width="12" style="2037" customWidth="1"/>
    <col min="10501" max="10501" width="1.85546875" style="2037" customWidth="1"/>
    <col min="10502" max="10502" width="13.140625" style="2037" customWidth="1"/>
    <col min="10503" max="10503" width="5.5703125" style="2037" customWidth="1"/>
    <col min="10504" max="10504" width="11.85546875" style="2037" customWidth="1"/>
    <col min="10505" max="10505" width="4.42578125" style="2037" bestFit="1" customWidth="1"/>
    <col min="10506" max="10506" width="13" style="2037" customWidth="1"/>
    <col min="10507" max="10507" width="4" style="2037" bestFit="1" customWidth="1"/>
    <col min="10508" max="10508" width="13.140625" style="2037" customWidth="1"/>
    <col min="10509" max="10514" width="12.42578125" style="2037" customWidth="1"/>
    <col min="10515" max="10745" width="16.7109375" style="2037"/>
    <col min="10746" max="10746" width="11.5703125" style="2037" customWidth="1"/>
    <col min="10747" max="10747" width="50.140625" style="2037" customWidth="1"/>
    <col min="10748" max="10748" width="9.140625" style="2037" customWidth="1"/>
    <col min="10749" max="10749" width="7.140625" style="2037" customWidth="1"/>
    <col min="10750" max="10750" width="15.5703125" style="2037" customWidth="1"/>
    <col min="10751" max="10751" width="5.28515625" style="2037" customWidth="1"/>
    <col min="10752" max="10752" width="12" style="2037" customWidth="1"/>
    <col min="10753" max="10753" width="1.85546875" style="2037" customWidth="1"/>
    <col min="10754" max="10754" width="12.7109375" style="2037" customWidth="1"/>
    <col min="10755" max="10755" width="3.85546875" style="2037" customWidth="1"/>
    <col min="10756" max="10756" width="12" style="2037" customWidth="1"/>
    <col min="10757" max="10757" width="1.85546875" style="2037" customWidth="1"/>
    <col min="10758" max="10758" width="13.140625" style="2037" customWidth="1"/>
    <col min="10759" max="10759" width="5.5703125" style="2037" customWidth="1"/>
    <col min="10760" max="10760" width="11.85546875" style="2037" customWidth="1"/>
    <col min="10761" max="10761" width="4.42578125" style="2037" bestFit="1" customWidth="1"/>
    <col min="10762" max="10762" width="13" style="2037" customWidth="1"/>
    <col min="10763" max="10763" width="4" style="2037" bestFit="1" customWidth="1"/>
    <col min="10764" max="10764" width="13.140625" style="2037" customWidth="1"/>
    <col min="10765" max="10770" width="12.42578125" style="2037" customWidth="1"/>
    <col min="10771" max="11001" width="16.7109375" style="2037"/>
    <col min="11002" max="11002" width="11.5703125" style="2037" customWidth="1"/>
    <col min="11003" max="11003" width="50.140625" style="2037" customWidth="1"/>
    <col min="11004" max="11004" width="9.140625" style="2037" customWidth="1"/>
    <col min="11005" max="11005" width="7.140625" style="2037" customWidth="1"/>
    <col min="11006" max="11006" width="15.5703125" style="2037" customWidth="1"/>
    <col min="11007" max="11007" width="5.28515625" style="2037" customWidth="1"/>
    <col min="11008" max="11008" width="12" style="2037" customWidth="1"/>
    <col min="11009" max="11009" width="1.85546875" style="2037" customWidth="1"/>
    <col min="11010" max="11010" width="12.7109375" style="2037" customWidth="1"/>
    <col min="11011" max="11011" width="3.85546875" style="2037" customWidth="1"/>
    <col min="11012" max="11012" width="12" style="2037" customWidth="1"/>
    <col min="11013" max="11013" width="1.85546875" style="2037" customWidth="1"/>
    <col min="11014" max="11014" width="13.140625" style="2037" customWidth="1"/>
    <col min="11015" max="11015" width="5.5703125" style="2037" customWidth="1"/>
    <col min="11016" max="11016" width="11.85546875" style="2037" customWidth="1"/>
    <col min="11017" max="11017" width="4.42578125" style="2037" bestFit="1" customWidth="1"/>
    <col min="11018" max="11018" width="13" style="2037" customWidth="1"/>
    <col min="11019" max="11019" width="4" style="2037" bestFit="1" customWidth="1"/>
    <col min="11020" max="11020" width="13.140625" style="2037" customWidth="1"/>
    <col min="11021" max="11026" width="12.42578125" style="2037" customWidth="1"/>
    <col min="11027" max="11257" width="16.7109375" style="2037"/>
    <col min="11258" max="11258" width="11.5703125" style="2037" customWidth="1"/>
    <col min="11259" max="11259" width="50.140625" style="2037" customWidth="1"/>
    <col min="11260" max="11260" width="9.140625" style="2037" customWidth="1"/>
    <col min="11261" max="11261" width="7.140625" style="2037" customWidth="1"/>
    <col min="11262" max="11262" width="15.5703125" style="2037" customWidth="1"/>
    <col min="11263" max="11263" width="5.28515625" style="2037" customWidth="1"/>
    <col min="11264" max="11264" width="12" style="2037" customWidth="1"/>
    <col min="11265" max="11265" width="1.85546875" style="2037" customWidth="1"/>
    <col min="11266" max="11266" width="12.7109375" style="2037" customWidth="1"/>
    <col min="11267" max="11267" width="3.85546875" style="2037" customWidth="1"/>
    <col min="11268" max="11268" width="12" style="2037" customWidth="1"/>
    <col min="11269" max="11269" width="1.85546875" style="2037" customWidth="1"/>
    <col min="11270" max="11270" width="13.140625" style="2037" customWidth="1"/>
    <col min="11271" max="11271" width="5.5703125" style="2037" customWidth="1"/>
    <col min="11272" max="11272" width="11.85546875" style="2037" customWidth="1"/>
    <col min="11273" max="11273" width="4.42578125" style="2037" bestFit="1" customWidth="1"/>
    <col min="11274" max="11274" width="13" style="2037" customWidth="1"/>
    <col min="11275" max="11275" width="4" style="2037" bestFit="1" customWidth="1"/>
    <col min="11276" max="11276" width="13.140625" style="2037" customWidth="1"/>
    <col min="11277" max="11282" width="12.42578125" style="2037" customWidth="1"/>
    <col min="11283" max="11513" width="16.7109375" style="2037"/>
    <col min="11514" max="11514" width="11.5703125" style="2037" customWidth="1"/>
    <col min="11515" max="11515" width="50.140625" style="2037" customWidth="1"/>
    <col min="11516" max="11516" width="9.140625" style="2037" customWidth="1"/>
    <col min="11517" max="11517" width="7.140625" style="2037" customWidth="1"/>
    <col min="11518" max="11518" width="15.5703125" style="2037" customWidth="1"/>
    <col min="11519" max="11519" width="5.28515625" style="2037" customWidth="1"/>
    <col min="11520" max="11520" width="12" style="2037" customWidth="1"/>
    <col min="11521" max="11521" width="1.85546875" style="2037" customWidth="1"/>
    <col min="11522" max="11522" width="12.7109375" style="2037" customWidth="1"/>
    <col min="11523" max="11523" width="3.85546875" style="2037" customWidth="1"/>
    <col min="11524" max="11524" width="12" style="2037" customWidth="1"/>
    <col min="11525" max="11525" width="1.85546875" style="2037" customWidth="1"/>
    <col min="11526" max="11526" width="13.140625" style="2037" customWidth="1"/>
    <col min="11527" max="11527" width="5.5703125" style="2037" customWidth="1"/>
    <col min="11528" max="11528" width="11.85546875" style="2037" customWidth="1"/>
    <col min="11529" max="11529" width="4.42578125" style="2037" bestFit="1" customWidth="1"/>
    <col min="11530" max="11530" width="13" style="2037" customWidth="1"/>
    <col min="11531" max="11531" width="4" style="2037" bestFit="1" customWidth="1"/>
    <col min="11532" max="11532" width="13.140625" style="2037" customWidth="1"/>
    <col min="11533" max="11538" width="12.42578125" style="2037" customWidth="1"/>
    <col min="11539" max="11769" width="16.7109375" style="2037"/>
    <col min="11770" max="11770" width="11.5703125" style="2037" customWidth="1"/>
    <col min="11771" max="11771" width="50.140625" style="2037" customWidth="1"/>
    <col min="11772" max="11772" width="9.140625" style="2037" customWidth="1"/>
    <col min="11773" max="11773" width="7.140625" style="2037" customWidth="1"/>
    <col min="11774" max="11774" width="15.5703125" style="2037" customWidth="1"/>
    <col min="11775" max="11775" width="5.28515625" style="2037" customWidth="1"/>
    <col min="11776" max="11776" width="12" style="2037" customWidth="1"/>
    <col min="11777" max="11777" width="1.85546875" style="2037" customWidth="1"/>
    <col min="11778" max="11778" width="12.7109375" style="2037" customWidth="1"/>
    <col min="11779" max="11779" width="3.85546875" style="2037" customWidth="1"/>
    <col min="11780" max="11780" width="12" style="2037" customWidth="1"/>
    <col min="11781" max="11781" width="1.85546875" style="2037" customWidth="1"/>
    <col min="11782" max="11782" width="13.140625" style="2037" customWidth="1"/>
    <col min="11783" max="11783" width="5.5703125" style="2037" customWidth="1"/>
    <col min="11784" max="11784" width="11.85546875" style="2037" customWidth="1"/>
    <col min="11785" max="11785" width="4.42578125" style="2037" bestFit="1" customWidth="1"/>
    <col min="11786" max="11786" width="13" style="2037" customWidth="1"/>
    <col min="11787" max="11787" width="4" style="2037" bestFit="1" customWidth="1"/>
    <col min="11788" max="11788" width="13.140625" style="2037" customWidth="1"/>
    <col min="11789" max="11794" width="12.42578125" style="2037" customWidth="1"/>
    <col min="11795" max="12025" width="16.7109375" style="2037"/>
    <col min="12026" max="12026" width="11.5703125" style="2037" customWidth="1"/>
    <col min="12027" max="12027" width="50.140625" style="2037" customWidth="1"/>
    <col min="12028" max="12028" width="9.140625" style="2037" customWidth="1"/>
    <col min="12029" max="12029" width="7.140625" style="2037" customWidth="1"/>
    <col min="12030" max="12030" width="15.5703125" style="2037" customWidth="1"/>
    <col min="12031" max="12031" width="5.28515625" style="2037" customWidth="1"/>
    <col min="12032" max="12032" width="12" style="2037" customWidth="1"/>
    <col min="12033" max="12033" width="1.85546875" style="2037" customWidth="1"/>
    <col min="12034" max="12034" width="12.7109375" style="2037" customWidth="1"/>
    <col min="12035" max="12035" width="3.85546875" style="2037" customWidth="1"/>
    <col min="12036" max="12036" width="12" style="2037" customWidth="1"/>
    <col min="12037" max="12037" width="1.85546875" style="2037" customWidth="1"/>
    <col min="12038" max="12038" width="13.140625" style="2037" customWidth="1"/>
    <col min="12039" max="12039" width="5.5703125" style="2037" customWidth="1"/>
    <col min="12040" max="12040" width="11.85546875" style="2037" customWidth="1"/>
    <col min="12041" max="12041" width="4.42578125" style="2037" bestFit="1" customWidth="1"/>
    <col min="12042" max="12042" width="13" style="2037" customWidth="1"/>
    <col min="12043" max="12043" width="4" style="2037" bestFit="1" customWidth="1"/>
    <col min="12044" max="12044" width="13.140625" style="2037" customWidth="1"/>
    <col min="12045" max="12050" width="12.42578125" style="2037" customWidth="1"/>
    <col min="12051" max="12281" width="16.7109375" style="2037"/>
    <col min="12282" max="12282" width="11.5703125" style="2037" customWidth="1"/>
    <col min="12283" max="12283" width="50.140625" style="2037" customWidth="1"/>
    <col min="12284" max="12284" width="9.140625" style="2037" customWidth="1"/>
    <col min="12285" max="12285" width="7.140625" style="2037" customWidth="1"/>
    <col min="12286" max="12286" width="15.5703125" style="2037" customWidth="1"/>
    <col min="12287" max="12287" width="5.28515625" style="2037" customWidth="1"/>
    <col min="12288" max="12288" width="12" style="2037" customWidth="1"/>
    <col min="12289" max="12289" width="1.85546875" style="2037" customWidth="1"/>
    <col min="12290" max="12290" width="12.7109375" style="2037" customWidth="1"/>
    <col min="12291" max="12291" width="3.85546875" style="2037" customWidth="1"/>
    <col min="12292" max="12292" width="12" style="2037" customWidth="1"/>
    <col min="12293" max="12293" width="1.85546875" style="2037" customWidth="1"/>
    <col min="12294" max="12294" width="13.140625" style="2037" customWidth="1"/>
    <col min="12295" max="12295" width="5.5703125" style="2037" customWidth="1"/>
    <col min="12296" max="12296" width="11.85546875" style="2037" customWidth="1"/>
    <col min="12297" max="12297" width="4.42578125" style="2037" bestFit="1" customWidth="1"/>
    <col min="12298" max="12298" width="13" style="2037" customWidth="1"/>
    <col min="12299" max="12299" width="4" style="2037" bestFit="1" customWidth="1"/>
    <col min="12300" max="12300" width="13.140625" style="2037" customWidth="1"/>
    <col min="12301" max="12306" width="12.42578125" style="2037" customWidth="1"/>
    <col min="12307" max="12537" width="16.7109375" style="2037"/>
    <col min="12538" max="12538" width="11.5703125" style="2037" customWidth="1"/>
    <col min="12539" max="12539" width="50.140625" style="2037" customWidth="1"/>
    <col min="12540" max="12540" width="9.140625" style="2037" customWidth="1"/>
    <col min="12541" max="12541" width="7.140625" style="2037" customWidth="1"/>
    <col min="12542" max="12542" width="15.5703125" style="2037" customWidth="1"/>
    <col min="12543" max="12543" width="5.28515625" style="2037" customWidth="1"/>
    <col min="12544" max="12544" width="12" style="2037" customWidth="1"/>
    <col min="12545" max="12545" width="1.85546875" style="2037" customWidth="1"/>
    <col min="12546" max="12546" width="12.7109375" style="2037" customWidth="1"/>
    <col min="12547" max="12547" width="3.85546875" style="2037" customWidth="1"/>
    <col min="12548" max="12548" width="12" style="2037" customWidth="1"/>
    <col min="12549" max="12549" width="1.85546875" style="2037" customWidth="1"/>
    <col min="12550" max="12550" width="13.140625" style="2037" customWidth="1"/>
    <col min="12551" max="12551" width="5.5703125" style="2037" customWidth="1"/>
    <col min="12552" max="12552" width="11.85546875" style="2037" customWidth="1"/>
    <col min="12553" max="12553" width="4.42578125" style="2037" bestFit="1" customWidth="1"/>
    <col min="12554" max="12554" width="13" style="2037" customWidth="1"/>
    <col min="12555" max="12555" width="4" style="2037" bestFit="1" customWidth="1"/>
    <col min="12556" max="12556" width="13.140625" style="2037" customWidth="1"/>
    <col min="12557" max="12562" width="12.42578125" style="2037" customWidth="1"/>
    <col min="12563" max="12793" width="16.7109375" style="2037"/>
    <col min="12794" max="12794" width="11.5703125" style="2037" customWidth="1"/>
    <col min="12795" max="12795" width="50.140625" style="2037" customWidth="1"/>
    <col min="12796" max="12796" width="9.140625" style="2037" customWidth="1"/>
    <col min="12797" max="12797" width="7.140625" style="2037" customWidth="1"/>
    <col min="12798" max="12798" width="15.5703125" style="2037" customWidth="1"/>
    <col min="12799" max="12799" width="5.28515625" style="2037" customWidth="1"/>
    <col min="12800" max="12800" width="12" style="2037" customWidth="1"/>
    <col min="12801" max="12801" width="1.85546875" style="2037" customWidth="1"/>
    <col min="12802" max="12802" width="12.7109375" style="2037" customWidth="1"/>
    <col min="12803" max="12803" width="3.85546875" style="2037" customWidth="1"/>
    <col min="12804" max="12804" width="12" style="2037" customWidth="1"/>
    <col min="12805" max="12805" width="1.85546875" style="2037" customWidth="1"/>
    <col min="12806" max="12806" width="13.140625" style="2037" customWidth="1"/>
    <col min="12807" max="12807" width="5.5703125" style="2037" customWidth="1"/>
    <col min="12808" max="12808" width="11.85546875" style="2037" customWidth="1"/>
    <col min="12809" max="12809" width="4.42578125" style="2037" bestFit="1" customWidth="1"/>
    <col min="12810" max="12810" width="13" style="2037" customWidth="1"/>
    <col min="12811" max="12811" width="4" style="2037" bestFit="1" customWidth="1"/>
    <col min="12812" max="12812" width="13.140625" style="2037" customWidth="1"/>
    <col min="12813" max="12818" width="12.42578125" style="2037" customWidth="1"/>
    <col min="12819" max="13049" width="16.7109375" style="2037"/>
    <col min="13050" max="13050" width="11.5703125" style="2037" customWidth="1"/>
    <col min="13051" max="13051" width="50.140625" style="2037" customWidth="1"/>
    <col min="13052" max="13052" width="9.140625" style="2037" customWidth="1"/>
    <col min="13053" max="13053" width="7.140625" style="2037" customWidth="1"/>
    <col min="13054" max="13054" width="15.5703125" style="2037" customWidth="1"/>
    <col min="13055" max="13055" width="5.28515625" style="2037" customWidth="1"/>
    <col min="13056" max="13056" width="12" style="2037" customWidth="1"/>
    <col min="13057" max="13057" width="1.85546875" style="2037" customWidth="1"/>
    <col min="13058" max="13058" width="12.7109375" style="2037" customWidth="1"/>
    <col min="13059" max="13059" width="3.85546875" style="2037" customWidth="1"/>
    <col min="13060" max="13060" width="12" style="2037" customWidth="1"/>
    <col min="13061" max="13061" width="1.85546875" style="2037" customWidth="1"/>
    <col min="13062" max="13062" width="13.140625" style="2037" customWidth="1"/>
    <col min="13063" max="13063" width="5.5703125" style="2037" customWidth="1"/>
    <col min="13064" max="13064" width="11.85546875" style="2037" customWidth="1"/>
    <col min="13065" max="13065" width="4.42578125" style="2037" bestFit="1" customWidth="1"/>
    <col min="13066" max="13066" width="13" style="2037" customWidth="1"/>
    <col min="13067" max="13067" width="4" style="2037" bestFit="1" customWidth="1"/>
    <col min="13068" max="13068" width="13.140625" style="2037" customWidth="1"/>
    <col min="13069" max="13074" width="12.42578125" style="2037" customWidth="1"/>
    <col min="13075" max="13305" width="16.7109375" style="2037"/>
    <col min="13306" max="13306" width="11.5703125" style="2037" customWidth="1"/>
    <col min="13307" max="13307" width="50.140625" style="2037" customWidth="1"/>
    <col min="13308" max="13308" width="9.140625" style="2037" customWidth="1"/>
    <col min="13309" max="13309" width="7.140625" style="2037" customWidth="1"/>
    <col min="13310" max="13310" width="15.5703125" style="2037" customWidth="1"/>
    <col min="13311" max="13311" width="5.28515625" style="2037" customWidth="1"/>
    <col min="13312" max="13312" width="12" style="2037" customWidth="1"/>
    <col min="13313" max="13313" width="1.85546875" style="2037" customWidth="1"/>
    <col min="13314" max="13314" width="12.7109375" style="2037" customWidth="1"/>
    <col min="13315" max="13315" width="3.85546875" style="2037" customWidth="1"/>
    <col min="13316" max="13316" width="12" style="2037" customWidth="1"/>
    <col min="13317" max="13317" width="1.85546875" style="2037" customWidth="1"/>
    <col min="13318" max="13318" width="13.140625" style="2037" customWidth="1"/>
    <col min="13319" max="13319" width="5.5703125" style="2037" customWidth="1"/>
    <col min="13320" max="13320" width="11.85546875" style="2037" customWidth="1"/>
    <col min="13321" max="13321" width="4.42578125" style="2037" bestFit="1" customWidth="1"/>
    <col min="13322" max="13322" width="13" style="2037" customWidth="1"/>
    <col min="13323" max="13323" width="4" style="2037" bestFit="1" customWidth="1"/>
    <col min="13324" max="13324" width="13.140625" style="2037" customWidth="1"/>
    <col min="13325" max="13330" width="12.42578125" style="2037" customWidth="1"/>
    <col min="13331" max="13561" width="16.7109375" style="2037"/>
    <col min="13562" max="13562" width="11.5703125" style="2037" customWidth="1"/>
    <col min="13563" max="13563" width="50.140625" style="2037" customWidth="1"/>
    <col min="13564" max="13564" width="9.140625" style="2037" customWidth="1"/>
    <col min="13565" max="13565" width="7.140625" style="2037" customWidth="1"/>
    <col min="13566" max="13566" width="15.5703125" style="2037" customWidth="1"/>
    <col min="13567" max="13567" width="5.28515625" style="2037" customWidth="1"/>
    <col min="13568" max="13568" width="12" style="2037" customWidth="1"/>
    <col min="13569" max="13569" width="1.85546875" style="2037" customWidth="1"/>
    <col min="13570" max="13570" width="12.7109375" style="2037" customWidth="1"/>
    <col min="13571" max="13571" width="3.85546875" style="2037" customWidth="1"/>
    <col min="13572" max="13572" width="12" style="2037" customWidth="1"/>
    <col min="13573" max="13573" width="1.85546875" style="2037" customWidth="1"/>
    <col min="13574" max="13574" width="13.140625" style="2037" customWidth="1"/>
    <col min="13575" max="13575" width="5.5703125" style="2037" customWidth="1"/>
    <col min="13576" max="13576" width="11.85546875" style="2037" customWidth="1"/>
    <col min="13577" max="13577" width="4.42578125" style="2037" bestFit="1" customWidth="1"/>
    <col min="13578" max="13578" width="13" style="2037" customWidth="1"/>
    <col min="13579" max="13579" width="4" style="2037" bestFit="1" customWidth="1"/>
    <col min="13580" max="13580" width="13.140625" style="2037" customWidth="1"/>
    <col min="13581" max="13586" width="12.42578125" style="2037" customWidth="1"/>
    <col min="13587" max="13817" width="16.7109375" style="2037"/>
    <col min="13818" max="13818" width="11.5703125" style="2037" customWidth="1"/>
    <col min="13819" max="13819" width="50.140625" style="2037" customWidth="1"/>
    <col min="13820" max="13820" width="9.140625" style="2037" customWidth="1"/>
    <col min="13821" max="13821" width="7.140625" style="2037" customWidth="1"/>
    <col min="13822" max="13822" width="15.5703125" style="2037" customWidth="1"/>
    <col min="13823" max="13823" width="5.28515625" style="2037" customWidth="1"/>
    <col min="13824" max="13824" width="12" style="2037" customWidth="1"/>
    <col min="13825" max="13825" width="1.85546875" style="2037" customWidth="1"/>
    <col min="13826" max="13826" width="12.7109375" style="2037" customWidth="1"/>
    <col min="13827" max="13827" width="3.85546875" style="2037" customWidth="1"/>
    <col min="13828" max="13828" width="12" style="2037" customWidth="1"/>
    <col min="13829" max="13829" width="1.85546875" style="2037" customWidth="1"/>
    <col min="13830" max="13830" width="13.140625" style="2037" customWidth="1"/>
    <col min="13831" max="13831" width="5.5703125" style="2037" customWidth="1"/>
    <col min="13832" max="13832" width="11.85546875" style="2037" customWidth="1"/>
    <col min="13833" max="13833" width="4.42578125" style="2037" bestFit="1" customWidth="1"/>
    <col min="13834" max="13834" width="13" style="2037" customWidth="1"/>
    <col min="13835" max="13835" width="4" style="2037" bestFit="1" customWidth="1"/>
    <col min="13836" max="13836" width="13.140625" style="2037" customWidth="1"/>
    <col min="13837" max="13842" width="12.42578125" style="2037" customWidth="1"/>
    <col min="13843" max="14073" width="16.7109375" style="2037"/>
    <col min="14074" max="14074" width="11.5703125" style="2037" customWidth="1"/>
    <col min="14075" max="14075" width="50.140625" style="2037" customWidth="1"/>
    <col min="14076" max="14076" width="9.140625" style="2037" customWidth="1"/>
    <col min="14077" max="14077" width="7.140625" style="2037" customWidth="1"/>
    <col min="14078" max="14078" width="15.5703125" style="2037" customWidth="1"/>
    <col min="14079" max="14079" width="5.28515625" style="2037" customWidth="1"/>
    <col min="14080" max="14080" width="12" style="2037" customWidth="1"/>
    <col min="14081" max="14081" width="1.85546875" style="2037" customWidth="1"/>
    <col min="14082" max="14082" width="12.7109375" style="2037" customWidth="1"/>
    <col min="14083" max="14083" width="3.85546875" style="2037" customWidth="1"/>
    <col min="14084" max="14084" width="12" style="2037" customWidth="1"/>
    <col min="14085" max="14085" width="1.85546875" style="2037" customWidth="1"/>
    <col min="14086" max="14086" width="13.140625" style="2037" customWidth="1"/>
    <col min="14087" max="14087" width="5.5703125" style="2037" customWidth="1"/>
    <col min="14088" max="14088" width="11.85546875" style="2037" customWidth="1"/>
    <col min="14089" max="14089" width="4.42578125" style="2037" bestFit="1" customWidth="1"/>
    <col min="14090" max="14090" width="13" style="2037" customWidth="1"/>
    <col min="14091" max="14091" width="4" style="2037" bestFit="1" customWidth="1"/>
    <col min="14092" max="14092" width="13.140625" style="2037" customWidth="1"/>
    <col min="14093" max="14098" width="12.42578125" style="2037" customWidth="1"/>
    <col min="14099" max="14329" width="16.7109375" style="2037"/>
    <col min="14330" max="14330" width="11.5703125" style="2037" customWidth="1"/>
    <col min="14331" max="14331" width="50.140625" style="2037" customWidth="1"/>
    <col min="14332" max="14332" width="9.140625" style="2037" customWidth="1"/>
    <col min="14333" max="14333" width="7.140625" style="2037" customWidth="1"/>
    <col min="14334" max="14334" width="15.5703125" style="2037" customWidth="1"/>
    <col min="14335" max="14335" width="5.28515625" style="2037" customWidth="1"/>
    <col min="14336" max="14336" width="12" style="2037" customWidth="1"/>
    <col min="14337" max="14337" width="1.85546875" style="2037" customWidth="1"/>
    <col min="14338" max="14338" width="12.7109375" style="2037" customWidth="1"/>
    <col min="14339" max="14339" width="3.85546875" style="2037" customWidth="1"/>
    <col min="14340" max="14340" width="12" style="2037" customWidth="1"/>
    <col min="14341" max="14341" width="1.85546875" style="2037" customWidth="1"/>
    <col min="14342" max="14342" width="13.140625" style="2037" customWidth="1"/>
    <col min="14343" max="14343" width="5.5703125" style="2037" customWidth="1"/>
    <col min="14344" max="14344" width="11.85546875" style="2037" customWidth="1"/>
    <col min="14345" max="14345" width="4.42578125" style="2037" bestFit="1" customWidth="1"/>
    <col min="14346" max="14346" width="13" style="2037" customWidth="1"/>
    <col min="14347" max="14347" width="4" style="2037" bestFit="1" customWidth="1"/>
    <col min="14348" max="14348" width="13.140625" style="2037" customWidth="1"/>
    <col min="14349" max="14354" width="12.42578125" style="2037" customWidth="1"/>
    <col min="14355" max="14585" width="16.7109375" style="2037"/>
    <col min="14586" max="14586" width="11.5703125" style="2037" customWidth="1"/>
    <col min="14587" max="14587" width="50.140625" style="2037" customWidth="1"/>
    <col min="14588" max="14588" width="9.140625" style="2037" customWidth="1"/>
    <col min="14589" max="14589" width="7.140625" style="2037" customWidth="1"/>
    <col min="14590" max="14590" width="15.5703125" style="2037" customWidth="1"/>
    <col min="14591" max="14591" width="5.28515625" style="2037" customWidth="1"/>
    <col min="14592" max="14592" width="12" style="2037" customWidth="1"/>
    <col min="14593" max="14593" width="1.85546875" style="2037" customWidth="1"/>
    <col min="14594" max="14594" width="12.7109375" style="2037" customWidth="1"/>
    <col min="14595" max="14595" width="3.85546875" style="2037" customWidth="1"/>
    <col min="14596" max="14596" width="12" style="2037" customWidth="1"/>
    <col min="14597" max="14597" width="1.85546875" style="2037" customWidth="1"/>
    <col min="14598" max="14598" width="13.140625" style="2037" customWidth="1"/>
    <col min="14599" max="14599" width="5.5703125" style="2037" customWidth="1"/>
    <col min="14600" max="14600" width="11.85546875" style="2037" customWidth="1"/>
    <col min="14601" max="14601" width="4.42578125" style="2037" bestFit="1" customWidth="1"/>
    <col min="14602" max="14602" width="13" style="2037" customWidth="1"/>
    <col min="14603" max="14603" width="4" style="2037" bestFit="1" customWidth="1"/>
    <col min="14604" max="14604" width="13.140625" style="2037" customWidth="1"/>
    <col min="14605" max="14610" width="12.42578125" style="2037" customWidth="1"/>
    <col min="14611" max="14841" width="16.7109375" style="2037"/>
    <col min="14842" max="14842" width="11.5703125" style="2037" customWidth="1"/>
    <col min="14843" max="14843" width="50.140625" style="2037" customWidth="1"/>
    <col min="14844" max="14844" width="9.140625" style="2037" customWidth="1"/>
    <col min="14845" max="14845" width="7.140625" style="2037" customWidth="1"/>
    <col min="14846" max="14846" width="15.5703125" style="2037" customWidth="1"/>
    <col min="14847" max="14847" width="5.28515625" style="2037" customWidth="1"/>
    <col min="14848" max="14848" width="12" style="2037" customWidth="1"/>
    <col min="14849" max="14849" width="1.85546875" style="2037" customWidth="1"/>
    <col min="14850" max="14850" width="12.7109375" style="2037" customWidth="1"/>
    <col min="14851" max="14851" width="3.85546875" style="2037" customWidth="1"/>
    <col min="14852" max="14852" width="12" style="2037" customWidth="1"/>
    <col min="14853" max="14853" width="1.85546875" style="2037" customWidth="1"/>
    <col min="14854" max="14854" width="13.140625" style="2037" customWidth="1"/>
    <col min="14855" max="14855" width="5.5703125" style="2037" customWidth="1"/>
    <col min="14856" max="14856" width="11.85546875" style="2037" customWidth="1"/>
    <col min="14857" max="14857" width="4.42578125" style="2037" bestFit="1" customWidth="1"/>
    <col min="14858" max="14858" width="13" style="2037" customWidth="1"/>
    <col min="14859" max="14859" width="4" style="2037" bestFit="1" customWidth="1"/>
    <col min="14860" max="14860" width="13.140625" style="2037" customWidth="1"/>
    <col min="14861" max="14866" width="12.42578125" style="2037" customWidth="1"/>
    <col min="14867" max="15097" width="16.7109375" style="2037"/>
    <col min="15098" max="15098" width="11.5703125" style="2037" customWidth="1"/>
    <col min="15099" max="15099" width="50.140625" style="2037" customWidth="1"/>
    <col min="15100" max="15100" width="9.140625" style="2037" customWidth="1"/>
    <col min="15101" max="15101" width="7.140625" style="2037" customWidth="1"/>
    <col min="15102" max="15102" width="15.5703125" style="2037" customWidth="1"/>
    <col min="15103" max="15103" width="5.28515625" style="2037" customWidth="1"/>
    <col min="15104" max="15104" width="12" style="2037" customWidth="1"/>
    <col min="15105" max="15105" width="1.85546875" style="2037" customWidth="1"/>
    <col min="15106" max="15106" width="12.7109375" style="2037" customWidth="1"/>
    <col min="15107" max="15107" width="3.85546875" style="2037" customWidth="1"/>
    <col min="15108" max="15108" width="12" style="2037" customWidth="1"/>
    <col min="15109" max="15109" width="1.85546875" style="2037" customWidth="1"/>
    <col min="15110" max="15110" width="13.140625" style="2037" customWidth="1"/>
    <col min="15111" max="15111" width="5.5703125" style="2037" customWidth="1"/>
    <col min="15112" max="15112" width="11.85546875" style="2037" customWidth="1"/>
    <col min="15113" max="15113" width="4.42578125" style="2037" bestFit="1" customWidth="1"/>
    <col min="15114" max="15114" width="13" style="2037" customWidth="1"/>
    <col min="15115" max="15115" width="4" style="2037" bestFit="1" customWidth="1"/>
    <col min="15116" max="15116" width="13.140625" style="2037" customWidth="1"/>
    <col min="15117" max="15122" width="12.42578125" style="2037" customWidth="1"/>
    <col min="15123" max="15353" width="16.7109375" style="2037"/>
    <col min="15354" max="15354" width="11.5703125" style="2037" customWidth="1"/>
    <col min="15355" max="15355" width="50.140625" style="2037" customWidth="1"/>
    <col min="15356" max="15356" width="9.140625" style="2037" customWidth="1"/>
    <col min="15357" max="15357" width="7.140625" style="2037" customWidth="1"/>
    <col min="15358" max="15358" width="15.5703125" style="2037" customWidth="1"/>
    <col min="15359" max="15359" width="5.28515625" style="2037" customWidth="1"/>
    <col min="15360" max="15360" width="12" style="2037" customWidth="1"/>
    <col min="15361" max="15361" width="1.85546875" style="2037" customWidth="1"/>
    <col min="15362" max="15362" width="12.7109375" style="2037" customWidth="1"/>
    <col min="15363" max="15363" width="3.85546875" style="2037" customWidth="1"/>
    <col min="15364" max="15364" width="12" style="2037" customWidth="1"/>
    <col min="15365" max="15365" width="1.85546875" style="2037" customWidth="1"/>
    <col min="15366" max="15366" width="13.140625" style="2037" customWidth="1"/>
    <col min="15367" max="15367" width="5.5703125" style="2037" customWidth="1"/>
    <col min="15368" max="15368" width="11.85546875" style="2037" customWidth="1"/>
    <col min="15369" max="15369" width="4.42578125" style="2037" bestFit="1" customWidth="1"/>
    <col min="15370" max="15370" width="13" style="2037" customWidth="1"/>
    <col min="15371" max="15371" width="4" style="2037" bestFit="1" customWidth="1"/>
    <col min="15372" max="15372" width="13.140625" style="2037" customWidth="1"/>
    <col min="15373" max="15378" width="12.42578125" style="2037" customWidth="1"/>
    <col min="15379" max="15609" width="16.7109375" style="2037"/>
    <col min="15610" max="15610" width="11.5703125" style="2037" customWidth="1"/>
    <col min="15611" max="15611" width="50.140625" style="2037" customWidth="1"/>
    <col min="15612" max="15612" width="9.140625" style="2037" customWidth="1"/>
    <col min="15613" max="15613" width="7.140625" style="2037" customWidth="1"/>
    <col min="15614" max="15614" width="15.5703125" style="2037" customWidth="1"/>
    <col min="15615" max="15615" width="5.28515625" style="2037" customWidth="1"/>
    <col min="15616" max="15616" width="12" style="2037" customWidth="1"/>
    <col min="15617" max="15617" width="1.85546875" style="2037" customWidth="1"/>
    <col min="15618" max="15618" width="12.7109375" style="2037" customWidth="1"/>
    <col min="15619" max="15619" width="3.85546875" style="2037" customWidth="1"/>
    <col min="15620" max="15620" width="12" style="2037" customWidth="1"/>
    <col min="15621" max="15621" width="1.85546875" style="2037" customWidth="1"/>
    <col min="15622" max="15622" width="13.140625" style="2037" customWidth="1"/>
    <col min="15623" max="15623" width="5.5703125" style="2037" customWidth="1"/>
    <col min="15624" max="15624" width="11.85546875" style="2037" customWidth="1"/>
    <col min="15625" max="15625" width="4.42578125" style="2037" bestFit="1" customWidth="1"/>
    <col min="15626" max="15626" width="13" style="2037" customWidth="1"/>
    <col min="15627" max="15627" width="4" style="2037" bestFit="1" customWidth="1"/>
    <col min="15628" max="15628" width="13.140625" style="2037" customWidth="1"/>
    <col min="15629" max="15634" width="12.42578125" style="2037" customWidth="1"/>
    <col min="15635" max="15865" width="16.7109375" style="2037"/>
    <col min="15866" max="15866" width="11.5703125" style="2037" customWidth="1"/>
    <col min="15867" max="15867" width="50.140625" style="2037" customWidth="1"/>
    <col min="15868" max="15868" width="9.140625" style="2037" customWidth="1"/>
    <col min="15869" max="15869" width="7.140625" style="2037" customWidth="1"/>
    <col min="15870" max="15870" width="15.5703125" style="2037" customWidth="1"/>
    <col min="15871" max="15871" width="5.28515625" style="2037" customWidth="1"/>
    <col min="15872" max="15872" width="12" style="2037" customWidth="1"/>
    <col min="15873" max="15873" width="1.85546875" style="2037" customWidth="1"/>
    <col min="15874" max="15874" width="12.7109375" style="2037" customWidth="1"/>
    <col min="15875" max="15875" width="3.85546875" style="2037" customWidth="1"/>
    <col min="15876" max="15876" width="12" style="2037" customWidth="1"/>
    <col min="15877" max="15877" width="1.85546875" style="2037" customWidth="1"/>
    <col min="15878" max="15878" width="13.140625" style="2037" customWidth="1"/>
    <col min="15879" max="15879" width="5.5703125" style="2037" customWidth="1"/>
    <col min="15880" max="15880" width="11.85546875" style="2037" customWidth="1"/>
    <col min="15881" max="15881" width="4.42578125" style="2037" bestFit="1" customWidth="1"/>
    <col min="15882" max="15882" width="13" style="2037" customWidth="1"/>
    <col min="15883" max="15883" width="4" style="2037" bestFit="1" customWidth="1"/>
    <col min="15884" max="15884" width="13.140625" style="2037" customWidth="1"/>
    <col min="15885" max="15890" width="12.42578125" style="2037" customWidth="1"/>
    <col min="15891" max="16121" width="16.7109375" style="2037"/>
    <col min="16122" max="16122" width="11.5703125" style="2037" customWidth="1"/>
    <col min="16123" max="16123" width="50.140625" style="2037" customWidth="1"/>
    <col min="16124" max="16124" width="9.140625" style="2037" customWidth="1"/>
    <col min="16125" max="16125" width="7.140625" style="2037" customWidth="1"/>
    <col min="16126" max="16126" width="15.5703125" style="2037" customWidth="1"/>
    <col min="16127" max="16127" width="5.28515625" style="2037" customWidth="1"/>
    <col min="16128" max="16128" width="12" style="2037" customWidth="1"/>
    <col min="16129" max="16129" width="1.85546875" style="2037" customWidth="1"/>
    <col min="16130" max="16130" width="12.7109375" style="2037" customWidth="1"/>
    <col min="16131" max="16131" width="3.85546875" style="2037" customWidth="1"/>
    <col min="16132" max="16132" width="12" style="2037" customWidth="1"/>
    <col min="16133" max="16133" width="1.85546875" style="2037" customWidth="1"/>
    <col min="16134" max="16134" width="13.140625" style="2037" customWidth="1"/>
    <col min="16135" max="16135" width="5.5703125" style="2037" customWidth="1"/>
    <col min="16136" max="16136" width="11.85546875" style="2037" customWidth="1"/>
    <col min="16137" max="16137" width="4.42578125" style="2037" bestFit="1" customWidth="1"/>
    <col min="16138" max="16138" width="13" style="2037" customWidth="1"/>
    <col min="16139" max="16139" width="4" style="2037" bestFit="1" customWidth="1"/>
    <col min="16140" max="16140" width="13.140625" style="2037" customWidth="1"/>
    <col min="16141" max="16146" width="12.42578125" style="2037" customWidth="1"/>
    <col min="16147" max="16384" width="16.7109375" style="2037"/>
  </cols>
  <sheetData>
    <row r="1" spans="1:19" ht="15.95" customHeight="1" x14ac:dyDescent="0.25">
      <c r="A1" s="2692" t="s">
        <v>2071</v>
      </c>
      <c r="B1" s="2692"/>
      <c r="C1" s="2692"/>
      <c r="D1" s="2692"/>
      <c r="E1" s="2692"/>
      <c r="F1" s="2692"/>
      <c r="G1" s="2692"/>
      <c r="H1" s="2692"/>
      <c r="I1" s="2692"/>
      <c r="J1" s="2692"/>
      <c r="K1" s="2692"/>
      <c r="L1" s="2692"/>
      <c r="M1" s="2692"/>
      <c r="N1" s="2692"/>
      <c r="O1" s="2692"/>
      <c r="P1" s="2692"/>
      <c r="Q1" s="2692"/>
      <c r="R1" s="2692"/>
      <c r="S1" s="2692"/>
    </row>
    <row r="2" spans="1:19" ht="15.95" customHeight="1" x14ac:dyDescent="0.25">
      <c r="A2" s="2692" t="s">
        <v>2060</v>
      </c>
      <c r="B2" s="2692"/>
      <c r="C2" s="2692"/>
      <c r="D2" s="2692"/>
      <c r="E2" s="2692"/>
      <c r="F2" s="2692"/>
      <c r="G2" s="2692"/>
      <c r="H2" s="2692"/>
      <c r="I2" s="2692"/>
      <c r="J2" s="2692"/>
      <c r="K2" s="2692"/>
      <c r="L2" s="2692"/>
      <c r="M2" s="2692"/>
      <c r="N2" s="2692"/>
      <c r="O2" s="2692"/>
      <c r="P2" s="2692"/>
      <c r="Q2" s="2692"/>
      <c r="R2" s="2692"/>
      <c r="S2" s="2692"/>
    </row>
    <row r="3" spans="1:19" ht="15.95" customHeight="1" x14ac:dyDescent="0.25">
      <c r="A3" s="2692" t="s">
        <v>1208</v>
      </c>
      <c r="B3" s="2692"/>
      <c r="C3" s="2692"/>
      <c r="D3" s="2692"/>
      <c r="E3" s="2692"/>
      <c r="F3" s="2692"/>
      <c r="G3" s="2692"/>
      <c r="H3" s="2692"/>
      <c r="I3" s="2692"/>
      <c r="J3" s="2692"/>
      <c r="K3" s="2692"/>
      <c r="L3" s="2692"/>
      <c r="M3" s="2692"/>
      <c r="N3" s="2692"/>
      <c r="O3" s="2692"/>
      <c r="P3" s="2692"/>
      <c r="Q3" s="2692"/>
      <c r="R3" s="2692"/>
      <c r="S3" s="2692"/>
    </row>
    <row r="4" spans="1:19" ht="15.95" customHeight="1" x14ac:dyDescent="0.25">
      <c r="A4" s="2693" t="s">
        <v>2193</v>
      </c>
      <c r="B4" s="2693"/>
      <c r="C4" s="2693"/>
      <c r="D4" s="2693"/>
      <c r="E4" s="2693"/>
      <c r="F4" s="2693"/>
      <c r="G4" s="2693"/>
      <c r="H4" s="2693"/>
      <c r="I4" s="2693"/>
      <c r="J4" s="2693"/>
      <c r="K4" s="2693"/>
      <c r="L4" s="2693"/>
      <c r="M4" s="2693"/>
      <c r="N4" s="2693"/>
      <c r="O4" s="2693"/>
      <c r="P4" s="2693"/>
      <c r="Q4" s="2693"/>
      <c r="R4" s="2693"/>
      <c r="S4" s="2693"/>
    </row>
    <row r="5" spans="1:19" ht="15.95" customHeight="1" x14ac:dyDescent="0.25">
      <c r="A5" s="2038"/>
      <c r="B5" s="2038"/>
      <c r="C5" s="2038"/>
      <c r="D5" s="2038"/>
      <c r="E5" s="2038"/>
      <c r="F5" s="2038"/>
      <c r="G5" s="2039"/>
      <c r="H5" s="2036"/>
      <c r="I5" s="2039"/>
      <c r="J5" s="2040"/>
      <c r="K5" s="2039"/>
      <c r="L5" s="2036"/>
      <c r="M5" s="2036"/>
      <c r="N5" s="2036"/>
      <c r="O5" s="2036"/>
      <c r="P5" s="2036"/>
      <c r="Q5" s="2036"/>
      <c r="R5" s="2036"/>
      <c r="S5" s="2036"/>
    </row>
    <row r="6" spans="1:19" ht="15.95" customHeight="1" x14ac:dyDescent="0.25">
      <c r="A6" s="2038"/>
      <c r="B6" s="2038"/>
      <c r="C6" s="2038"/>
      <c r="D6" s="2038"/>
      <c r="E6" s="2038"/>
      <c r="F6" s="2038"/>
      <c r="G6" s="2039"/>
      <c r="H6" s="2036"/>
      <c r="I6" s="2039"/>
      <c r="J6" s="2040"/>
      <c r="K6" s="2039"/>
      <c r="L6" s="2036"/>
      <c r="M6" s="2036"/>
      <c r="N6" s="2036"/>
      <c r="O6" s="2036"/>
      <c r="P6" s="2036"/>
      <c r="Q6" s="2036"/>
      <c r="R6" s="2036"/>
      <c r="S6" s="2036"/>
    </row>
    <row r="7" spans="1:19" ht="20.45" customHeight="1" x14ac:dyDescent="0.25">
      <c r="A7" s="2040"/>
      <c r="B7" s="2039"/>
      <c r="C7" s="2036"/>
      <c r="D7" s="2036"/>
      <c r="E7" s="2040" t="s">
        <v>2072</v>
      </c>
      <c r="F7" s="2040"/>
      <c r="G7" s="2041" t="s">
        <v>2073</v>
      </c>
      <c r="H7" s="2041"/>
      <c r="I7" s="2041"/>
      <c r="J7" s="2040"/>
      <c r="K7" s="2041" t="s">
        <v>2074</v>
      </c>
      <c r="L7" s="2041"/>
      <c r="M7" s="2041"/>
      <c r="N7" s="2036"/>
      <c r="O7" s="2036"/>
      <c r="P7" s="2036"/>
      <c r="Q7" s="2036"/>
      <c r="R7" s="2036"/>
      <c r="S7" s="2036"/>
    </row>
    <row r="8" spans="1:19" ht="15.95" customHeight="1" x14ac:dyDescent="0.25">
      <c r="A8" s="2040"/>
      <c r="B8" s="2039"/>
      <c r="C8" s="2040" t="s">
        <v>1253</v>
      </c>
      <c r="D8" s="2036"/>
      <c r="E8" s="2040" t="s">
        <v>2075</v>
      </c>
      <c r="F8" s="2040"/>
      <c r="G8" s="2040" t="s">
        <v>2076</v>
      </c>
      <c r="H8" s="2036"/>
      <c r="I8" s="2042" t="s">
        <v>2077</v>
      </c>
      <c r="J8" s="2040"/>
      <c r="K8" s="2042" t="str">
        <f>+G8</f>
        <v xml:space="preserve">Prior to </v>
      </c>
      <c r="L8" s="2036"/>
      <c r="M8" s="2042" t="str">
        <f>+I8</f>
        <v>7/01/19-</v>
      </c>
      <c r="N8" s="2036"/>
      <c r="O8" s="2040" t="s">
        <v>1250</v>
      </c>
      <c r="P8" s="2036"/>
      <c r="Q8" s="2040" t="s">
        <v>2078</v>
      </c>
      <c r="R8" s="2036"/>
      <c r="S8" s="2039" t="s">
        <v>1159</v>
      </c>
    </row>
    <row r="9" spans="1:19" ht="15.95" customHeight="1" x14ac:dyDescent="0.25">
      <c r="A9" s="2039" t="s">
        <v>2079</v>
      </c>
      <c r="B9" s="2039"/>
      <c r="C9" s="2040" t="s">
        <v>2080</v>
      </c>
      <c r="D9" s="2036"/>
      <c r="E9" s="2040" t="s">
        <v>2080</v>
      </c>
      <c r="F9" s="2040"/>
      <c r="G9" s="2043" t="s">
        <v>2081</v>
      </c>
      <c r="H9" s="2036"/>
      <c r="I9" s="2043" t="s">
        <v>2082</v>
      </c>
      <c r="J9" s="2040"/>
      <c r="K9" s="2044" t="str">
        <f>+G9</f>
        <v>6/30/19</v>
      </c>
      <c r="L9" s="2036"/>
      <c r="M9" s="2044" t="str">
        <f>+I9</f>
        <v>6/30/20</v>
      </c>
      <c r="N9" s="2036"/>
      <c r="O9" s="2040" t="s">
        <v>2083</v>
      </c>
      <c r="P9" s="2036"/>
      <c r="Q9" s="2040" t="s">
        <v>1246</v>
      </c>
      <c r="R9" s="2036"/>
      <c r="S9" s="2040" t="s">
        <v>30</v>
      </c>
    </row>
    <row r="10" spans="1:19" ht="18" customHeight="1" x14ac:dyDescent="0.25">
      <c r="A10" s="2045" t="s">
        <v>2084</v>
      </c>
      <c r="B10" s="2036"/>
      <c r="C10" s="2046" t="s">
        <v>2085</v>
      </c>
      <c r="D10" s="2036"/>
      <c r="E10" s="2046" t="s">
        <v>2086</v>
      </c>
      <c r="F10" s="2040"/>
      <c r="G10" s="2046" t="s">
        <v>2087</v>
      </c>
      <c r="H10" s="2036"/>
      <c r="I10" s="2046" t="s">
        <v>2088</v>
      </c>
      <c r="J10" s="2040"/>
      <c r="K10" s="2046" t="s">
        <v>2089</v>
      </c>
      <c r="L10" s="2036"/>
      <c r="M10" s="2046" t="s">
        <v>2090</v>
      </c>
      <c r="N10" s="2036" t="s">
        <v>2091</v>
      </c>
      <c r="O10" s="2046" t="s">
        <v>2092</v>
      </c>
      <c r="P10" s="2036"/>
      <c r="Q10" s="2046" t="s">
        <v>2093</v>
      </c>
      <c r="R10" s="2036"/>
      <c r="S10" s="2046" t="s">
        <v>2094</v>
      </c>
    </row>
    <row r="11" spans="1:19" ht="15.95" customHeight="1" x14ac:dyDescent="0.25">
      <c r="A11" s="2045"/>
      <c r="B11" s="2036"/>
      <c r="C11" s="2046"/>
      <c r="D11" s="2036"/>
      <c r="E11" s="2046"/>
      <c r="F11" s="2040"/>
      <c r="G11" s="2046"/>
      <c r="H11" s="2036"/>
      <c r="I11" s="2046"/>
      <c r="J11" s="2040"/>
      <c r="K11" s="2046"/>
      <c r="L11" s="2036"/>
      <c r="M11" s="2046"/>
      <c r="N11" s="2036"/>
      <c r="O11" s="2046"/>
      <c r="P11" s="2036"/>
      <c r="Q11" s="2046"/>
      <c r="R11" s="2036"/>
      <c r="S11" s="2046"/>
    </row>
    <row r="12" spans="1:19" ht="17.25" customHeight="1" x14ac:dyDescent="0.25">
      <c r="A12" s="2047" t="s">
        <v>2095</v>
      </c>
      <c r="B12" s="2036"/>
      <c r="C12" s="2046"/>
      <c r="D12" s="2036"/>
      <c r="E12" s="2046"/>
      <c r="F12" s="2040"/>
      <c r="G12" s="2046"/>
      <c r="H12" s="2036"/>
      <c r="I12" s="2046"/>
      <c r="J12" s="2040"/>
      <c r="K12" s="2046"/>
      <c r="L12" s="2036"/>
      <c r="M12" s="2046"/>
      <c r="N12" s="2036"/>
      <c r="O12" s="2046"/>
      <c r="P12" s="2036"/>
      <c r="Q12" s="2046"/>
      <c r="R12" s="2036"/>
      <c r="S12" s="2046"/>
    </row>
    <row r="13" spans="1:19" ht="17.25" customHeight="1" x14ac:dyDescent="0.25">
      <c r="A13" s="2047" t="s">
        <v>2096</v>
      </c>
      <c r="B13" s="2049"/>
      <c r="C13" s="2046"/>
      <c r="D13" s="2036"/>
      <c r="E13" s="2046"/>
      <c r="F13" s="2040"/>
      <c r="G13" s="2046"/>
      <c r="H13" s="2036"/>
      <c r="I13" s="2046"/>
      <c r="J13" s="2040"/>
      <c r="K13" s="2046"/>
      <c r="L13" s="2036"/>
      <c r="M13" s="2046"/>
      <c r="N13" s="2036"/>
      <c r="O13" s="2046"/>
      <c r="P13" s="2036"/>
      <c r="Q13" s="2046"/>
      <c r="R13" s="2036"/>
      <c r="S13" s="2046"/>
    </row>
    <row r="14" spans="1:19" ht="17.25" customHeight="1" x14ac:dyDescent="0.25">
      <c r="A14" s="2050" t="s">
        <v>2097</v>
      </c>
      <c r="B14" s="2036"/>
      <c r="C14" s="2036"/>
      <c r="D14" s="2036"/>
      <c r="E14" s="2036"/>
      <c r="F14" s="2040"/>
      <c r="G14" s="2036"/>
      <c r="H14" s="2036"/>
      <c r="I14" s="2036"/>
      <c r="J14" s="2040"/>
      <c r="K14" s="2036"/>
      <c r="L14" s="2036"/>
      <c r="M14" s="2036"/>
      <c r="N14" s="2036"/>
      <c r="O14" s="2036"/>
      <c r="P14" s="2036"/>
      <c r="Q14" s="2036"/>
      <c r="R14" s="2036"/>
      <c r="S14" s="2036"/>
    </row>
    <row r="15" spans="1:19" ht="17.25" customHeight="1" x14ac:dyDescent="0.25">
      <c r="A15" s="2051"/>
      <c r="B15" s="2036"/>
      <c r="C15" s="2036"/>
      <c r="D15" s="2036"/>
      <c r="E15" s="2042"/>
      <c r="F15" s="2040"/>
      <c r="G15" s="2036"/>
      <c r="H15" s="2036"/>
      <c r="I15" s="2036"/>
      <c r="J15" s="2040"/>
      <c r="K15" s="2036"/>
      <c r="L15" s="2036"/>
      <c r="M15" s="2036"/>
      <c r="N15" s="2036"/>
      <c r="O15" s="2036"/>
      <c r="P15" s="2036"/>
      <c r="Q15" s="2036"/>
      <c r="R15" s="2036"/>
      <c r="S15" s="2036"/>
    </row>
    <row r="16" spans="1:19" ht="17.25" customHeight="1" x14ac:dyDescent="0.4">
      <c r="A16" s="2051"/>
      <c r="B16" s="2039" t="s">
        <v>1050</v>
      </c>
      <c r="C16" s="2052">
        <v>10.553000000000001</v>
      </c>
      <c r="D16" s="2036"/>
      <c r="E16" s="2042" t="s">
        <v>2098</v>
      </c>
      <c r="F16" s="2040"/>
      <c r="G16" s="2053">
        <v>60031</v>
      </c>
      <c r="H16" s="2054"/>
      <c r="I16" s="2053">
        <v>12953</v>
      </c>
      <c r="J16" s="2054"/>
      <c r="K16" s="2053">
        <v>60031</v>
      </c>
      <c r="L16" s="2054"/>
      <c r="M16" s="2053">
        <v>12954</v>
      </c>
      <c r="N16" s="2053"/>
      <c r="O16" s="2053"/>
      <c r="P16" s="2053"/>
      <c r="Q16" s="2055">
        <f>K16+M16+O16</f>
        <v>72985</v>
      </c>
      <c r="R16" s="2053"/>
      <c r="S16" s="2056" t="s">
        <v>2099</v>
      </c>
    </row>
    <row r="17" spans="1:22" ht="17.25" customHeight="1" x14ac:dyDescent="0.4">
      <c r="A17" s="2051"/>
      <c r="B17" s="2039" t="s">
        <v>1050</v>
      </c>
      <c r="C17" s="2052">
        <v>10.553000000000001</v>
      </c>
      <c r="D17" s="2036"/>
      <c r="E17" s="2042" t="s">
        <v>2100</v>
      </c>
      <c r="F17" s="2040"/>
      <c r="G17" s="2054">
        <v>0</v>
      </c>
      <c r="H17" s="2053"/>
      <c r="I17" s="2054">
        <v>41574</v>
      </c>
      <c r="J17" s="2054"/>
      <c r="K17" s="2054">
        <v>0</v>
      </c>
      <c r="L17" s="2054"/>
      <c r="M17" s="2054">
        <v>41574</v>
      </c>
      <c r="N17" s="2054"/>
      <c r="O17" s="2053" t="s">
        <v>1159</v>
      </c>
      <c r="P17" s="2053">
        <v>-2</v>
      </c>
      <c r="Q17" s="2054">
        <f>K17+M17+O17</f>
        <v>41574</v>
      </c>
      <c r="R17" s="2053"/>
      <c r="S17" s="2056" t="s">
        <v>2099</v>
      </c>
    </row>
    <row r="18" spans="1:22" ht="17.25" customHeight="1" x14ac:dyDescent="0.4">
      <c r="A18" s="2051"/>
      <c r="B18" s="2036"/>
      <c r="C18" s="2052" t="s">
        <v>2101</v>
      </c>
      <c r="D18" s="2036"/>
      <c r="E18" s="2042"/>
      <c r="F18" s="2040"/>
      <c r="G18" s="2054">
        <f>SUM(G16:G17)</f>
        <v>60031</v>
      </c>
      <c r="H18" s="2036"/>
      <c r="I18" s="2054">
        <f>SUM(I16:I17)</f>
        <v>54527</v>
      </c>
      <c r="J18" s="2040"/>
      <c r="K18" s="2054">
        <f>SUM(K16:K17)</f>
        <v>60031</v>
      </c>
      <c r="L18" s="2036"/>
      <c r="M18" s="2054">
        <f>SUM(M16:M17)</f>
        <v>54528</v>
      </c>
      <c r="N18" s="2036"/>
      <c r="O18" s="2036"/>
      <c r="P18" s="2036"/>
      <c r="Q18" s="2054">
        <f>SUM(Q16:Q17)</f>
        <v>114559</v>
      </c>
      <c r="R18" s="2036"/>
      <c r="S18" s="2036"/>
    </row>
    <row r="19" spans="1:22" ht="17.25" customHeight="1" x14ac:dyDescent="0.25">
      <c r="A19" s="2051"/>
      <c r="B19" s="2036"/>
      <c r="C19" s="2036"/>
      <c r="D19" s="2036"/>
      <c r="E19" s="2042"/>
      <c r="F19" s="2040"/>
      <c r="G19" s="2036"/>
      <c r="H19" s="2036"/>
      <c r="I19" s="2036"/>
      <c r="J19" s="2040"/>
      <c r="K19" s="2036"/>
      <c r="L19" s="2036"/>
      <c r="M19" s="2036"/>
      <c r="N19" s="2036"/>
      <c r="O19" s="2036"/>
      <c r="P19" s="2036"/>
      <c r="Q19" s="2036"/>
      <c r="R19" s="2036"/>
      <c r="S19" s="2036"/>
    </row>
    <row r="20" spans="1:22" ht="17.25" customHeight="1" x14ac:dyDescent="0.25">
      <c r="A20" s="2051"/>
      <c r="B20" s="2039" t="s">
        <v>1049</v>
      </c>
      <c r="C20" s="2052">
        <v>10.555</v>
      </c>
      <c r="D20" s="2036"/>
      <c r="E20" s="2042" t="s">
        <v>2102</v>
      </c>
      <c r="F20" s="2040"/>
      <c r="G20" s="2053">
        <v>263093</v>
      </c>
      <c r="H20" s="2057"/>
      <c r="I20" s="2053">
        <v>61447</v>
      </c>
      <c r="J20" s="2053"/>
      <c r="K20" s="2053">
        <v>263093</v>
      </c>
      <c r="L20" s="2053"/>
      <c r="M20" s="2053">
        <v>61446</v>
      </c>
      <c r="N20" s="2036"/>
      <c r="O20" s="2036"/>
      <c r="P20" s="2036"/>
      <c r="Q20" s="2055">
        <f>K20+M20+O20</f>
        <v>324539</v>
      </c>
      <c r="R20" s="2036"/>
      <c r="S20" s="2056" t="s">
        <v>2099</v>
      </c>
    </row>
    <row r="21" spans="1:22" ht="17.25" customHeight="1" x14ac:dyDescent="0.25">
      <c r="A21" s="2051"/>
      <c r="B21" s="2039" t="s">
        <v>1049</v>
      </c>
      <c r="C21" s="2052" t="s">
        <v>2103</v>
      </c>
      <c r="D21" s="2036"/>
      <c r="E21" s="2042" t="s">
        <v>2104</v>
      </c>
      <c r="F21" s="2040"/>
      <c r="G21" s="2053"/>
      <c r="H21" s="2053"/>
      <c r="I21" s="2053">
        <v>183184</v>
      </c>
      <c r="J21" s="2057"/>
      <c r="K21" s="2053"/>
      <c r="L21" s="2053"/>
      <c r="M21" s="2053">
        <v>183184</v>
      </c>
      <c r="N21" s="2053"/>
      <c r="O21" s="2053" t="s">
        <v>1159</v>
      </c>
      <c r="P21" s="2053">
        <v>-2</v>
      </c>
      <c r="Q21" s="2055">
        <f>K21+M21+O21</f>
        <v>183184</v>
      </c>
      <c r="R21" s="2053"/>
      <c r="S21" s="2056" t="s">
        <v>2099</v>
      </c>
    </row>
    <row r="22" spans="1:22" ht="10.15" customHeight="1" x14ac:dyDescent="0.4">
      <c r="A22" s="2051"/>
      <c r="B22" s="2039"/>
      <c r="C22" s="2052"/>
      <c r="D22" s="2036"/>
      <c r="E22" s="2042"/>
      <c r="F22" s="2040"/>
      <c r="G22" s="2053"/>
      <c r="H22" s="2053"/>
      <c r="I22" s="2053"/>
      <c r="J22" s="2054"/>
      <c r="K22" s="2053"/>
      <c r="L22" s="2054"/>
      <c r="M22" s="2053"/>
      <c r="N22" s="2054"/>
      <c r="O22" s="2053"/>
      <c r="P22" s="2054"/>
      <c r="Q22" s="2055"/>
      <c r="R22" s="2053"/>
      <c r="S22" s="2056"/>
    </row>
    <row r="23" spans="1:22" ht="17.25" customHeight="1" x14ac:dyDescent="0.4">
      <c r="A23" s="2051"/>
      <c r="B23" s="2039" t="s">
        <v>2105</v>
      </c>
      <c r="C23" s="2052">
        <v>10.555</v>
      </c>
      <c r="D23" s="2036"/>
      <c r="E23" s="2040" t="s">
        <v>2106</v>
      </c>
      <c r="F23" s="2040"/>
      <c r="G23" s="2053"/>
      <c r="H23" s="2053"/>
      <c r="I23" s="2053"/>
      <c r="J23" s="2054"/>
      <c r="K23" s="2053">
        <v>54641</v>
      </c>
      <c r="L23" s="2054"/>
      <c r="M23" s="2053"/>
      <c r="N23" s="2054"/>
      <c r="O23" s="2053"/>
      <c r="P23" s="2054"/>
      <c r="Q23" s="2055">
        <f>K23+M23+O23</f>
        <v>54641</v>
      </c>
      <c r="R23" s="2053"/>
      <c r="S23" s="2056" t="s">
        <v>2099</v>
      </c>
    </row>
    <row r="24" spans="1:22" ht="17.25" customHeight="1" x14ac:dyDescent="0.4">
      <c r="A24" s="2051"/>
      <c r="B24" s="2039" t="s">
        <v>2105</v>
      </c>
      <c r="C24" s="2052">
        <v>10.555</v>
      </c>
      <c r="D24" s="2036"/>
      <c r="E24" s="2058" t="s">
        <v>2107</v>
      </c>
      <c r="F24" s="2059"/>
      <c r="G24" s="2060"/>
      <c r="H24" s="2060"/>
      <c r="I24" s="2053"/>
      <c r="J24" s="2061"/>
      <c r="K24" s="2053"/>
      <c r="L24" s="2054"/>
      <c r="M24" s="2053">
        <v>53790</v>
      </c>
      <c r="N24" s="2053">
        <v>-3</v>
      </c>
      <c r="O24" s="2053"/>
      <c r="P24" s="2054"/>
      <c r="Q24" s="2055">
        <f>K24+M24+O24</f>
        <v>53790</v>
      </c>
      <c r="R24" s="2053"/>
      <c r="S24" s="2056" t="s">
        <v>2099</v>
      </c>
      <c r="U24" s="2037" t="s">
        <v>1159</v>
      </c>
      <c r="V24" s="2037" t="s">
        <v>1159</v>
      </c>
    </row>
    <row r="25" spans="1:22" ht="17.25" customHeight="1" x14ac:dyDescent="0.4">
      <c r="A25" s="2051"/>
      <c r="B25" s="2039"/>
      <c r="C25" s="2052"/>
      <c r="D25" s="2036"/>
      <c r="E25" s="2058"/>
      <c r="F25" s="2059"/>
      <c r="G25" s="2060"/>
      <c r="H25" s="2060"/>
      <c r="I25" s="2053"/>
      <c r="J25" s="2061"/>
      <c r="K25" s="2053"/>
      <c r="L25" s="2054"/>
      <c r="M25" s="2053"/>
      <c r="N25" s="2053"/>
      <c r="O25" s="2053"/>
      <c r="P25" s="2054"/>
      <c r="Q25" s="2055"/>
      <c r="R25" s="2053"/>
      <c r="S25" s="2056"/>
    </row>
    <row r="26" spans="1:22" ht="17.25" customHeight="1" x14ac:dyDescent="0.4">
      <c r="A26" s="2051"/>
      <c r="B26" s="2062" t="s">
        <v>2108</v>
      </c>
      <c r="C26" s="2063">
        <v>10.555</v>
      </c>
      <c r="D26" s="2064"/>
      <c r="E26" s="2040" t="s">
        <v>2106</v>
      </c>
      <c r="F26" s="2040"/>
      <c r="G26" s="2053"/>
      <c r="H26" s="2053"/>
      <c r="I26" s="2053"/>
      <c r="J26" s="2054"/>
      <c r="K26" s="2053">
        <v>30225</v>
      </c>
      <c r="L26" s="2054"/>
      <c r="M26" s="2053"/>
      <c r="N26" s="2053"/>
      <c r="O26" s="2053"/>
      <c r="P26" s="2054"/>
      <c r="Q26" s="2055">
        <f>K26+M26+O26</f>
        <v>30225</v>
      </c>
      <c r="R26" s="2053"/>
      <c r="S26" s="2056" t="s">
        <v>2099</v>
      </c>
    </row>
    <row r="27" spans="1:22" ht="17.25" customHeight="1" x14ac:dyDescent="0.4">
      <c r="A27" s="2051"/>
      <c r="B27" s="2062" t="s">
        <v>2108</v>
      </c>
      <c r="C27" s="2063">
        <v>10.555</v>
      </c>
      <c r="D27" s="2064"/>
      <c r="E27" s="2058" t="s">
        <v>2107</v>
      </c>
      <c r="F27" s="2040"/>
      <c r="G27" s="2053"/>
      <c r="H27" s="2053"/>
      <c r="I27" s="2053"/>
      <c r="J27" s="2054"/>
      <c r="K27" s="2053"/>
      <c r="L27" s="2054"/>
      <c r="M27" s="2053">
        <v>31453</v>
      </c>
      <c r="N27" s="2053">
        <v>-3</v>
      </c>
      <c r="O27" s="2053"/>
      <c r="P27" s="2054"/>
      <c r="Q27" s="2055">
        <f>K27+M27+O27</f>
        <v>31453</v>
      </c>
      <c r="R27" s="2053"/>
      <c r="S27" s="2056" t="s">
        <v>2099</v>
      </c>
    </row>
    <row r="28" spans="1:22" ht="6" customHeight="1" x14ac:dyDescent="0.4">
      <c r="A28" s="2051"/>
      <c r="B28" s="2039"/>
      <c r="C28" s="2052"/>
      <c r="D28" s="2036"/>
      <c r="E28" s="2042"/>
      <c r="F28" s="2040"/>
      <c r="G28" s="2054"/>
      <c r="H28" s="2053"/>
      <c r="I28" s="2054"/>
      <c r="J28" s="2054"/>
      <c r="K28" s="2053"/>
      <c r="L28" s="2054"/>
      <c r="M28" s="2053"/>
      <c r="N28" s="2054"/>
      <c r="O28" s="2054"/>
      <c r="P28" s="2054"/>
      <c r="Q28" s="2055"/>
      <c r="R28" s="2053"/>
      <c r="S28" s="2056"/>
      <c r="V28" s="2037" t="s">
        <v>1159</v>
      </c>
    </row>
    <row r="29" spans="1:22" ht="17.25" customHeight="1" x14ac:dyDescent="0.25">
      <c r="A29" s="2047" t="s">
        <v>2096</v>
      </c>
      <c r="B29" s="2039"/>
      <c r="C29" s="2052"/>
      <c r="D29" s="2036"/>
      <c r="E29" s="2040"/>
      <c r="F29" s="2040"/>
      <c r="G29" s="2053"/>
      <c r="H29" s="2053"/>
      <c r="I29" s="2053"/>
      <c r="J29" s="2057"/>
      <c r="K29" s="2053" t="s">
        <v>1159</v>
      </c>
      <c r="L29" s="2053"/>
      <c r="M29" s="2053"/>
      <c r="N29" s="2053"/>
      <c r="O29" s="2053" t="s">
        <v>1159</v>
      </c>
      <c r="P29" s="2053"/>
      <c r="Q29" s="2055"/>
      <c r="R29" s="2053"/>
      <c r="S29" s="2056"/>
    </row>
    <row r="30" spans="1:22" ht="17.25" customHeight="1" x14ac:dyDescent="0.25">
      <c r="A30" s="2047" t="s">
        <v>2109</v>
      </c>
      <c r="B30" s="2036"/>
      <c r="C30" s="2052"/>
      <c r="D30" s="2036"/>
      <c r="E30" s="2040"/>
      <c r="F30" s="2040"/>
      <c r="G30" s="2053"/>
      <c r="H30" s="2053"/>
      <c r="I30" s="2053" t="s">
        <v>1159</v>
      </c>
      <c r="J30" s="2057"/>
      <c r="K30" s="2053" t="s">
        <v>1159</v>
      </c>
      <c r="L30" s="2053"/>
      <c r="M30" s="2053"/>
      <c r="N30" s="2053"/>
      <c r="O30" s="2053"/>
      <c r="P30" s="2053"/>
      <c r="Q30" s="2055"/>
      <c r="R30" s="2053"/>
      <c r="S30" s="2056"/>
    </row>
    <row r="31" spans="1:22" ht="12" customHeight="1" x14ac:dyDescent="0.25">
      <c r="A31" s="2047"/>
      <c r="B31" s="2036"/>
      <c r="C31" s="2052"/>
      <c r="D31" s="2036"/>
      <c r="E31" s="2040"/>
      <c r="F31" s="2040"/>
      <c r="G31" s="2053"/>
      <c r="H31" s="2053"/>
      <c r="I31" s="2053"/>
      <c r="J31" s="2057"/>
      <c r="K31" s="2053"/>
      <c r="L31" s="2053"/>
      <c r="M31" s="2053"/>
      <c r="N31" s="2053"/>
      <c r="O31" s="2053"/>
      <c r="P31" s="2053"/>
      <c r="Q31" s="2055"/>
      <c r="R31" s="2053"/>
      <c r="S31" s="2056"/>
    </row>
    <row r="32" spans="1:22" ht="17.25" hidden="1" customHeight="1" x14ac:dyDescent="0.25">
      <c r="A32" s="2051"/>
      <c r="B32" s="2039" t="s">
        <v>1159</v>
      </c>
      <c r="C32" s="2052"/>
      <c r="D32" s="2036"/>
      <c r="E32" s="2040"/>
      <c r="F32" s="2040"/>
      <c r="G32" s="2053"/>
      <c r="H32" s="2053"/>
      <c r="I32" s="2053" t="s">
        <v>1159</v>
      </c>
      <c r="J32" s="2057"/>
      <c r="K32" s="2053"/>
      <c r="L32" s="2053"/>
      <c r="M32" s="2053"/>
      <c r="N32" s="2053"/>
      <c r="O32" s="2053"/>
      <c r="P32" s="2053"/>
      <c r="Q32" s="2055"/>
      <c r="R32" s="2053"/>
      <c r="S32" s="2056"/>
    </row>
    <row r="33" spans="1:19" ht="17.25" customHeight="1" x14ac:dyDescent="0.25">
      <c r="A33" s="2051"/>
      <c r="B33" s="2039" t="s">
        <v>1049</v>
      </c>
      <c r="C33" s="2052">
        <v>10.555</v>
      </c>
      <c r="D33" s="2036"/>
      <c r="E33" s="2042" t="s">
        <v>2110</v>
      </c>
      <c r="F33" s="2040"/>
      <c r="G33" s="2053">
        <v>4295</v>
      </c>
      <c r="H33" s="2053"/>
      <c r="I33" s="2053">
        <v>2141</v>
      </c>
      <c r="J33" s="2057"/>
      <c r="K33" s="2053">
        <v>5306</v>
      </c>
      <c r="L33" s="2053"/>
      <c r="M33" s="2053">
        <v>1130</v>
      </c>
      <c r="N33" s="2053"/>
      <c r="O33" s="2053" t="s">
        <v>1159</v>
      </c>
      <c r="P33" s="2053"/>
      <c r="Q33" s="2055">
        <f>O33+M33+K33</f>
        <v>6436</v>
      </c>
      <c r="R33" s="2053"/>
      <c r="S33" s="2056" t="s">
        <v>2099</v>
      </c>
    </row>
    <row r="34" spans="1:19" ht="17.25" hidden="1" customHeight="1" x14ac:dyDescent="0.25">
      <c r="B34" s="2039"/>
      <c r="C34" s="2052"/>
      <c r="D34" s="2036"/>
      <c r="E34" s="2040"/>
      <c r="F34" s="2040"/>
      <c r="G34" s="2053"/>
      <c r="H34" s="2053"/>
      <c r="I34" s="2053"/>
      <c r="J34" s="2057"/>
      <c r="K34" s="2053"/>
      <c r="L34" s="2053"/>
      <c r="M34" s="2053"/>
      <c r="N34" s="2053"/>
      <c r="O34" s="2053"/>
      <c r="P34" s="2053"/>
      <c r="Q34" s="2055"/>
      <c r="R34" s="2053"/>
      <c r="S34" s="2056"/>
    </row>
    <row r="35" spans="1:19" ht="17.25" customHeight="1" x14ac:dyDescent="0.4">
      <c r="A35" s="2051"/>
      <c r="B35" s="2039" t="s">
        <v>1049</v>
      </c>
      <c r="C35" s="2052">
        <v>10.555</v>
      </c>
      <c r="D35" s="2036"/>
      <c r="E35" s="2042" t="s">
        <v>2111</v>
      </c>
      <c r="F35" s="2040"/>
      <c r="G35" s="2054">
        <v>0</v>
      </c>
      <c r="H35" s="2053"/>
      <c r="I35" s="2054">
        <v>3296</v>
      </c>
      <c r="J35" s="2057"/>
      <c r="K35" s="2054">
        <v>0</v>
      </c>
      <c r="L35" s="2053"/>
      <c r="M35" s="2054">
        <v>3734</v>
      </c>
      <c r="N35" s="2053"/>
      <c r="O35" s="2054" t="s">
        <v>1159</v>
      </c>
      <c r="P35" s="2053">
        <v>-2</v>
      </c>
      <c r="Q35" s="2066">
        <f>O35+M35+K35</f>
        <v>3734</v>
      </c>
      <c r="R35" s="2053"/>
      <c r="S35" s="2056" t="s">
        <v>2099</v>
      </c>
    </row>
    <row r="36" spans="1:19" ht="17.25" customHeight="1" x14ac:dyDescent="0.4">
      <c r="A36" s="2051"/>
      <c r="B36" s="2039"/>
      <c r="C36" s="2052" t="s">
        <v>2112</v>
      </c>
      <c r="D36" s="2036"/>
      <c r="E36" s="2042"/>
      <c r="F36" s="2040"/>
      <c r="G36" s="2054">
        <f>SUM(G20:G35)</f>
        <v>267388</v>
      </c>
      <c r="H36" s="2053"/>
      <c r="I36" s="2054">
        <f>SUM(I20:I35)</f>
        <v>250068</v>
      </c>
      <c r="J36" s="2057"/>
      <c r="K36" s="2054">
        <f>SUM(K20:K35)</f>
        <v>353265</v>
      </c>
      <c r="L36" s="2053"/>
      <c r="M36" s="2054">
        <f>SUM(M20:M35)</f>
        <v>334737</v>
      </c>
      <c r="N36" s="2053"/>
      <c r="O36" s="2054">
        <f>SUM(O20:O35)</f>
        <v>0</v>
      </c>
      <c r="P36" s="2053"/>
      <c r="Q36" s="2054">
        <f>SUM(Q20:Q35)</f>
        <v>688002</v>
      </c>
      <c r="R36" s="2053"/>
      <c r="S36" s="2056"/>
    </row>
    <row r="37" spans="1:19" ht="17.25" customHeight="1" x14ac:dyDescent="0.4">
      <c r="A37" s="2051"/>
      <c r="B37" s="2039"/>
      <c r="C37" s="2052"/>
      <c r="D37" s="2036"/>
      <c r="E37" s="2042"/>
      <c r="F37" s="2040"/>
      <c r="G37" s="2054"/>
      <c r="H37" s="2053"/>
      <c r="I37" s="2054"/>
      <c r="J37" s="2057"/>
      <c r="K37" s="2054"/>
      <c r="L37" s="2053"/>
      <c r="M37" s="2054"/>
      <c r="N37" s="2053"/>
      <c r="O37" s="2054"/>
      <c r="P37" s="2053"/>
      <c r="Q37" s="2054"/>
      <c r="R37" s="2053"/>
      <c r="S37" s="2056"/>
    </row>
    <row r="38" spans="1:19" ht="17.25" hidden="1" customHeight="1" x14ac:dyDescent="0.4">
      <c r="A38" s="2051"/>
      <c r="B38" s="2039"/>
      <c r="C38" s="2052"/>
      <c r="D38" s="2036"/>
      <c r="E38" s="2042"/>
      <c r="F38" s="2040"/>
      <c r="G38" s="2054"/>
      <c r="H38" s="2053"/>
      <c r="I38" s="2054"/>
      <c r="J38" s="2057"/>
      <c r="K38" s="2054"/>
      <c r="L38" s="2053"/>
      <c r="M38" s="2054"/>
      <c r="N38" s="2053"/>
      <c r="O38" s="2054"/>
      <c r="P38" s="2053"/>
      <c r="Q38" s="2054"/>
      <c r="R38" s="2053"/>
      <c r="S38" s="2056"/>
    </row>
    <row r="39" spans="1:19" ht="17.25" customHeight="1" x14ac:dyDescent="0.4">
      <c r="A39" s="2051"/>
      <c r="B39" s="2039" t="s">
        <v>1434</v>
      </c>
      <c r="C39" s="2067">
        <v>10.558999999999999</v>
      </c>
      <c r="D39" s="2068"/>
      <c r="E39" s="2069" t="s">
        <v>2113</v>
      </c>
      <c r="F39" s="2040"/>
      <c r="G39" s="2054">
        <v>0</v>
      </c>
      <c r="H39" s="2053"/>
      <c r="I39" s="2054">
        <v>152117</v>
      </c>
      <c r="J39" s="2057"/>
      <c r="K39" s="2054">
        <v>0</v>
      </c>
      <c r="L39" s="2053"/>
      <c r="M39" s="2054">
        <v>152117</v>
      </c>
      <c r="N39" s="2053"/>
      <c r="O39" s="2054">
        <v>0</v>
      </c>
      <c r="P39" s="2053"/>
      <c r="Q39" s="2066">
        <f>O39+M39+K39</f>
        <v>152117</v>
      </c>
      <c r="R39" s="2053"/>
      <c r="S39" s="2056" t="s">
        <v>2099</v>
      </c>
    </row>
    <row r="40" spans="1:19" ht="17.25" customHeight="1" x14ac:dyDescent="0.4">
      <c r="A40" s="2051"/>
      <c r="B40" s="2039"/>
      <c r="C40" s="2052" t="s">
        <v>2114</v>
      </c>
      <c r="D40" s="2036"/>
      <c r="E40" s="2042"/>
      <c r="F40" s="2040"/>
      <c r="G40" s="2054">
        <f>SUM(G38:G39)</f>
        <v>0</v>
      </c>
      <c r="H40" s="2053"/>
      <c r="I40" s="2054">
        <f>SUM(I38:I39)</f>
        <v>152117</v>
      </c>
      <c r="J40" s="2057"/>
      <c r="K40" s="2054">
        <f>SUM(K38:K39)</f>
        <v>0</v>
      </c>
      <c r="L40" s="2053"/>
      <c r="M40" s="2054">
        <f>SUM(M38:M39)</f>
        <v>152117</v>
      </c>
      <c r="N40" s="2053"/>
      <c r="O40" s="2054">
        <f>SUM(O38:O39)</f>
        <v>0</v>
      </c>
      <c r="P40" s="2053"/>
      <c r="Q40" s="2054">
        <f>SUM(Q38:Q39)</f>
        <v>152117</v>
      </c>
      <c r="R40" s="2053"/>
      <c r="S40" s="2056"/>
    </row>
    <row r="41" spans="1:19" ht="17.25" customHeight="1" x14ac:dyDescent="0.4">
      <c r="A41" s="2051"/>
      <c r="B41" s="2039"/>
      <c r="C41" s="2052"/>
      <c r="D41" s="2036"/>
      <c r="E41" s="2042"/>
      <c r="F41" s="2040"/>
      <c r="G41" s="2054"/>
      <c r="H41" s="2053"/>
      <c r="I41" s="2054"/>
      <c r="J41" s="2057"/>
      <c r="K41" s="2054"/>
      <c r="L41" s="2053"/>
      <c r="M41" s="2054"/>
      <c r="N41" s="2053"/>
      <c r="O41" s="2054"/>
      <c r="P41" s="2053"/>
      <c r="Q41" s="2054"/>
      <c r="R41" s="2053"/>
      <c r="S41" s="2056"/>
    </row>
    <row r="42" spans="1:19" ht="7.15" customHeight="1" x14ac:dyDescent="0.4">
      <c r="A42" s="2051"/>
      <c r="B42" s="2039"/>
      <c r="C42" s="2052"/>
      <c r="D42" s="2036"/>
      <c r="E42" s="2042"/>
      <c r="F42" s="2040"/>
      <c r="G42" s="2054"/>
      <c r="H42" s="2053"/>
      <c r="I42" s="2054"/>
      <c r="J42" s="2054"/>
      <c r="K42" s="2054"/>
      <c r="L42" s="2054"/>
      <c r="M42" s="2054"/>
      <c r="N42" s="2054"/>
      <c r="O42" s="2054"/>
      <c r="P42" s="2054"/>
      <c r="Q42" s="2054"/>
      <c r="R42" s="2053"/>
      <c r="S42" s="2056"/>
    </row>
    <row r="43" spans="1:19" ht="17.25" customHeight="1" x14ac:dyDescent="0.4">
      <c r="A43" s="2047" t="s">
        <v>2115</v>
      </c>
      <c r="B43" s="2039"/>
      <c r="C43" s="2052"/>
      <c r="D43" s="2036"/>
      <c r="F43" s="2070" t="s">
        <v>2116</v>
      </c>
      <c r="G43" s="2066">
        <f>SUM(G18,G36,G40)</f>
        <v>327419</v>
      </c>
      <c r="H43" s="2066"/>
      <c r="I43" s="2066">
        <f>SUM(I18,I36,I40)</f>
        <v>456712</v>
      </c>
      <c r="J43" s="2066"/>
      <c r="K43" s="2066">
        <f>SUM(K18,K36,K40)</f>
        <v>413296</v>
      </c>
      <c r="L43" s="2066"/>
      <c r="M43" s="2066">
        <f>SUM(M18,M36,M40)</f>
        <v>541382</v>
      </c>
      <c r="N43" s="2066"/>
      <c r="O43" s="2066">
        <f>SUM(O18,O36,O40)</f>
        <v>0</v>
      </c>
      <c r="P43" s="2066"/>
      <c r="Q43" s="2066">
        <f>SUM(Q18,Q36,Q40)</f>
        <v>954678</v>
      </c>
      <c r="R43" s="2053"/>
      <c r="S43" s="2056"/>
    </row>
    <row r="44" spans="1:19" ht="17.25" customHeight="1" x14ac:dyDescent="0.25">
      <c r="A44" s="2040"/>
      <c r="B44" s="2039"/>
      <c r="C44" s="2052"/>
      <c r="D44" s="2036"/>
      <c r="E44" s="2042"/>
      <c r="F44" s="2040"/>
      <c r="G44" s="2053"/>
      <c r="H44" s="2053"/>
      <c r="I44" s="2053"/>
      <c r="J44" s="2057"/>
      <c r="K44" s="2053"/>
      <c r="L44" s="2053"/>
      <c r="M44" s="2053"/>
      <c r="N44" s="2053"/>
      <c r="O44" s="2053"/>
      <c r="P44" s="2053"/>
      <c r="Q44" s="2053"/>
      <c r="R44" s="2053"/>
      <c r="S44" s="2056"/>
    </row>
    <row r="45" spans="1:19" ht="17.25" customHeight="1" x14ac:dyDescent="0.25">
      <c r="A45" s="2047" t="s">
        <v>2117</v>
      </c>
      <c r="B45" s="2039"/>
      <c r="C45" s="2052"/>
      <c r="D45" s="2036"/>
      <c r="E45" s="2042"/>
      <c r="F45" s="2040"/>
      <c r="G45" s="2053"/>
      <c r="H45" s="2053"/>
      <c r="I45" s="2053" t="s">
        <v>1159</v>
      </c>
      <c r="J45" s="2057"/>
      <c r="K45" s="2053"/>
      <c r="L45" s="2053"/>
      <c r="M45" s="2053"/>
      <c r="N45" s="2053"/>
      <c r="O45" s="2053"/>
      <c r="P45" s="2053"/>
      <c r="Q45" s="2053"/>
      <c r="R45" s="2053"/>
      <c r="S45" s="2056"/>
    </row>
    <row r="46" spans="1:19" ht="17.25" customHeight="1" x14ac:dyDescent="0.25">
      <c r="A46" s="2047" t="s">
        <v>2096</v>
      </c>
      <c r="B46" s="2039"/>
      <c r="C46" s="2052"/>
      <c r="D46" s="2036"/>
      <c r="E46" s="2042"/>
      <c r="F46" s="2040"/>
      <c r="G46" s="2053"/>
      <c r="H46" s="2053"/>
      <c r="I46" s="2053" t="s">
        <v>1159</v>
      </c>
      <c r="J46" s="2057"/>
      <c r="K46" s="2053"/>
      <c r="L46" s="2053"/>
      <c r="M46" s="2053"/>
      <c r="N46" s="2053"/>
      <c r="O46" s="2053"/>
      <c r="P46" s="2053"/>
      <c r="Q46" s="2053"/>
      <c r="R46" s="2053"/>
      <c r="S46" s="2056"/>
    </row>
    <row r="47" spans="1:19" ht="17.25" customHeight="1" x14ac:dyDescent="0.25">
      <c r="A47" s="2047" t="s">
        <v>2097</v>
      </c>
      <c r="B47" s="2039"/>
      <c r="C47" s="2052"/>
      <c r="D47" s="2036"/>
      <c r="E47" s="2042" t="s">
        <v>2118</v>
      </c>
      <c r="F47" s="2040"/>
      <c r="G47" s="2053"/>
      <c r="H47" s="2053"/>
      <c r="I47" s="2053" t="s">
        <v>1159</v>
      </c>
      <c r="J47" s="2057"/>
      <c r="K47" s="2053"/>
      <c r="L47" s="2053"/>
      <c r="M47" s="2053"/>
      <c r="N47" s="2053"/>
      <c r="O47" s="2053"/>
      <c r="P47" s="2053"/>
      <c r="Q47" s="2053"/>
      <c r="R47" s="2053"/>
      <c r="S47" s="2056"/>
    </row>
    <row r="48" spans="1:19" ht="13.15" customHeight="1" x14ac:dyDescent="0.25">
      <c r="A48" s="2040"/>
      <c r="B48" s="2036"/>
      <c r="C48" s="2036"/>
      <c r="D48" s="2036"/>
      <c r="E48" s="2036"/>
      <c r="F48" s="2040"/>
      <c r="G48" s="2053" t="s">
        <v>1159</v>
      </c>
      <c r="H48" s="2053"/>
      <c r="I48" s="2053"/>
      <c r="J48" s="2057"/>
      <c r="K48" s="2053"/>
      <c r="L48" s="2053"/>
      <c r="M48" s="2053" t="s">
        <v>1159</v>
      </c>
      <c r="N48" s="2053"/>
      <c r="O48" s="2053"/>
      <c r="P48" s="2053"/>
      <c r="Q48" s="2053" t="s">
        <v>1159</v>
      </c>
      <c r="R48" s="2053"/>
      <c r="S48" s="2053"/>
    </row>
    <row r="49" spans="1:19" ht="17.25" customHeight="1" x14ac:dyDescent="0.25">
      <c r="A49" s="2051"/>
      <c r="B49" s="2039" t="s">
        <v>912</v>
      </c>
      <c r="C49" s="2052">
        <v>84.01</v>
      </c>
      <c r="D49" s="2036"/>
      <c r="E49" s="2040" t="s">
        <v>2119</v>
      </c>
      <c r="F49" s="2040"/>
      <c r="G49" s="2053">
        <v>116221</v>
      </c>
      <c r="H49" s="2053"/>
      <c r="I49" s="2053">
        <f>253802-116221</f>
        <v>137581</v>
      </c>
      <c r="J49" s="2053"/>
      <c r="K49" s="2053">
        <v>253802</v>
      </c>
      <c r="L49" s="2053"/>
      <c r="M49" s="2053"/>
      <c r="N49" s="2053"/>
      <c r="O49" s="2053"/>
      <c r="P49" s="2053"/>
      <c r="Q49" s="2055">
        <f>O49+M49+K49</f>
        <v>253802</v>
      </c>
      <c r="R49" s="2053"/>
      <c r="S49" s="2053">
        <v>255139</v>
      </c>
    </row>
    <row r="50" spans="1:19" ht="17.25" customHeight="1" x14ac:dyDescent="0.4">
      <c r="A50" s="2051"/>
      <c r="B50" s="2039" t="s">
        <v>912</v>
      </c>
      <c r="C50" s="2052">
        <v>84.01</v>
      </c>
      <c r="D50" s="2036"/>
      <c r="E50" s="2040" t="s">
        <v>2120</v>
      </c>
      <c r="F50" s="2040"/>
      <c r="G50" s="2054">
        <v>0</v>
      </c>
      <c r="H50" s="2053"/>
      <c r="I50" s="2054">
        <v>113968</v>
      </c>
      <c r="J50" s="2053"/>
      <c r="K50" s="2071">
        <v>0</v>
      </c>
      <c r="L50" s="2053"/>
      <c r="M50" s="2054">
        <v>202710</v>
      </c>
      <c r="N50" s="2053"/>
      <c r="O50" s="2061">
        <v>0</v>
      </c>
      <c r="P50" s="2053">
        <v>-2</v>
      </c>
      <c r="Q50" s="2066">
        <f>O50+M50+K50</f>
        <v>202710</v>
      </c>
      <c r="R50" s="2053"/>
      <c r="S50" s="2053">
        <v>278709</v>
      </c>
    </row>
    <row r="51" spans="1:19" ht="17.25" hidden="1" customHeight="1" x14ac:dyDescent="0.25">
      <c r="A51" s="2051"/>
      <c r="B51" s="2039"/>
      <c r="C51" s="2052"/>
      <c r="D51" s="2036"/>
      <c r="E51" s="2040"/>
      <c r="F51" s="2040"/>
      <c r="G51" s="2053"/>
      <c r="H51" s="2053"/>
      <c r="I51" s="2053"/>
      <c r="J51" s="2053"/>
      <c r="K51" s="2053"/>
      <c r="L51" s="2053"/>
      <c r="M51" s="2053"/>
      <c r="N51" s="2053"/>
      <c r="O51" s="2053"/>
      <c r="P51" s="2053"/>
      <c r="Q51" s="2055"/>
      <c r="R51" s="2053"/>
      <c r="S51" s="2053"/>
    </row>
    <row r="52" spans="1:19" ht="17.25" hidden="1" customHeight="1" x14ac:dyDescent="0.4">
      <c r="A52" s="2051"/>
      <c r="B52" s="2039" t="s">
        <v>2121</v>
      </c>
      <c r="C52" s="2052">
        <v>84.01</v>
      </c>
      <c r="D52" s="2036"/>
      <c r="E52" s="2040" t="s">
        <v>2122</v>
      </c>
      <c r="F52" s="2040"/>
      <c r="G52" s="2054"/>
      <c r="H52" s="2053"/>
      <c r="I52" s="2054"/>
      <c r="J52" s="2053"/>
      <c r="K52" s="2054"/>
      <c r="L52" s="2053"/>
      <c r="M52" s="2054">
        <v>0</v>
      </c>
      <c r="N52" s="2072"/>
      <c r="O52" s="2054" t="s">
        <v>1159</v>
      </c>
      <c r="P52" s="2053"/>
      <c r="Q52" s="2066">
        <f>O52+M52+K52</f>
        <v>0</v>
      </c>
      <c r="R52" s="2053"/>
      <c r="S52" s="2053">
        <v>15000</v>
      </c>
    </row>
    <row r="53" spans="1:19" ht="17.25" customHeight="1" x14ac:dyDescent="0.4">
      <c r="A53" s="2051"/>
      <c r="B53" s="2039"/>
      <c r="C53" s="2052" t="s">
        <v>2123</v>
      </c>
      <c r="D53" s="2036"/>
      <c r="E53" s="2040"/>
      <c r="F53" s="2040"/>
      <c r="G53" s="2054">
        <f>SUM(G49:G52)</f>
        <v>116221</v>
      </c>
      <c r="H53" s="2053"/>
      <c r="I53" s="2054">
        <f>SUM(I49:I52)</f>
        <v>251549</v>
      </c>
      <c r="J53" s="2053"/>
      <c r="K53" s="2054">
        <f>SUM(K49:K52)</f>
        <v>253802</v>
      </c>
      <c r="L53" s="2053"/>
      <c r="M53" s="2054">
        <f>SUM(M49:M52)</f>
        <v>202710</v>
      </c>
      <c r="N53" s="2053"/>
      <c r="O53" s="2054">
        <f>SUM(O49:O52)</f>
        <v>0</v>
      </c>
      <c r="P53" s="2053"/>
      <c r="Q53" s="2054">
        <f>SUM(Q49:Q52)</f>
        <v>456512</v>
      </c>
      <c r="R53" s="2053"/>
      <c r="S53" s="2053"/>
    </row>
    <row r="54" spans="1:19" ht="17.25" customHeight="1" x14ac:dyDescent="0.25">
      <c r="A54" s="2051"/>
      <c r="B54" s="2039"/>
      <c r="C54" s="2052"/>
      <c r="D54" s="2036"/>
      <c r="E54" s="2040"/>
      <c r="F54" s="2040"/>
      <c r="G54" s="2053"/>
      <c r="H54" s="2053"/>
      <c r="I54" s="2053"/>
      <c r="J54" s="2053"/>
      <c r="K54" s="2053"/>
      <c r="L54" s="2053"/>
      <c r="M54" s="2053"/>
      <c r="N54" s="2053"/>
      <c r="O54" s="2060"/>
      <c r="P54" s="2053"/>
      <c r="Q54" s="2055"/>
      <c r="R54" s="2053"/>
      <c r="S54" s="2053"/>
    </row>
    <row r="55" spans="1:19" ht="17.25" customHeight="1" x14ac:dyDescent="0.25">
      <c r="A55" s="2051"/>
      <c r="B55" s="2039" t="s">
        <v>2124</v>
      </c>
      <c r="C55" s="2052" t="s">
        <v>2125</v>
      </c>
      <c r="D55" s="2036"/>
      <c r="E55" s="2040" t="s">
        <v>2126</v>
      </c>
      <c r="F55" s="2040"/>
      <c r="G55" s="2053">
        <v>12356</v>
      </c>
      <c r="H55" s="2053"/>
      <c r="I55" s="2053">
        <v>0</v>
      </c>
      <c r="J55" s="2053"/>
      <c r="K55" s="2073">
        <v>12356</v>
      </c>
      <c r="L55" s="2053"/>
      <c r="M55" s="2060"/>
      <c r="N55" s="2053"/>
      <c r="O55" s="2060"/>
      <c r="P55" s="2053"/>
      <c r="Q55" s="2055">
        <f>O55+M55+K55</f>
        <v>12356</v>
      </c>
      <c r="R55" s="2053"/>
      <c r="S55" s="2053">
        <v>23925</v>
      </c>
    </row>
    <row r="56" spans="1:19" ht="17.25" customHeight="1" x14ac:dyDescent="0.4">
      <c r="A56" s="2051"/>
      <c r="B56" s="2039" t="s">
        <v>2124</v>
      </c>
      <c r="C56" s="2052" t="s">
        <v>2125</v>
      </c>
      <c r="D56" s="2036"/>
      <c r="E56" s="2040" t="s">
        <v>2127</v>
      </c>
      <c r="F56" s="2040"/>
      <c r="G56" s="2054">
        <v>0</v>
      </c>
      <c r="H56" s="2053"/>
      <c r="I56" s="2054">
        <v>11700</v>
      </c>
      <c r="J56" s="2053"/>
      <c r="K56" s="2071">
        <v>0</v>
      </c>
      <c r="L56" s="2053"/>
      <c r="M56" s="2054">
        <v>31941</v>
      </c>
      <c r="N56" s="2053"/>
      <c r="O56" s="2061">
        <v>0</v>
      </c>
      <c r="P56" s="2053"/>
      <c r="Q56" s="2066">
        <f>O56+M56+K56</f>
        <v>31941</v>
      </c>
      <c r="R56" s="2053"/>
      <c r="S56" s="2053">
        <v>32555</v>
      </c>
    </row>
    <row r="57" spans="1:19" ht="17.25" customHeight="1" x14ac:dyDescent="0.4">
      <c r="A57" s="2051"/>
      <c r="B57" s="2039"/>
      <c r="C57" s="2052" t="s">
        <v>2128</v>
      </c>
      <c r="D57" s="2036"/>
      <c r="E57" s="2040"/>
      <c r="F57" s="2040"/>
      <c r="G57" s="2054">
        <f>SUM(G55:G56)</f>
        <v>12356</v>
      </c>
      <c r="H57" s="2053"/>
      <c r="I57" s="2054">
        <f>SUM(I55:I56)</f>
        <v>11700</v>
      </c>
      <c r="J57" s="2053"/>
      <c r="K57" s="2054">
        <f>SUM(K55:K56)</f>
        <v>12356</v>
      </c>
      <c r="L57" s="2053"/>
      <c r="M57" s="2054">
        <f>SUM(M56)</f>
        <v>31941</v>
      </c>
      <c r="N57" s="2053"/>
      <c r="O57" s="2061">
        <f>SUM(O56)</f>
        <v>0</v>
      </c>
      <c r="P57" s="2053"/>
      <c r="Q57" s="2055">
        <f>SUM(Q55:Q56)</f>
        <v>44297</v>
      </c>
      <c r="R57" s="2053"/>
      <c r="S57" s="2053"/>
    </row>
    <row r="58" spans="1:19" ht="17.25" hidden="1" customHeight="1" x14ac:dyDescent="0.4">
      <c r="A58" s="2051"/>
      <c r="B58" s="2039"/>
      <c r="C58" s="2052"/>
      <c r="D58" s="2036"/>
      <c r="E58" s="2040"/>
      <c r="F58" s="2040"/>
      <c r="G58" s="2054"/>
      <c r="H58" s="2053"/>
      <c r="I58" s="2054"/>
      <c r="J58" s="2053"/>
      <c r="K58" s="2054"/>
      <c r="L58" s="2053"/>
      <c r="M58" s="2054"/>
      <c r="N58" s="2053"/>
      <c r="O58" s="2061"/>
      <c r="P58" s="2053"/>
      <c r="Q58" s="2055"/>
      <c r="R58" s="2053"/>
      <c r="S58" s="2053"/>
    </row>
    <row r="59" spans="1:19" ht="17.25" hidden="1" customHeight="1" x14ac:dyDescent="0.25">
      <c r="A59" s="2051"/>
      <c r="B59" s="2039" t="s">
        <v>2129</v>
      </c>
      <c r="C59" s="2052">
        <v>84.027000000000001</v>
      </c>
      <c r="D59" s="2036"/>
      <c r="E59" s="2040" t="s">
        <v>2130</v>
      </c>
      <c r="F59" s="2040"/>
      <c r="G59" s="2053"/>
      <c r="H59" s="2053"/>
      <c r="I59" s="2053"/>
      <c r="J59" s="2053"/>
      <c r="K59" s="2053"/>
      <c r="L59" s="2053"/>
      <c r="M59" s="2053"/>
      <c r="N59" s="2053"/>
      <c r="O59" s="2060"/>
      <c r="P59" s="2053"/>
      <c r="Q59" s="2055">
        <f>O59+M59+K59</f>
        <v>0</v>
      </c>
      <c r="R59" s="2053"/>
      <c r="S59" s="2056" t="s">
        <v>2099</v>
      </c>
    </row>
    <row r="60" spans="1:19" ht="17.25" hidden="1" customHeight="1" x14ac:dyDescent="0.25">
      <c r="A60" s="2051"/>
      <c r="B60" s="2039" t="s">
        <v>2129</v>
      </c>
      <c r="C60" s="2052">
        <v>84.027000000000001</v>
      </c>
      <c r="D60" s="2036"/>
      <c r="E60" s="2040" t="s">
        <v>2131</v>
      </c>
      <c r="F60" s="2040"/>
      <c r="G60" s="2053"/>
      <c r="H60" s="2053"/>
      <c r="I60" s="2074"/>
      <c r="J60" s="2053"/>
      <c r="K60" s="2053"/>
      <c r="L60" s="2053"/>
      <c r="M60" s="2074"/>
      <c r="N60" s="2053"/>
      <c r="O60" s="2053"/>
      <c r="P60" s="2053"/>
      <c r="Q60" s="2055">
        <f>O60+M60+K60</f>
        <v>0</v>
      </c>
      <c r="R60" s="2053"/>
      <c r="S60" s="2056" t="s">
        <v>2099</v>
      </c>
    </row>
    <row r="61" spans="1:19" ht="12" customHeight="1" x14ac:dyDescent="0.25">
      <c r="A61" s="2051"/>
      <c r="B61" s="2039"/>
      <c r="C61" s="2052"/>
      <c r="D61" s="2036"/>
      <c r="E61" s="2040"/>
      <c r="F61" s="2040"/>
      <c r="G61" s="2053"/>
      <c r="H61" s="2053"/>
      <c r="I61" s="2053"/>
      <c r="J61" s="2053"/>
      <c r="K61" s="2053"/>
      <c r="L61" s="2053"/>
      <c r="M61" s="2053"/>
      <c r="N61" s="2053"/>
      <c r="O61" s="2053"/>
      <c r="P61" s="2053"/>
      <c r="Q61" s="2055"/>
      <c r="R61" s="2053"/>
      <c r="S61" s="2053"/>
    </row>
    <row r="62" spans="1:19" ht="12" hidden="1" customHeight="1" x14ac:dyDescent="0.25">
      <c r="A62" s="2051"/>
      <c r="B62" s="2039" t="s">
        <v>2132</v>
      </c>
      <c r="C62" s="2052"/>
      <c r="D62" s="2036"/>
      <c r="E62" s="2040"/>
      <c r="F62" s="2040"/>
      <c r="G62" s="2053"/>
      <c r="H62" s="2053"/>
      <c r="I62" s="2053"/>
      <c r="J62" s="2053"/>
      <c r="K62" s="2053"/>
      <c r="L62" s="2053"/>
      <c r="M62" s="2053"/>
      <c r="N62" s="2053"/>
      <c r="O62" s="2053"/>
      <c r="P62" s="2053"/>
      <c r="Q62" s="2055"/>
      <c r="R62" s="2053"/>
      <c r="S62" s="2053"/>
    </row>
    <row r="63" spans="1:19" ht="18" x14ac:dyDescent="0.4">
      <c r="A63" s="2051" t="s">
        <v>2133</v>
      </c>
      <c r="B63" s="2039" t="s">
        <v>2132</v>
      </c>
      <c r="C63" s="2067">
        <v>84.027000000000001</v>
      </c>
      <c r="D63" s="2075"/>
      <c r="E63" s="2076" t="s">
        <v>2134</v>
      </c>
      <c r="F63" s="2040"/>
      <c r="G63" s="2054">
        <v>0</v>
      </c>
      <c r="H63" s="2053"/>
      <c r="I63" s="2054">
        <v>553412</v>
      </c>
      <c r="J63" s="2053"/>
      <c r="K63" s="2054">
        <v>0</v>
      </c>
      <c r="L63" s="2053"/>
      <c r="M63" s="2054">
        <v>553412</v>
      </c>
      <c r="N63" s="2053"/>
      <c r="O63" s="2054">
        <v>0</v>
      </c>
      <c r="P63" s="2053"/>
      <c r="Q63" s="2066">
        <f>O63+M63+K63</f>
        <v>553412</v>
      </c>
      <c r="R63" s="2053"/>
      <c r="S63" s="2053">
        <v>553412</v>
      </c>
    </row>
    <row r="64" spans="1:19" ht="18" x14ac:dyDescent="0.4">
      <c r="A64" s="2051"/>
      <c r="B64" s="2039"/>
      <c r="C64" s="2067" t="s">
        <v>2135</v>
      </c>
      <c r="D64" s="2036"/>
      <c r="E64" s="2040"/>
      <c r="F64" s="2040"/>
      <c r="G64" s="2054">
        <f>SUM(G59:G63)</f>
        <v>0</v>
      </c>
      <c r="H64" s="2053"/>
      <c r="I64" s="2054">
        <f>SUM(I59:I63)</f>
        <v>553412</v>
      </c>
      <c r="J64" s="2053"/>
      <c r="K64" s="2054">
        <f>SUM(K59:K63)</f>
        <v>0</v>
      </c>
      <c r="L64" s="2053"/>
      <c r="M64" s="2054">
        <f>SUM(M59:M63)</f>
        <v>553412</v>
      </c>
      <c r="N64" s="2053"/>
      <c r="O64" s="2054">
        <f>SUM(O59:O63)</f>
        <v>0</v>
      </c>
      <c r="P64" s="2053"/>
      <c r="Q64" s="2054">
        <f>SUM(Q59:Q63)</f>
        <v>553412</v>
      </c>
      <c r="R64" s="2053"/>
      <c r="S64" s="2053"/>
    </row>
    <row r="65" spans="1:19" ht="15" customHeight="1" x14ac:dyDescent="0.4">
      <c r="A65" s="2051"/>
      <c r="B65" s="2039"/>
      <c r="C65" s="2052"/>
      <c r="D65" s="2036"/>
      <c r="E65" s="2040"/>
      <c r="F65" s="2040"/>
      <c r="G65" s="2054"/>
      <c r="H65" s="2053"/>
      <c r="I65" s="2053"/>
      <c r="J65" s="2053"/>
      <c r="K65" s="2053"/>
      <c r="L65" s="2053"/>
      <c r="M65" s="2053"/>
      <c r="N65" s="2053"/>
      <c r="O65" s="2053"/>
      <c r="P65" s="2053"/>
      <c r="Q65" s="2055"/>
      <c r="R65" s="2053"/>
      <c r="S65" s="2053"/>
    </row>
    <row r="66" spans="1:19" ht="15" hidden="1" customHeight="1" x14ac:dyDescent="0.4">
      <c r="A66" s="2051"/>
      <c r="B66" s="2039" t="s">
        <v>2136</v>
      </c>
      <c r="C66" s="2067">
        <v>84.173000000000002</v>
      </c>
      <c r="D66" s="2068"/>
      <c r="E66" s="2069" t="s">
        <v>2137</v>
      </c>
      <c r="F66" s="2040"/>
      <c r="G66" s="2054"/>
      <c r="H66" s="2053"/>
      <c r="I66" s="2053"/>
      <c r="J66" s="2053"/>
      <c r="K66" s="2053"/>
      <c r="L66" s="2053"/>
      <c r="M66" s="2053"/>
      <c r="N66" s="2053"/>
      <c r="O66" s="2053"/>
      <c r="P66" s="2053"/>
      <c r="Q66" s="2055"/>
      <c r="R66" s="2053"/>
      <c r="S66" s="2053"/>
    </row>
    <row r="67" spans="1:19" ht="18" x14ac:dyDescent="0.4">
      <c r="A67" s="2051" t="s">
        <v>2133</v>
      </c>
      <c r="B67" s="2039" t="s">
        <v>2136</v>
      </c>
      <c r="C67" s="2067">
        <v>84.173000000000002</v>
      </c>
      <c r="D67" s="2068"/>
      <c r="E67" s="2069" t="s">
        <v>2137</v>
      </c>
      <c r="F67" s="2040"/>
      <c r="G67" s="2054">
        <v>0</v>
      </c>
      <c r="H67" s="2053"/>
      <c r="I67" s="2054">
        <v>14219</v>
      </c>
      <c r="J67" s="2053"/>
      <c r="K67" s="2054">
        <v>0</v>
      </c>
      <c r="L67" s="2053"/>
      <c r="M67" s="2054">
        <v>14219</v>
      </c>
      <c r="N67" s="2053"/>
      <c r="O67" s="2054">
        <v>0</v>
      </c>
      <c r="P67" s="2053"/>
      <c r="Q67" s="2066">
        <f>O67+M67+K67</f>
        <v>14219</v>
      </c>
      <c r="R67" s="2053"/>
      <c r="S67" s="2053">
        <v>14219</v>
      </c>
    </row>
    <row r="68" spans="1:19" ht="18" x14ac:dyDescent="0.4">
      <c r="A68" s="2051"/>
      <c r="B68" s="2039"/>
      <c r="C68" s="2067" t="s">
        <v>2138</v>
      </c>
      <c r="D68" s="2068"/>
      <c r="E68" s="2069"/>
      <c r="F68" s="2040"/>
      <c r="G68" s="2054">
        <f>SUM(G66:G67)</f>
        <v>0</v>
      </c>
      <c r="H68" s="2053"/>
      <c r="I68" s="2054">
        <f>SUM(I66:I67)</f>
        <v>14219</v>
      </c>
      <c r="J68" s="2053"/>
      <c r="K68" s="2054">
        <f>SUM(K66:K67)</f>
        <v>0</v>
      </c>
      <c r="L68" s="2053"/>
      <c r="M68" s="2054">
        <f>SUM(M66:M67)</f>
        <v>14219</v>
      </c>
      <c r="N68" s="2053"/>
      <c r="O68" s="2054">
        <f>SUM(O66:O67)</f>
        <v>0</v>
      </c>
      <c r="P68" s="2053"/>
      <c r="Q68" s="2054">
        <f>SUM(Q66:Q67)</f>
        <v>14219</v>
      </c>
      <c r="R68" s="2053"/>
      <c r="S68" s="2053"/>
    </row>
    <row r="69" spans="1:19" ht="18" x14ac:dyDescent="0.4">
      <c r="A69" s="2051"/>
      <c r="B69" s="2039"/>
      <c r="C69" s="2077" t="s">
        <v>2139</v>
      </c>
      <c r="D69" s="2036"/>
      <c r="E69" s="2040"/>
      <c r="F69" s="2040"/>
      <c r="G69" s="2054">
        <f>SUM(G64,G68)</f>
        <v>0</v>
      </c>
      <c r="H69" s="2054"/>
      <c r="I69" s="2054">
        <f>SUM(I64,I68)</f>
        <v>567631</v>
      </c>
      <c r="J69" s="2054"/>
      <c r="K69" s="2054">
        <f>SUM(K64,K68)</f>
        <v>0</v>
      </c>
      <c r="L69" s="2054"/>
      <c r="M69" s="2054">
        <f>SUM(M64,M68)</f>
        <v>567631</v>
      </c>
      <c r="N69" s="2054"/>
      <c r="O69" s="2054">
        <f>SUM(O64,O68)</f>
        <v>0</v>
      </c>
      <c r="P69" s="2054"/>
      <c r="Q69" s="2054">
        <f>SUM(Q64,Q68)</f>
        <v>567631</v>
      </c>
      <c r="R69" s="2053"/>
      <c r="S69" s="2053"/>
    </row>
    <row r="70" spans="1:19" ht="15" customHeight="1" x14ac:dyDescent="0.25">
      <c r="A70" s="2051"/>
      <c r="B70" s="2039"/>
      <c r="C70" s="2052"/>
      <c r="D70" s="2036"/>
      <c r="E70" s="2040"/>
      <c r="F70" s="2040"/>
      <c r="G70" s="2053"/>
      <c r="H70" s="2053"/>
      <c r="I70" s="2053"/>
      <c r="J70" s="2053"/>
      <c r="K70" s="2053"/>
      <c r="L70" s="2053"/>
      <c r="M70" s="2053"/>
      <c r="N70" s="2053"/>
      <c r="O70" s="2053"/>
      <c r="P70" s="2053"/>
      <c r="Q70" s="2055"/>
      <c r="R70" s="2053"/>
      <c r="S70" s="2053"/>
    </row>
    <row r="71" spans="1:19" ht="17.25" customHeight="1" x14ac:dyDescent="0.25">
      <c r="A71" s="2051"/>
      <c r="B71" s="2078" t="s">
        <v>753</v>
      </c>
      <c r="C71" s="2052">
        <v>84.367000000000004</v>
      </c>
      <c r="D71" s="2036"/>
      <c r="E71" s="2040" t="s">
        <v>2140</v>
      </c>
      <c r="F71" s="2040"/>
      <c r="G71" s="2053">
        <v>52141</v>
      </c>
      <c r="H71" s="2057"/>
      <c r="I71" s="2060">
        <f>54465-52141</f>
        <v>2324</v>
      </c>
      <c r="J71" s="2053"/>
      <c r="K71" s="2053">
        <v>54465</v>
      </c>
      <c r="L71" s="2053"/>
      <c r="M71" s="2053" t="s">
        <v>1159</v>
      </c>
      <c r="N71" s="2053"/>
      <c r="O71" s="2053" t="s">
        <v>1159</v>
      </c>
      <c r="P71" s="2053"/>
      <c r="Q71" s="2055">
        <f>O71+M71+K71</f>
        <v>54465</v>
      </c>
      <c r="R71" s="2053"/>
      <c r="S71" s="2053">
        <v>54465</v>
      </c>
    </row>
    <row r="72" spans="1:19" ht="17.25" customHeight="1" x14ac:dyDescent="0.4">
      <c r="A72" s="2051"/>
      <c r="B72" s="2078" t="s">
        <v>753</v>
      </c>
      <c r="C72" s="2052">
        <v>84.367000000000004</v>
      </c>
      <c r="D72" s="2036"/>
      <c r="E72" s="2040" t="s">
        <v>2141</v>
      </c>
      <c r="F72" s="2040"/>
      <c r="G72" s="2054">
        <v>0</v>
      </c>
      <c r="H72" s="2053"/>
      <c r="I72" s="2054">
        <v>42646</v>
      </c>
      <c r="J72" s="2053"/>
      <c r="K72" s="2054" t="s">
        <v>1159</v>
      </c>
      <c r="L72" s="2053"/>
      <c r="M72" s="2054">
        <v>59326</v>
      </c>
      <c r="N72" s="2072"/>
      <c r="O72" s="2054" t="s">
        <v>1159</v>
      </c>
      <c r="P72" s="2053">
        <v>-2</v>
      </c>
      <c r="Q72" s="2066">
        <f>O72+M72+K72</f>
        <v>59326</v>
      </c>
      <c r="R72" s="2053"/>
      <c r="S72" s="2053">
        <v>61200</v>
      </c>
    </row>
    <row r="73" spans="1:19" ht="17.25" customHeight="1" x14ac:dyDescent="0.4">
      <c r="A73" s="2051"/>
      <c r="B73" s="2078"/>
      <c r="C73" s="2052" t="s">
        <v>2142</v>
      </c>
      <c r="D73" s="2036"/>
      <c r="E73" s="2040"/>
      <c r="F73" s="2040"/>
      <c r="G73" s="2054">
        <f>SUM(G71:G72)</f>
        <v>52141</v>
      </c>
      <c r="H73" s="2053"/>
      <c r="I73" s="2054">
        <f>SUM(I71:I72)</f>
        <v>44970</v>
      </c>
      <c r="J73" s="2053"/>
      <c r="K73" s="2054">
        <f>SUM(K71:K72)</f>
        <v>54465</v>
      </c>
      <c r="L73" s="2053"/>
      <c r="M73" s="2054">
        <f>SUM(M71:M72)</f>
        <v>59326</v>
      </c>
      <c r="N73" s="2072"/>
      <c r="O73" s="2054">
        <f>SUM(O71:O72)</f>
        <v>0</v>
      </c>
      <c r="P73" s="2053"/>
      <c r="Q73" s="2054">
        <f>SUM(Q71:Q72)</f>
        <v>113791</v>
      </c>
      <c r="R73" s="2053"/>
      <c r="S73" s="2053"/>
    </row>
    <row r="74" spans="1:19" ht="17.25" customHeight="1" x14ac:dyDescent="0.4">
      <c r="A74" s="2051"/>
      <c r="B74" s="2078"/>
      <c r="C74" s="2052"/>
      <c r="D74" s="2036"/>
      <c r="E74" s="2040"/>
      <c r="F74" s="2040"/>
      <c r="G74" s="2054"/>
      <c r="H74" s="2053"/>
      <c r="I74" s="2054"/>
      <c r="J74" s="2053"/>
      <c r="K74" s="2054"/>
      <c r="L74" s="2053"/>
      <c r="M74" s="2054"/>
      <c r="N74" s="2072"/>
      <c r="O74" s="2054"/>
      <c r="P74" s="2053"/>
      <c r="Q74" s="2054"/>
      <c r="R74" s="2053"/>
      <c r="S74" s="2053"/>
    </row>
    <row r="75" spans="1:19" ht="17.25" customHeight="1" x14ac:dyDescent="0.4">
      <c r="A75" s="2051" t="s">
        <v>2133</v>
      </c>
      <c r="B75" s="2078" t="s">
        <v>2143</v>
      </c>
      <c r="C75" s="2052" t="s">
        <v>2144</v>
      </c>
      <c r="D75" s="2036"/>
      <c r="E75" s="2040" t="s">
        <v>2145</v>
      </c>
      <c r="F75" s="2040"/>
      <c r="G75" s="2054">
        <v>0</v>
      </c>
      <c r="H75" s="2053"/>
      <c r="I75" s="2054">
        <v>0</v>
      </c>
      <c r="J75" s="2053"/>
      <c r="K75" s="2054">
        <v>0</v>
      </c>
      <c r="L75" s="2053"/>
      <c r="M75" s="2054">
        <v>221500</v>
      </c>
      <c r="N75" s="2072"/>
      <c r="O75" s="2054">
        <v>0</v>
      </c>
      <c r="P75" s="2053"/>
      <c r="Q75" s="2066">
        <f>O75+M75+K75</f>
        <v>221500</v>
      </c>
      <c r="R75" s="2053"/>
      <c r="S75" s="2053">
        <v>231171</v>
      </c>
    </row>
    <row r="76" spans="1:19" ht="17.25" customHeight="1" x14ac:dyDescent="0.25">
      <c r="A76" s="2051"/>
      <c r="B76" s="2078"/>
      <c r="C76" s="2052"/>
      <c r="D76" s="2036"/>
      <c r="E76" s="2040"/>
      <c r="F76" s="2040"/>
      <c r="G76" s="2053"/>
      <c r="H76" s="2053"/>
      <c r="I76" s="2053"/>
      <c r="J76" s="2053"/>
      <c r="K76" s="2053"/>
      <c r="L76" s="2053"/>
      <c r="M76" s="2053"/>
      <c r="N76" s="2072"/>
      <c r="O76" s="2053"/>
      <c r="P76" s="2053"/>
      <c r="Q76" s="2055"/>
      <c r="R76" s="2053"/>
      <c r="S76" s="2053"/>
    </row>
    <row r="77" spans="1:19" ht="17.25" customHeight="1" x14ac:dyDescent="0.4">
      <c r="A77" s="2047" t="s">
        <v>2146</v>
      </c>
      <c r="B77" s="2039"/>
      <c r="C77" s="2052"/>
      <c r="D77" s="2036"/>
      <c r="E77" s="2042"/>
      <c r="F77" s="2040"/>
      <c r="G77" s="2054">
        <f>SUM(G53,G57,G69,G73)</f>
        <v>180718</v>
      </c>
      <c r="H77" s="2053"/>
      <c r="I77" s="2054">
        <f>SUM(I53,I57,I69,I73)</f>
        <v>875850</v>
      </c>
      <c r="J77" s="2057"/>
      <c r="K77" s="2054">
        <f>SUM(K53,K57,K69,K73)</f>
        <v>320623</v>
      </c>
      <c r="L77" s="2053"/>
      <c r="M77" s="2054">
        <f>SUM(M53,M57,M69,M73+M75)</f>
        <v>1083108</v>
      </c>
      <c r="N77" s="2053"/>
      <c r="O77" s="2054">
        <f>SUM(O53,O57,O69,O73)</f>
        <v>0</v>
      </c>
      <c r="P77" s="2072"/>
      <c r="Q77" s="2054">
        <f>SUM(Q53,Q57,Q69,Q73,Q75)</f>
        <v>1403731</v>
      </c>
      <c r="R77" s="2053"/>
      <c r="S77" s="2056"/>
    </row>
    <row r="78" spans="1:19" ht="17.25" customHeight="1" x14ac:dyDescent="0.4">
      <c r="A78" s="2047"/>
      <c r="B78" s="2039"/>
      <c r="C78" s="2052"/>
      <c r="D78" s="2036"/>
      <c r="E78" s="2042"/>
      <c r="F78" s="2040"/>
      <c r="G78" s="2054"/>
      <c r="H78" s="2053"/>
      <c r="I78" s="2054"/>
      <c r="J78" s="2057"/>
      <c r="K78" s="2054"/>
      <c r="L78" s="2053"/>
      <c r="M78" s="2054"/>
      <c r="N78" s="2053"/>
      <c r="O78" s="2054"/>
      <c r="P78" s="2072"/>
      <c r="Q78" s="2054"/>
      <c r="R78" s="2053"/>
      <c r="S78" s="2056"/>
    </row>
    <row r="79" spans="1:19" ht="17.25" hidden="1" customHeight="1" x14ac:dyDescent="0.2">
      <c r="A79" s="2079" t="s">
        <v>2147</v>
      </c>
      <c r="B79" s="2035"/>
      <c r="C79" s="2035"/>
      <c r="D79" s="2035"/>
      <c r="E79" s="2035"/>
      <c r="F79" s="2048"/>
      <c r="G79" s="2080"/>
      <c r="H79" s="2080"/>
      <c r="I79" s="2080"/>
      <c r="J79" s="2081"/>
      <c r="K79" s="2080"/>
      <c r="L79" s="2080"/>
      <c r="M79" s="2080"/>
      <c r="N79" s="2080"/>
      <c r="O79" s="2080"/>
      <c r="P79" s="2081"/>
      <c r="Q79" s="2080"/>
      <c r="R79" s="2080"/>
      <c r="S79" s="2080"/>
    </row>
    <row r="80" spans="1:19" ht="5.25" hidden="1" customHeight="1" x14ac:dyDescent="0.2">
      <c r="A80" s="2079"/>
      <c r="B80" s="2035"/>
      <c r="C80" s="2035"/>
      <c r="D80" s="2035"/>
      <c r="E80" s="2035"/>
      <c r="F80" s="2048"/>
      <c r="G80" s="2080"/>
      <c r="H80" s="2080"/>
      <c r="I80" s="2080"/>
      <c r="J80" s="2081"/>
      <c r="K80" s="2080"/>
      <c r="L80" s="2080"/>
      <c r="M80" s="2082"/>
      <c r="N80" s="2080"/>
      <c r="O80" s="2080"/>
      <c r="P80" s="2081"/>
      <c r="Q80" s="2083"/>
      <c r="R80" s="2080"/>
      <c r="S80" s="2080"/>
    </row>
    <row r="81" spans="1:21" ht="17.25" hidden="1" customHeight="1" x14ac:dyDescent="0.2">
      <c r="A81" s="2084"/>
      <c r="B81" s="2035" t="s">
        <v>2148</v>
      </c>
      <c r="C81" s="2085">
        <v>84.027000000000001</v>
      </c>
      <c r="D81" s="2035"/>
      <c r="E81" s="2035" t="s">
        <v>2149</v>
      </c>
      <c r="F81" s="2048"/>
      <c r="G81" s="2080"/>
      <c r="H81" s="2080"/>
      <c r="I81" s="2080"/>
      <c r="J81" s="2081"/>
      <c r="K81" s="2080"/>
      <c r="L81" s="2080"/>
      <c r="M81" s="2080">
        <v>0</v>
      </c>
      <c r="N81" s="2080"/>
      <c r="O81" s="2080" t="s">
        <v>1159</v>
      </c>
      <c r="P81" s="2081"/>
      <c r="Q81" s="2083">
        <f>O81+M81+K81</f>
        <v>0</v>
      </c>
      <c r="R81" s="2080"/>
      <c r="S81" s="2080">
        <v>11909</v>
      </c>
    </row>
    <row r="82" spans="1:21" ht="17.25" hidden="1" customHeight="1" x14ac:dyDescent="0.2">
      <c r="A82" s="2084"/>
      <c r="B82" s="2035" t="s">
        <v>2148</v>
      </c>
      <c r="C82" s="2085">
        <v>84.027000000000001</v>
      </c>
      <c r="D82" s="2035"/>
      <c r="E82" s="2035" t="s">
        <v>2150</v>
      </c>
      <c r="F82" s="2048"/>
      <c r="G82" s="2082">
        <v>0</v>
      </c>
      <c r="H82" s="2080"/>
      <c r="I82" s="2082">
        <v>0</v>
      </c>
      <c r="J82" s="2081"/>
      <c r="K82" s="2082">
        <v>0</v>
      </c>
      <c r="L82" s="2080"/>
      <c r="M82" s="2082">
        <v>0</v>
      </c>
      <c r="N82" s="2080"/>
      <c r="O82" s="2082">
        <v>0</v>
      </c>
      <c r="P82" s="2081"/>
      <c r="Q82" s="2086">
        <f>O82+M82+K82</f>
        <v>0</v>
      </c>
      <c r="R82" s="2080"/>
      <c r="S82" s="2087">
        <v>11909</v>
      </c>
    </row>
    <row r="83" spans="1:21" ht="17.25" hidden="1" customHeight="1" x14ac:dyDescent="0.2">
      <c r="A83" s="2088" t="s">
        <v>2151</v>
      </c>
      <c r="B83" s="2089"/>
      <c r="C83" s="2085"/>
      <c r="D83" s="2035"/>
      <c r="E83" s="2048"/>
      <c r="F83" s="2048"/>
      <c r="G83" s="2082">
        <f>SUM(G80:G82)</f>
        <v>0</v>
      </c>
      <c r="H83" s="2080"/>
      <c r="I83" s="2082">
        <f>SUM(I80:I82)</f>
        <v>0</v>
      </c>
      <c r="J83" s="2081"/>
      <c r="K83" s="2082">
        <f>SUM(K80:K82)</f>
        <v>0</v>
      </c>
      <c r="L83" s="2080"/>
      <c r="M83" s="2082">
        <f>SUM(M80:M82)</f>
        <v>0</v>
      </c>
      <c r="N83" s="2080"/>
      <c r="O83" s="2082">
        <f>SUM(O80:O82)</f>
        <v>0</v>
      </c>
      <c r="P83" s="2081"/>
      <c r="Q83" s="2082">
        <f>SUM(Q80:Q82)</f>
        <v>0</v>
      </c>
      <c r="R83" s="2080"/>
      <c r="S83" s="2090"/>
    </row>
    <row r="84" spans="1:21" ht="17.25" hidden="1" customHeight="1" x14ac:dyDescent="0.4">
      <c r="A84" s="2047"/>
      <c r="B84" s="2039"/>
      <c r="C84" s="2052"/>
      <c r="D84" s="2036"/>
      <c r="E84" s="2042"/>
      <c r="F84" s="2040"/>
      <c r="G84" s="2054"/>
      <c r="H84" s="2053"/>
      <c r="I84" s="2054"/>
      <c r="J84" s="2057"/>
      <c r="K84" s="2054"/>
      <c r="L84" s="2053"/>
      <c r="M84" s="2054"/>
      <c r="N84" s="2053"/>
      <c r="O84" s="2054"/>
      <c r="P84" s="2072"/>
      <c r="Q84" s="2054"/>
      <c r="R84" s="2053"/>
      <c r="S84" s="2056"/>
    </row>
    <row r="85" spans="1:21" ht="17.25" hidden="1" customHeight="1" x14ac:dyDescent="0.25">
      <c r="A85" s="2047" t="s">
        <v>2096</v>
      </c>
      <c r="B85" s="2039"/>
      <c r="C85" s="2052"/>
      <c r="D85" s="2036"/>
      <c r="E85" s="2040"/>
      <c r="F85" s="2040"/>
      <c r="G85" s="2053"/>
      <c r="H85" s="2053"/>
      <c r="I85" s="2053"/>
      <c r="J85" s="2053"/>
      <c r="K85" s="2053"/>
      <c r="L85" s="2053"/>
      <c r="M85" s="2053"/>
      <c r="N85" s="2053"/>
      <c r="O85" s="2053"/>
      <c r="P85" s="2053"/>
      <c r="Q85" s="2055"/>
      <c r="R85" s="2053"/>
      <c r="S85" s="2056"/>
    </row>
    <row r="86" spans="1:21" ht="17.25" hidden="1" customHeight="1" x14ac:dyDescent="0.25">
      <c r="A86" s="2047" t="s">
        <v>2152</v>
      </c>
      <c r="B86" s="2039"/>
      <c r="C86" s="2052" t="s">
        <v>1159</v>
      </c>
      <c r="D86" s="2036"/>
      <c r="E86" s="2040" t="s">
        <v>1159</v>
      </c>
      <c r="F86" s="2040"/>
      <c r="G86" s="2053"/>
      <c r="H86" s="2053"/>
      <c r="I86" s="2053"/>
      <c r="J86" s="2053"/>
      <c r="K86" s="2053"/>
      <c r="L86" s="2053"/>
      <c r="M86" s="2053"/>
      <c r="N86" s="2053"/>
      <c r="O86" s="2053"/>
      <c r="P86" s="2053"/>
      <c r="Q86" s="2055"/>
      <c r="R86" s="2053"/>
      <c r="S86" s="2056"/>
    </row>
    <row r="87" spans="1:21" ht="17.25" hidden="1" customHeight="1" x14ac:dyDescent="0.25">
      <c r="A87" s="2047"/>
      <c r="B87" s="2039" t="s">
        <v>2132</v>
      </c>
      <c r="C87" s="2052">
        <v>84.02</v>
      </c>
      <c r="D87" s="2036"/>
      <c r="E87" s="2040" t="s">
        <v>2153</v>
      </c>
      <c r="F87" s="2040"/>
      <c r="G87" s="2053"/>
      <c r="H87" s="2053"/>
      <c r="I87" s="2053"/>
      <c r="J87" s="2053"/>
      <c r="K87" s="2053"/>
      <c r="L87" s="2053"/>
      <c r="M87" s="2053"/>
      <c r="N87" s="2053"/>
      <c r="O87" s="2053"/>
      <c r="P87" s="2053"/>
      <c r="Q87" s="2055">
        <f>O87+M87+K87</f>
        <v>0</v>
      </c>
      <c r="R87" s="2053"/>
      <c r="S87" s="2053"/>
    </row>
    <row r="88" spans="1:21" ht="17.25" hidden="1" customHeight="1" x14ac:dyDescent="0.4">
      <c r="A88" s="2051"/>
      <c r="B88" s="2039" t="s">
        <v>2132</v>
      </c>
      <c r="C88" s="2052">
        <v>84.02</v>
      </c>
      <c r="D88" s="2036"/>
      <c r="E88" s="2040" t="s">
        <v>2154</v>
      </c>
      <c r="F88" s="2040"/>
      <c r="G88" s="2054">
        <v>0</v>
      </c>
      <c r="H88" s="2053"/>
      <c r="I88" s="2054">
        <v>0</v>
      </c>
      <c r="J88" s="2053"/>
      <c r="K88" s="2054" t="s">
        <v>1159</v>
      </c>
      <c r="L88" s="2053"/>
      <c r="M88" s="2054">
        <v>0</v>
      </c>
      <c r="N88" s="2072"/>
      <c r="O88" s="2054" t="s">
        <v>1159</v>
      </c>
      <c r="P88" s="2053"/>
      <c r="Q88" s="2066">
        <f>O88+M88+K88</f>
        <v>0</v>
      </c>
      <c r="R88" s="2053"/>
      <c r="S88" s="2053"/>
    </row>
    <row r="89" spans="1:21" ht="17.25" hidden="1" customHeight="1" x14ac:dyDescent="0.4">
      <c r="A89" s="2051"/>
      <c r="B89" s="2091"/>
      <c r="C89" s="2052"/>
      <c r="D89" s="2036"/>
      <c r="E89" s="2092"/>
      <c r="F89" s="2040"/>
      <c r="G89" s="2054"/>
      <c r="H89" s="2053"/>
      <c r="I89" s="2054"/>
      <c r="J89" s="2053"/>
      <c r="K89" s="2054"/>
      <c r="L89" s="2053"/>
      <c r="M89" s="2054"/>
      <c r="N89" s="2072"/>
      <c r="O89" s="2054"/>
      <c r="P89" s="2053"/>
      <c r="Q89" s="2066"/>
      <c r="R89" s="2053"/>
      <c r="S89" s="2056"/>
    </row>
    <row r="90" spans="1:21" ht="17.25" hidden="1" customHeight="1" x14ac:dyDescent="0.4">
      <c r="A90" s="2047" t="s">
        <v>2096</v>
      </c>
      <c r="B90" s="2036"/>
      <c r="C90" s="2093"/>
      <c r="D90" s="2036"/>
      <c r="E90" s="2042"/>
      <c r="F90" s="2040"/>
      <c r="G90" s="2054"/>
      <c r="H90" s="2053"/>
      <c r="I90" s="2054"/>
      <c r="J90" s="2057"/>
      <c r="K90" s="2054"/>
      <c r="L90" s="2053"/>
      <c r="M90" s="2054"/>
      <c r="N90" s="2054"/>
      <c r="O90" s="2054"/>
      <c r="P90" s="2053"/>
      <c r="Q90" s="2066"/>
      <c r="R90" s="2053"/>
      <c r="S90" s="2056"/>
    </row>
    <row r="91" spans="1:21" ht="17.25" hidden="1" customHeight="1" x14ac:dyDescent="0.4">
      <c r="A91" s="2050" t="s">
        <v>2155</v>
      </c>
      <c r="B91" s="2036"/>
      <c r="C91" s="2093"/>
      <c r="D91" s="2036"/>
      <c r="E91" s="2036"/>
      <c r="F91" s="2040"/>
      <c r="G91" s="2066"/>
      <c r="H91" s="2066"/>
      <c r="I91" s="2066"/>
      <c r="J91" s="2066"/>
      <c r="K91" s="2066"/>
      <c r="L91" s="2066"/>
      <c r="M91" s="2066"/>
      <c r="N91" s="2066"/>
      <c r="O91" s="2066"/>
      <c r="P91" s="2066"/>
      <c r="Q91" s="2066"/>
      <c r="R91" s="2094"/>
      <c r="S91" s="2094"/>
    </row>
    <row r="92" spans="1:21" ht="17.25" hidden="1" customHeight="1" x14ac:dyDescent="0.4">
      <c r="A92" s="2050"/>
      <c r="B92" s="2036" t="s">
        <v>2156</v>
      </c>
      <c r="C92" s="2093">
        <v>84.126000000000005</v>
      </c>
      <c r="D92" s="2036"/>
      <c r="E92" s="2095" t="s">
        <v>2157</v>
      </c>
      <c r="F92" s="2040"/>
      <c r="G92" s="2055"/>
      <c r="H92" s="2066"/>
      <c r="I92" s="2055"/>
      <c r="J92" s="2066"/>
      <c r="K92" s="2055"/>
      <c r="L92" s="2066"/>
      <c r="M92" s="2055">
        <v>0</v>
      </c>
      <c r="N92" s="2066"/>
      <c r="O92" s="2066"/>
      <c r="P92" s="2066"/>
      <c r="Q92" s="2055">
        <f>O92+M92+K92</f>
        <v>0</v>
      </c>
      <c r="R92" s="2094"/>
      <c r="S92" s="2094">
        <v>92910</v>
      </c>
    </row>
    <row r="93" spans="1:21" ht="17.25" hidden="1" customHeight="1" x14ac:dyDescent="0.4">
      <c r="A93" s="2050"/>
      <c r="B93" s="2036" t="s">
        <v>2156</v>
      </c>
      <c r="C93" s="2093">
        <v>84.126000000000005</v>
      </c>
      <c r="D93" s="2036"/>
      <c r="E93" s="2095">
        <v>0</v>
      </c>
      <c r="F93" s="2040"/>
      <c r="G93" s="2066" t="s">
        <v>1159</v>
      </c>
      <c r="H93" s="2066"/>
      <c r="I93" s="2096">
        <v>0</v>
      </c>
      <c r="J93" s="2066"/>
      <c r="K93" s="2066">
        <v>0</v>
      </c>
      <c r="L93" s="2066"/>
      <c r="M93" s="2096">
        <v>0</v>
      </c>
      <c r="N93" s="2066"/>
      <c r="O93" s="2066">
        <v>0</v>
      </c>
      <c r="P93" s="2066"/>
      <c r="Q93" s="2066">
        <f>O93+M93+K93</f>
        <v>0</v>
      </c>
      <c r="R93" s="2094"/>
      <c r="S93" s="2097">
        <v>0</v>
      </c>
    </row>
    <row r="94" spans="1:21" ht="17.25" hidden="1" customHeight="1" x14ac:dyDescent="0.4">
      <c r="A94" s="2047" t="s">
        <v>2158</v>
      </c>
      <c r="B94" s="2036"/>
      <c r="C94" s="2093"/>
      <c r="D94" s="2036"/>
      <c r="E94" s="2052" t="s">
        <v>2159</v>
      </c>
      <c r="F94" s="2040"/>
      <c r="G94" s="2066">
        <f>SUM(G92:G93)</f>
        <v>0</v>
      </c>
      <c r="H94" s="2066" t="s">
        <v>1159</v>
      </c>
      <c r="I94" s="2066">
        <f>SUM(I92:I93)</f>
        <v>0</v>
      </c>
      <c r="J94" s="2066"/>
      <c r="K94" s="2066">
        <f>SUM(K92:K93)</f>
        <v>0</v>
      </c>
      <c r="L94" s="2066" t="s">
        <v>1159</v>
      </c>
      <c r="M94" s="2066">
        <f>SUM(M92:M93)</f>
        <v>0</v>
      </c>
      <c r="N94" s="2066"/>
      <c r="O94" s="2066" t="s">
        <v>2160</v>
      </c>
      <c r="P94" s="2066"/>
      <c r="Q94" s="2066">
        <f>SUM(Q92:Q93)</f>
        <v>0</v>
      </c>
      <c r="R94" s="2094"/>
      <c r="S94" s="2094" t="s">
        <v>1159</v>
      </c>
      <c r="T94" s="2099"/>
      <c r="U94" s="2099"/>
    </row>
    <row r="95" spans="1:21" ht="17.25" hidden="1" customHeight="1" x14ac:dyDescent="0.4">
      <c r="A95" s="2047" t="s">
        <v>2161</v>
      </c>
      <c r="B95" s="2036"/>
      <c r="C95" s="2093"/>
      <c r="D95" s="2036"/>
      <c r="E95" s="2052"/>
      <c r="F95" s="2040"/>
      <c r="G95" s="2066"/>
      <c r="H95" s="2066"/>
      <c r="I95" s="2066"/>
      <c r="J95" s="2066"/>
      <c r="K95" s="2066"/>
      <c r="L95" s="2066"/>
      <c r="M95" s="2066"/>
      <c r="N95" s="2066"/>
      <c r="O95" s="2066"/>
      <c r="P95" s="2066"/>
      <c r="Q95" s="2066"/>
      <c r="R95" s="2094"/>
      <c r="S95" s="2094"/>
      <c r="T95" s="2099"/>
      <c r="U95" s="2099"/>
    </row>
    <row r="96" spans="1:21" ht="17.25" hidden="1" customHeight="1" x14ac:dyDescent="0.4">
      <c r="A96" s="2047"/>
      <c r="B96" s="2036"/>
      <c r="C96" s="2093"/>
      <c r="D96" s="2036"/>
      <c r="E96" s="2052"/>
      <c r="F96" s="2040"/>
      <c r="G96" s="2066"/>
      <c r="H96" s="2066"/>
      <c r="I96" s="2066"/>
      <c r="J96" s="2066"/>
      <c r="K96" s="2066"/>
      <c r="L96" s="2066"/>
      <c r="M96" s="2066"/>
      <c r="N96" s="2066"/>
      <c r="O96" s="2066"/>
      <c r="P96" s="2066"/>
      <c r="Q96" s="2066"/>
      <c r="R96" s="2094"/>
      <c r="S96" s="2094"/>
      <c r="T96" s="2099"/>
      <c r="U96" s="2099"/>
    </row>
    <row r="97" spans="1:24" ht="17.25" hidden="1" customHeight="1" x14ac:dyDescent="0.4">
      <c r="A97" s="2047" t="s">
        <v>2162</v>
      </c>
      <c r="B97" s="2036"/>
      <c r="C97" s="2093"/>
      <c r="D97" s="2036"/>
      <c r="E97" s="2052"/>
      <c r="F97" s="2040"/>
      <c r="G97" s="2066"/>
      <c r="H97" s="2066"/>
      <c r="I97" s="2066"/>
      <c r="J97" s="2066"/>
      <c r="K97" s="2066"/>
      <c r="L97" s="2066"/>
      <c r="M97" s="2066"/>
      <c r="N97" s="2066"/>
      <c r="O97" s="2066"/>
      <c r="P97" s="2066"/>
      <c r="Q97" s="2066"/>
      <c r="R97" s="2094"/>
      <c r="S97" s="2094"/>
      <c r="T97" s="2099"/>
      <c r="U97" s="2099"/>
    </row>
    <row r="98" spans="1:24" ht="17.25" hidden="1" customHeight="1" x14ac:dyDescent="0.4">
      <c r="A98" s="2047" t="s">
        <v>2163</v>
      </c>
      <c r="B98" s="2036"/>
      <c r="C98" s="2093"/>
      <c r="D98" s="2036"/>
      <c r="E98" s="2052"/>
      <c r="F98" s="2040"/>
      <c r="G98" s="2066"/>
      <c r="H98" s="2066"/>
      <c r="I98" s="2066"/>
      <c r="J98" s="2066"/>
      <c r="K98" s="2066"/>
      <c r="L98" s="2066"/>
      <c r="M98" s="2066"/>
      <c r="N98" s="2066"/>
      <c r="O98" s="2066"/>
      <c r="P98" s="2066"/>
      <c r="Q98" s="2066"/>
      <c r="R98" s="2094"/>
      <c r="S98" s="2094"/>
      <c r="T98" s="2099"/>
      <c r="U98" s="2099"/>
    </row>
    <row r="99" spans="1:24" ht="17.25" hidden="1" customHeight="1" x14ac:dyDescent="0.4">
      <c r="A99" s="2047" t="s">
        <v>2164</v>
      </c>
      <c r="B99" s="2036"/>
      <c r="C99" s="2093"/>
      <c r="D99" s="2036"/>
      <c r="E99" s="2052"/>
      <c r="F99" s="2040"/>
      <c r="G99" s="2066"/>
      <c r="H99" s="2066"/>
      <c r="I99" s="2066"/>
      <c r="J99" s="2066"/>
      <c r="K99" s="2066"/>
      <c r="L99" s="2066"/>
      <c r="M99" s="2066"/>
      <c r="N99" s="2066"/>
      <c r="O99" s="2066"/>
      <c r="P99" s="2066"/>
      <c r="Q99" s="2066"/>
      <c r="R99" s="2094"/>
      <c r="S99" s="2094"/>
      <c r="T99" s="2099"/>
      <c r="U99" s="2099"/>
    </row>
    <row r="100" spans="1:24" ht="17.25" hidden="1" customHeight="1" x14ac:dyDescent="0.4">
      <c r="A100" s="2047"/>
      <c r="B100" s="2036"/>
      <c r="C100" s="2093"/>
      <c r="D100" s="2036"/>
      <c r="E100" s="2052"/>
      <c r="F100" s="2040"/>
      <c r="G100" s="2066"/>
      <c r="H100" s="2066"/>
      <c r="I100" s="2066"/>
      <c r="J100" s="2066"/>
      <c r="K100" s="2066"/>
      <c r="L100" s="2066"/>
      <c r="M100" s="2066"/>
      <c r="N100" s="2066"/>
      <c r="O100" s="2066"/>
      <c r="P100" s="2066"/>
      <c r="Q100" s="2066"/>
      <c r="R100" s="2094"/>
      <c r="S100" s="2094"/>
      <c r="T100" s="2099"/>
      <c r="U100" s="2099"/>
    </row>
    <row r="101" spans="1:24" ht="17.25" hidden="1" customHeight="1" x14ac:dyDescent="0.4">
      <c r="A101" s="2047"/>
      <c r="B101" s="2039" t="s">
        <v>2165</v>
      </c>
      <c r="C101" s="2052" t="s">
        <v>2166</v>
      </c>
      <c r="D101" s="2036"/>
      <c r="E101" s="2040" t="s">
        <v>2167</v>
      </c>
      <c r="F101" s="2040"/>
      <c r="G101" s="2054"/>
      <c r="H101" s="2053"/>
      <c r="I101" s="2054"/>
      <c r="J101" s="2057"/>
      <c r="K101" s="2054"/>
      <c r="L101" s="2053"/>
      <c r="M101" s="2054">
        <v>0</v>
      </c>
      <c r="N101" s="2053"/>
      <c r="O101" s="2054">
        <v>0</v>
      </c>
      <c r="P101" s="2053"/>
      <c r="Q101" s="2066">
        <f>O101+M101+K101</f>
        <v>0</v>
      </c>
      <c r="R101" s="2053"/>
      <c r="S101" s="2056">
        <v>25000</v>
      </c>
    </row>
    <row r="102" spans="1:24" ht="17.25" customHeight="1" x14ac:dyDescent="0.4">
      <c r="A102" s="2047"/>
      <c r="B102" s="2039"/>
      <c r="C102" s="2052"/>
      <c r="D102" s="2036"/>
      <c r="E102" s="2040"/>
      <c r="F102" s="2040"/>
      <c r="G102" s="2054"/>
      <c r="H102" s="2053"/>
      <c r="I102" s="2054"/>
      <c r="J102" s="2057"/>
      <c r="K102" s="2054"/>
      <c r="L102" s="2053"/>
      <c r="M102" s="2054"/>
      <c r="N102" s="2053"/>
      <c r="O102" s="2054"/>
      <c r="P102" s="2053"/>
      <c r="Q102" s="2066"/>
      <c r="R102" s="2053"/>
      <c r="S102" s="2056"/>
    </row>
    <row r="103" spans="1:24" ht="17.25" hidden="1" customHeight="1" x14ac:dyDescent="0.4">
      <c r="A103" s="2047" t="s">
        <v>2168</v>
      </c>
      <c r="B103" s="2036"/>
      <c r="C103" s="2093"/>
      <c r="D103" s="2036"/>
      <c r="E103" s="2036"/>
      <c r="F103" s="2040"/>
      <c r="G103" s="2066">
        <f>SUM(G77,G87,G94)</f>
        <v>180718</v>
      </c>
      <c r="H103" s="2066"/>
      <c r="I103" s="2066">
        <f>SUM(I77,I94,I88,I82,I101)</f>
        <v>875850</v>
      </c>
      <c r="J103" s="2055" t="s">
        <v>1159</v>
      </c>
      <c r="K103" s="2066">
        <f>SUM(K77,K94,K88,K82,K101)</f>
        <v>320623</v>
      </c>
      <c r="L103" s="2055" t="s">
        <v>1159</v>
      </c>
      <c r="M103" s="2066">
        <f>SUM(M77,M94,M88,M82,M101)</f>
        <v>1083108</v>
      </c>
      <c r="N103" s="2055" t="s">
        <v>1159</v>
      </c>
      <c r="O103" s="2066">
        <f>SUM(O77,O94,O88,O82,O101)</f>
        <v>0</v>
      </c>
      <c r="P103" s="2055" t="s">
        <v>1159</v>
      </c>
      <c r="Q103" s="2066">
        <f>SUM(Q77,Q94,Q88,Q82,Q101)</f>
        <v>1403731</v>
      </c>
      <c r="R103" s="2066"/>
      <c r="S103" s="2094" t="s">
        <v>1159</v>
      </c>
    </row>
    <row r="104" spans="1:24" ht="17.25" hidden="1" customHeight="1" x14ac:dyDescent="0.4">
      <c r="A104" s="2050" t="s">
        <v>1159</v>
      </c>
      <c r="B104" s="2036"/>
      <c r="C104" s="2093"/>
      <c r="D104" s="2036"/>
      <c r="E104" s="2036"/>
      <c r="F104" s="2040"/>
      <c r="G104" s="2066"/>
      <c r="H104" s="2066"/>
      <c r="I104" s="2066"/>
      <c r="J104" s="2066"/>
      <c r="K104" s="2066"/>
      <c r="L104" s="2066"/>
      <c r="M104" s="2066"/>
      <c r="N104" s="2066"/>
      <c r="O104" s="2066"/>
      <c r="P104" s="2066"/>
      <c r="Q104" s="2066"/>
      <c r="R104" s="2094"/>
      <c r="S104" s="2094"/>
    </row>
    <row r="105" spans="1:24" ht="17.25" customHeight="1" x14ac:dyDescent="0.4">
      <c r="A105" s="2050"/>
      <c r="B105" s="2036"/>
      <c r="P105" s="2066"/>
      <c r="Q105" s="2066"/>
      <c r="R105" s="2094"/>
      <c r="T105" s="2066"/>
      <c r="U105" s="2066"/>
      <c r="V105" s="2066"/>
      <c r="W105" s="2066"/>
      <c r="X105" s="2066"/>
    </row>
    <row r="106" spans="1:24" ht="10.15" hidden="1" customHeight="1" x14ac:dyDescent="0.4">
      <c r="A106" s="2050" t="s">
        <v>2169</v>
      </c>
      <c r="B106" s="2036"/>
      <c r="C106" s="2093"/>
      <c r="D106" s="2036"/>
      <c r="E106" s="2036"/>
      <c r="F106" s="2040"/>
      <c r="G106" s="2066"/>
      <c r="H106" s="2066"/>
      <c r="I106" s="2066"/>
      <c r="J106" s="2066"/>
      <c r="K106" s="2066"/>
      <c r="L106" s="2066"/>
      <c r="M106" s="2066"/>
      <c r="N106" s="2066"/>
      <c r="O106" s="2066"/>
      <c r="P106" s="2066"/>
      <c r="Q106" s="2066"/>
      <c r="R106" s="2094"/>
      <c r="S106" s="2094"/>
      <c r="T106" s="2101"/>
      <c r="U106" s="2101"/>
      <c r="V106" s="2101"/>
    </row>
    <row r="107" spans="1:24" ht="17.25" hidden="1" customHeight="1" x14ac:dyDescent="0.4">
      <c r="A107" s="2050"/>
      <c r="B107" s="2036"/>
      <c r="C107" s="2093"/>
      <c r="D107" s="2036"/>
      <c r="E107" s="2036"/>
      <c r="F107" s="2040"/>
      <c r="G107" s="2066"/>
      <c r="H107" s="2066"/>
      <c r="I107" s="2066"/>
      <c r="J107" s="2066"/>
      <c r="K107" s="2066"/>
      <c r="L107" s="2066"/>
      <c r="M107" s="2066"/>
      <c r="N107" s="2066"/>
      <c r="O107" s="2066"/>
      <c r="P107" s="2066"/>
      <c r="Q107" s="2066"/>
      <c r="R107" s="2094"/>
      <c r="S107" s="2094"/>
      <c r="T107" s="2101"/>
      <c r="U107" s="2101"/>
      <c r="V107" s="2101"/>
    </row>
    <row r="108" spans="1:24" ht="17.25" hidden="1" customHeight="1" x14ac:dyDescent="0.4">
      <c r="A108" s="2050" t="s">
        <v>2155</v>
      </c>
      <c r="B108" s="2036"/>
      <c r="C108" s="2093"/>
      <c r="D108" s="2036"/>
      <c r="E108" s="2036"/>
      <c r="F108" s="2040"/>
      <c r="G108" s="2055"/>
      <c r="H108" s="2066"/>
      <c r="I108" s="2055"/>
      <c r="J108" s="2066"/>
      <c r="K108" s="2055"/>
      <c r="L108" s="2066"/>
      <c r="M108" s="2055"/>
      <c r="N108" s="2066"/>
      <c r="O108" s="2066"/>
      <c r="P108" s="2066"/>
      <c r="Q108" s="2055">
        <f>O108+M108+K108</f>
        <v>0</v>
      </c>
      <c r="R108" s="2094"/>
      <c r="S108" s="2094"/>
      <c r="T108" s="2101"/>
      <c r="U108" s="2101"/>
      <c r="V108" s="2101"/>
    </row>
    <row r="109" spans="1:24" ht="17.25" hidden="1" customHeight="1" x14ac:dyDescent="0.4">
      <c r="A109" s="2050"/>
      <c r="B109" s="2036"/>
      <c r="C109" s="2093"/>
      <c r="D109" s="2036"/>
      <c r="E109" s="2036"/>
      <c r="F109" s="2040"/>
      <c r="G109" s="2066"/>
      <c r="H109" s="2066"/>
      <c r="I109" s="2066"/>
      <c r="J109" s="2066"/>
      <c r="K109" s="2066"/>
      <c r="L109" s="2066"/>
      <c r="M109" s="2066"/>
      <c r="N109" s="2066"/>
      <c r="O109" s="2066">
        <v>0</v>
      </c>
      <c r="P109" s="2066"/>
      <c r="Q109" s="2066">
        <f>O109+M109+K109</f>
        <v>0</v>
      </c>
      <c r="R109" s="2094"/>
      <c r="S109" s="2094"/>
      <c r="T109" s="2101"/>
      <c r="U109" s="2101"/>
      <c r="V109" s="2101"/>
    </row>
    <row r="110" spans="1:24" ht="17.25" hidden="1" customHeight="1" x14ac:dyDescent="0.4">
      <c r="A110" s="2050"/>
      <c r="B110" s="2036"/>
      <c r="C110" s="2093"/>
      <c r="D110" s="2036"/>
      <c r="E110" s="2036" t="s">
        <v>1159</v>
      </c>
      <c r="F110" s="2040"/>
      <c r="G110" s="2066">
        <f>SUM(G108:G109)</f>
        <v>0</v>
      </c>
      <c r="H110" s="2066" t="s">
        <v>1159</v>
      </c>
      <c r="I110" s="2066">
        <f>SUM(I108:I109)</f>
        <v>0</v>
      </c>
      <c r="J110" s="2066"/>
      <c r="K110" s="2066">
        <f>SUM(K108:K109)</f>
        <v>0</v>
      </c>
      <c r="L110" s="2066" t="s">
        <v>1159</v>
      </c>
      <c r="M110" s="2066">
        <f>SUM(M108:M109)</f>
        <v>0</v>
      </c>
      <c r="N110" s="2066"/>
      <c r="O110" s="2066" t="s">
        <v>2160</v>
      </c>
      <c r="P110" s="2066"/>
      <c r="Q110" s="2066">
        <f>SUM(Q108:Q109)</f>
        <v>0</v>
      </c>
      <c r="R110" s="2094"/>
      <c r="S110" s="2094" t="s">
        <v>1159</v>
      </c>
      <c r="T110" s="2101"/>
      <c r="U110" s="2101"/>
      <c r="V110" s="2101"/>
    </row>
    <row r="111" spans="1:24" ht="12" hidden="1" customHeight="1" x14ac:dyDescent="0.4">
      <c r="A111" s="2047" t="s">
        <v>2170</v>
      </c>
      <c r="B111" s="2036"/>
      <c r="C111" s="2093"/>
      <c r="D111" s="2036"/>
      <c r="E111" s="2036"/>
      <c r="F111" s="2040"/>
      <c r="G111" s="2066"/>
      <c r="H111" s="2066"/>
      <c r="I111" s="2066"/>
      <c r="J111" s="2066"/>
      <c r="K111" s="2066"/>
      <c r="L111" s="2066"/>
      <c r="M111" s="2066"/>
      <c r="N111" s="2066"/>
      <c r="O111" s="2066"/>
      <c r="P111" s="2066"/>
      <c r="Q111" s="2066"/>
      <c r="R111" s="2094"/>
      <c r="S111" s="2094"/>
      <c r="T111" s="2101"/>
      <c r="U111" s="2101"/>
      <c r="V111" s="2101"/>
    </row>
    <row r="112" spans="1:24" ht="17.25" customHeight="1" x14ac:dyDescent="0.4">
      <c r="A112" s="2047" t="s">
        <v>2096</v>
      </c>
      <c r="B112" s="2039"/>
      <c r="C112" s="2098"/>
      <c r="D112" s="2095"/>
      <c r="E112" s="2095"/>
      <c r="F112" s="2040"/>
      <c r="G112" s="2066"/>
      <c r="H112" s="2066"/>
      <c r="I112" s="2066"/>
      <c r="J112" s="2066"/>
      <c r="K112" s="2066"/>
      <c r="L112" s="2066"/>
      <c r="M112" s="2066"/>
      <c r="N112" s="2066"/>
      <c r="O112" s="2066"/>
      <c r="P112" s="2066"/>
      <c r="Q112" s="2066"/>
      <c r="R112" s="2094"/>
      <c r="S112" s="2094"/>
      <c r="T112" s="2101"/>
      <c r="U112" s="2101"/>
      <c r="V112" s="2101"/>
    </row>
    <row r="113" spans="1:22" s="2101" customFormat="1" ht="17.25" customHeight="1" x14ac:dyDescent="0.4">
      <c r="A113" s="2047" t="s">
        <v>2171</v>
      </c>
      <c r="B113" s="2039"/>
      <c r="C113" s="2098"/>
      <c r="D113" s="2095"/>
      <c r="E113" s="2095"/>
      <c r="F113" s="2040"/>
      <c r="G113" s="2055"/>
      <c r="H113" s="2055"/>
      <c r="I113" s="2055"/>
      <c r="J113" s="2055"/>
      <c r="K113" s="2055"/>
      <c r="L113" s="2055"/>
      <c r="M113" s="2055"/>
      <c r="N113" s="2066"/>
      <c r="O113" s="2066"/>
      <c r="P113" s="2066"/>
      <c r="Q113" s="2066"/>
      <c r="R113" s="2094"/>
      <c r="S113" s="2094"/>
    </row>
    <row r="114" spans="1:22" s="2101" customFormat="1" ht="17.25" customHeight="1" x14ac:dyDescent="0.4">
      <c r="B114" s="2039" t="s">
        <v>2172</v>
      </c>
      <c r="C114" s="2052">
        <v>93.778000000000006</v>
      </c>
      <c r="D114" s="2036"/>
      <c r="E114" s="2036" t="s">
        <v>2173</v>
      </c>
      <c r="F114" s="2040"/>
      <c r="G114" s="2055">
        <v>9010</v>
      </c>
      <c r="H114" s="2055"/>
      <c r="I114" s="2055">
        <v>3302</v>
      </c>
      <c r="J114" s="2055"/>
      <c r="K114" s="2055">
        <v>12825</v>
      </c>
      <c r="L114" s="2055"/>
      <c r="M114" s="2055"/>
      <c r="N114" s="2066"/>
      <c r="O114" s="2066"/>
      <c r="P114" s="2066"/>
      <c r="Q114" s="2055">
        <f>O114+M114+K114</f>
        <v>12825</v>
      </c>
      <c r="R114" s="2094"/>
      <c r="S114" s="2056" t="s">
        <v>2099</v>
      </c>
    </row>
    <row r="115" spans="1:22" s="2101" customFormat="1" ht="17.25" customHeight="1" x14ac:dyDescent="0.4">
      <c r="A115" s="2047"/>
      <c r="B115" s="2039" t="s">
        <v>2172</v>
      </c>
      <c r="C115" s="2052">
        <v>93.778000000000006</v>
      </c>
      <c r="D115" s="2036"/>
      <c r="E115" s="2036" t="s">
        <v>2174</v>
      </c>
      <c r="F115" s="2040"/>
      <c r="G115" s="2102">
        <v>0</v>
      </c>
      <c r="H115" s="2066"/>
      <c r="I115" s="2055">
        <v>9630</v>
      </c>
      <c r="J115" s="2066"/>
      <c r="K115" s="2102">
        <v>0</v>
      </c>
      <c r="L115" s="2066"/>
      <c r="M115" s="2102">
        <v>13328</v>
      </c>
      <c r="N115" s="2066"/>
      <c r="O115" s="2066"/>
      <c r="P115" s="2066"/>
      <c r="Q115" s="2102">
        <f>O115+M115+K115</f>
        <v>13328</v>
      </c>
      <c r="R115" s="2094"/>
      <c r="S115" s="2056" t="s">
        <v>2099</v>
      </c>
    </row>
    <row r="116" spans="1:22" s="2101" customFormat="1" ht="16.899999999999999" customHeight="1" x14ac:dyDescent="0.4">
      <c r="A116" s="2047"/>
      <c r="B116" s="2039"/>
      <c r="C116" s="2093"/>
      <c r="D116" s="2036"/>
      <c r="E116" s="2052" t="s">
        <v>2175</v>
      </c>
      <c r="F116" s="2040"/>
      <c r="G116" s="2103">
        <f>SUM(G114:G115)</f>
        <v>9010</v>
      </c>
      <c r="H116" s="2066"/>
      <c r="I116" s="2103">
        <f>SUM(I114:I115)</f>
        <v>12932</v>
      </c>
      <c r="J116" s="2066"/>
      <c r="K116" s="2103">
        <f>SUM(K114:K115)</f>
        <v>12825</v>
      </c>
      <c r="L116" s="2066"/>
      <c r="M116" s="2103">
        <f>SUM(M114:M115)</f>
        <v>13328</v>
      </c>
      <c r="N116" s="2066"/>
      <c r="O116" s="2103">
        <f>SUM(O114:O115)</f>
        <v>0</v>
      </c>
      <c r="P116" s="2066"/>
      <c r="Q116" s="2103">
        <f>SUM(Q114:Q115)</f>
        <v>26153</v>
      </c>
      <c r="R116" s="2094"/>
      <c r="S116" s="2094"/>
    </row>
    <row r="117" spans="1:22" s="2101" customFormat="1" ht="8.4499999999999993" customHeight="1" x14ac:dyDescent="0.25">
      <c r="A117" s="2047"/>
      <c r="B117" s="2039"/>
      <c r="C117" s="2052"/>
      <c r="D117" s="2036"/>
      <c r="E117" s="2042"/>
      <c r="F117" s="2040"/>
      <c r="G117" s="2053"/>
      <c r="H117" s="2053"/>
      <c r="I117" s="2053"/>
      <c r="J117" s="2057"/>
      <c r="K117" s="2053"/>
      <c r="L117" s="2053"/>
      <c r="M117" s="2053"/>
      <c r="N117" s="2053"/>
      <c r="O117" s="2053"/>
      <c r="P117" s="2053"/>
      <c r="Q117" s="2055"/>
      <c r="R117" s="2053"/>
      <c r="S117" s="2056"/>
    </row>
    <row r="118" spans="1:22" s="2101" customFormat="1" ht="17.25" customHeight="1" x14ac:dyDescent="0.4">
      <c r="A118" s="2104" t="s">
        <v>2176</v>
      </c>
      <c r="B118" s="2036"/>
      <c r="C118" s="2036"/>
      <c r="D118" s="2036"/>
      <c r="E118" s="2036"/>
      <c r="F118" s="2040"/>
      <c r="G118" s="2066">
        <f>+G110+G116</f>
        <v>9010</v>
      </c>
      <c r="H118" s="2053"/>
      <c r="I118" s="2066">
        <f>+I110+I116</f>
        <v>12932</v>
      </c>
      <c r="J118" s="2057"/>
      <c r="K118" s="2066">
        <f>+K110+K116</f>
        <v>12825</v>
      </c>
      <c r="L118" s="2053"/>
      <c r="M118" s="2066">
        <f>+M110+M116</f>
        <v>13328</v>
      </c>
      <c r="N118" s="2053"/>
      <c r="O118" s="2066">
        <f>SUM(O114:O116)</f>
        <v>0</v>
      </c>
      <c r="P118" s="2053"/>
      <c r="Q118" s="2066">
        <f>+Q110+Q116</f>
        <v>26153</v>
      </c>
      <c r="R118" s="2053"/>
      <c r="S118" s="2056"/>
    </row>
    <row r="119" spans="1:22" ht="12.6" customHeight="1" x14ac:dyDescent="0.4">
      <c r="F119" s="2040"/>
      <c r="G119" s="2054"/>
      <c r="H119" s="2036"/>
      <c r="I119" s="2036"/>
      <c r="J119" s="2040"/>
      <c r="K119" s="2036"/>
      <c r="L119" s="2036"/>
      <c r="M119" s="2036"/>
      <c r="N119" s="2036"/>
      <c r="O119" s="2036"/>
      <c r="P119" s="2036"/>
      <c r="Q119" s="2036"/>
      <c r="R119" s="2036"/>
      <c r="S119" s="2036"/>
    </row>
    <row r="120" spans="1:22" ht="17.25" customHeight="1" x14ac:dyDescent="0.4">
      <c r="A120" s="2040"/>
      <c r="B120" s="2036"/>
      <c r="C120" s="2036"/>
      <c r="D120" s="2036"/>
      <c r="E120" s="2105"/>
      <c r="F120" s="2040"/>
      <c r="G120" s="2106">
        <f>G43+G103+G118</f>
        <v>517147</v>
      </c>
      <c r="H120" s="2106"/>
      <c r="I120" s="2106">
        <f>I43+I103+I118</f>
        <v>1345494</v>
      </c>
      <c r="J120" s="2106"/>
      <c r="K120" s="2106">
        <f>K43+K103+K118</f>
        <v>746744</v>
      </c>
      <c r="L120" s="2106"/>
      <c r="M120" s="2106">
        <f>M43+M103+M118</f>
        <v>1637818</v>
      </c>
      <c r="N120" s="2106"/>
      <c r="O120" s="2106">
        <f>O43+O103+O118</f>
        <v>0</v>
      </c>
      <c r="P120" s="2106"/>
      <c r="Q120" s="2106">
        <f>Q43+Q103+Q118</f>
        <v>2384562</v>
      </c>
      <c r="R120" s="2036"/>
      <c r="S120" s="2036"/>
      <c r="T120" s="2037" t="s">
        <v>1159</v>
      </c>
    </row>
    <row r="121" spans="1:22" ht="17.25" customHeight="1" x14ac:dyDescent="0.25">
      <c r="A121" s="2047" t="s">
        <v>2177</v>
      </c>
      <c r="B121" s="2036"/>
      <c r="C121" s="2036"/>
      <c r="D121" s="2036"/>
      <c r="E121" s="2036"/>
      <c r="F121" s="2040"/>
      <c r="G121" s="2036"/>
      <c r="H121" s="2036"/>
      <c r="I121" s="2036"/>
      <c r="J121" s="2040"/>
      <c r="K121" s="2036"/>
      <c r="L121" s="2036"/>
      <c r="M121" s="2036"/>
      <c r="N121" s="2036"/>
      <c r="O121" s="2036"/>
      <c r="P121" s="2036"/>
      <c r="Q121" s="2036"/>
      <c r="R121" s="2036"/>
      <c r="S121" s="2036"/>
    </row>
    <row r="122" spans="1:22" ht="17.25" hidden="1" customHeight="1" x14ac:dyDescent="0.25">
      <c r="A122" s="2040"/>
      <c r="B122" s="2036"/>
      <c r="C122" s="2036"/>
      <c r="D122" s="2036"/>
      <c r="E122" s="2036"/>
      <c r="F122" s="2040"/>
      <c r="G122" s="2036"/>
      <c r="H122" s="2036"/>
      <c r="I122" s="2036"/>
      <c r="J122" s="2040"/>
      <c r="K122" s="2036"/>
      <c r="L122" s="2036"/>
      <c r="M122" s="2036"/>
      <c r="N122" s="2036"/>
      <c r="O122" s="2036"/>
      <c r="P122" s="2036"/>
      <c r="Q122" s="2036"/>
      <c r="R122" s="2036"/>
      <c r="S122" s="2036"/>
    </row>
    <row r="123" spans="1:22" ht="17.25" customHeight="1" x14ac:dyDescent="0.25">
      <c r="A123" s="2040"/>
      <c r="B123" s="2036"/>
      <c r="C123" s="2036"/>
      <c r="D123" s="2036"/>
      <c r="E123" s="2036"/>
      <c r="F123" s="2040"/>
      <c r="G123" s="2036"/>
      <c r="H123" s="2036"/>
      <c r="I123" s="2036"/>
      <c r="J123" s="2040"/>
      <c r="K123" s="2036"/>
      <c r="L123" s="2036"/>
      <c r="M123" s="2036"/>
      <c r="N123" s="2036"/>
      <c r="O123" s="2036"/>
      <c r="P123" s="2036"/>
      <c r="Q123" s="2036"/>
      <c r="R123" s="2036"/>
      <c r="S123" s="2036"/>
    </row>
    <row r="124" spans="1:22" ht="17.25" customHeight="1" x14ac:dyDescent="0.25">
      <c r="A124" s="2040"/>
      <c r="B124" s="2036"/>
      <c r="C124" s="2036"/>
      <c r="D124" s="2036"/>
      <c r="E124" s="2036"/>
      <c r="F124" s="2040"/>
      <c r="G124" s="2055">
        <f>+G43+G77</f>
        <v>508137</v>
      </c>
      <c r="H124" s="2055"/>
      <c r="I124" s="2055">
        <f>+I43+I77</f>
        <v>1332562</v>
      </c>
      <c r="J124" s="2055"/>
      <c r="K124" s="2055">
        <f>+K43+K77</f>
        <v>733919</v>
      </c>
      <c r="L124" s="2055"/>
      <c r="M124" s="2055">
        <f>+M43+M77</f>
        <v>1624490</v>
      </c>
      <c r="N124" s="2055"/>
      <c r="O124" s="2055">
        <f>+O43+O77</f>
        <v>0</v>
      </c>
      <c r="P124" s="2055"/>
      <c r="Q124" s="2055">
        <f>+Q43+Q77</f>
        <v>2358409</v>
      </c>
      <c r="R124" s="2053"/>
      <c r="S124" s="2053"/>
    </row>
    <row r="125" spans="1:22" ht="17.25" customHeight="1" x14ac:dyDescent="0.25">
      <c r="A125" s="2050" t="s">
        <v>2178</v>
      </c>
      <c r="B125" s="2039"/>
      <c r="C125" s="2036"/>
      <c r="D125" s="2036"/>
      <c r="E125" s="2036"/>
      <c r="F125" s="2040"/>
      <c r="G125" s="2053"/>
      <c r="H125" s="2053"/>
      <c r="I125" s="2053"/>
      <c r="J125" s="2057"/>
      <c r="K125" s="2053"/>
      <c r="L125" s="2053"/>
      <c r="M125" s="2053"/>
      <c r="N125" s="2053"/>
      <c r="O125" s="2053"/>
      <c r="P125" s="2053"/>
      <c r="Q125" s="2053"/>
      <c r="R125" s="2053"/>
      <c r="S125" s="2053"/>
    </row>
    <row r="126" spans="1:22" ht="17.25" customHeight="1" x14ac:dyDescent="0.4">
      <c r="A126" s="2040"/>
      <c r="B126" s="2036"/>
      <c r="C126" s="2093"/>
      <c r="D126" s="2036"/>
      <c r="E126" s="2036"/>
      <c r="F126" s="2040"/>
      <c r="G126" s="2054">
        <f>SUM(G87,G94,G118)</f>
        <v>9010</v>
      </c>
      <c r="H126" s="2054"/>
      <c r="I126" s="2054">
        <f>SUM(I87,I94,I118,I83+I101)</f>
        <v>12932</v>
      </c>
      <c r="J126" s="2054"/>
      <c r="K126" s="2054">
        <f>SUM(K87,K94,K118)</f>
        <v>12825</v>
      </c>
      <c r="L126" s="2054"/>
      <c r="M126" s="2054">
        <f>SUM(M87,M94,M118,M83+M101)</f>
        <v>13328</v>
      </c>
      <c r="N126" s="2054"/>
      <c r="O126" s="2054">
        <f>SUM(O94,O118)</f>
        <v>0</v>
      </c>
      <c r="P126" s="2054"/>
      <c r="Q126" s="2054">
        <f>SUM(Q87,Q94,Q118,Q83+Q101)</f>
        <v>26153</v>
      </c>
      <c r="R126" s="2094"/>
      <c r="S126" s="2094"/>
    </row>
    <row r="127" spans="1:22" ht="17.25" customHeight="1" x14ac:dyDescent="0.4">
      <c r="A127" s="2050" t="s">
        <v>2179</v>
      </c>
      <c r="B127" s="2036"/>
      <c r="C127" s="2093"/>
      <c r="D127" s="2036"/>
      <c r="E127" s="2036"/>
      <c r="F127" s="2040"/>
      <c r="G127" s="2054"/>
      <c r="H127" s="2053"/>
      <c r="I127" s="2054"/>
      <c r="J127" s="2057"/>
      <c r="K127" s="2054"/>
      <c r="L127" s="2094"/>
      <c r="M127" s="2054"/>
      <c r="N127" s="2094"/>
      <c r="O127" s="2054"/>
      <c r="P127" s="2094"/>
      <c r="Q127" s="2054"/>
      <c r="R127" s="2094"/>
      <c r="S127" s="2094"/>
      <c r="U127" s="2037" t="s">
        <v>1159</v>
      </c>
    </row>
    <row r="128" spans="1:22" ht="17.25" customHeight="1" x14ac:dyDescent="0.4">
      <c r="A128" s="2050"/>
      <c r="B128" s="2036"/>
      <c r="C128" s="2107"/>
      <c r="D128" s="2036"/>
      <c r="E128" s="2036"/>
      <c r="F128" s="2040"/>
      <c r="G128" s="2106">
        <f>G124+G126</f>
        <v>517147</v>
      </c>
      <c r="H128" s="2106"/>
      <c r="I128" s="2106">
        <f t="shared" ref="I128:Q128" si="0">I124+I126</f>
        <v>1345494</v>
      </c>
      <c r="J128" s="2106"/>
      <c r="K128" s="2106">
        <f t="shared" si="0"/>
        <v>746744</v>
      </c>
      <c r="L128" s="2106"/>
      <c r="M128" s="2106">
        <f t="shared" si="0"/>
        <v>1637818</v>
      </c>
      <c r="N128" s="2106"/>
      <c r="O128" s="2106">
        <f t="shared" si="0"/>
        <v>0</v>
      </c>
      <c r="P128" s="2106"/>
      <c r="Q128" s="2106">
        <f t="shared" si="0"/>
        <v>2384562</v>
      </c>
      <c r="R128" s="2094" t="s">
        <v>1159</v>
      </c>
      <c r="S128" s="2053"/>
      <c r="V128" s="2108"/>
    </row>
    <row r="129" spans="1:19" ht="17.25" customHeight="1" x14ac:dyDescent="0.25">
      <c r="A129" s="2050" t="s">
        <v>2177</v>
      </c>
      <c r="B129" s="2036"/>
      <c r="C129" s="2107"/>
      <c r="D129" s="2036"/>
      <c r="E129" s="2036"/>
      <c r="F129" s="2040"/>
      <c r="G129" s="2109"/>
      <c r="H129" s="2053"/>
      <c r="I129" s="2109" t="s">
        <v>1159</v>
      </c>
      <c r="J129" s="2057"/>
      <c r="K129" s="2109"/>
      <c r="L129" s="2094"/>
      <c r="M129" s="2109"/>
      <c r="N129" s="2094"/>
      <c r="O129" s="2109"/>
      <c r="P129" s="2094"/>
      <c r="Q129" s="2109"/>
      <c r="R129" s="2094" t="s">
        <v>1159</v>
      </c>
      <c r="S129" s="2053"/>
    </row>
    <row r="130" spans="1:19" ht="17.25" customHeight="1" x14ac:dyDescent="0.25">
      <c r="A130" s="2110" t="s">
        <v>2180</v>
      </c>
      <c r="B130" s="2036"/>
      <c r="C130" s="2036"/>
      <c r="D130" s="2036"/>
      <c r="E130" s="2036"/>
      <c r="F130" s="2040"/>
      <c r="G130" s="2053"/>
      <c r="H130" s="2053"/>
      <c r="I130" s="2053" t="s">
        <v>1159</v>
      </c>
      <c r="J130" s="2057"/>
      <c r="K130" s="2053"/>
      <c r="L130" s="2053"/>
      <c r="M130" s="2053" t="s">
        <v>1159</v>
      </c>
      <c r="N130" s="2053"/>
      <c r="O130" s="2053"/>
      <c r="P130" s="2053"/>
      <c r="Q130" s="2053"/>
      <c r="R130" s="2053"/>
      <c r="S130" s="2053"/>
    </row>
    <row r="131" spans="1:19" ht="17.25" customHeight="1" x14ac:dyDescent="0.25">
      <c r="A131" s="2036" t="s">
        <v>2181</v>
      </c>
      <c r="B131" s="2036"/>
      <c r="C131" s="2107"/>
      <c r="D131" s="2036"/>
      <c r="E131" s="2036"/>
      <c r="F131" s="2040"/>
      <c r="G131" s="2053"/>
      <c r="H131" s="2053"/>
      <c r="I131" s="2053" t="s">
        <v>1159</v>
      </c>
      <c r="J131" s="2057"/>
      <c r="K131" s="2053"/>
      <c r="L131" s="2053"/>
      <c r="M131" s="2053"/>
      <c r="N131" s="2053"/>
      <c r="O131" s="2053"/>
      <c r="P131" s="2053"/>
      <c r="Q131" s="2053"/>
      <c r="R131" s="2053"/>
      <c r="S131" s="2053"/>
    </row>
    <row r="132" spans="1:19" ht="17.25" customHeight="1" x14ac:dyDescent="0.25">
      <c r="A132" s="2036" t="s">
        <v>2182</v>
      </c>
      <c r="B132" s="2036"/>
      <c r="C132" s="2107"/>
      <c r="D132" s="2036"/>
      <c r="E132" s="2036"/>
      <c r="F132" s="2040"/>
      <c r="G132" s="2053"/>
      <c r="H132" s="2053"/>
      <c r="I132" s="2053" t="s">
        <v>1159</v>
      </c>
      <c r="J132" s="2057"/>
      <c r="K132" s="2053"/>
      <c r="L132" s="2053"/>
      <c r="M132" s="2053"/>
      <c r="N132" s="2053"/>
      <c r="O132" s="2053"/>
      <c r="P132" s="2053"/>
      <c r="Q132" s="2053"/>
      <c r="R132" s="2053"/>
      <c r="S132" s="2053"/>
    </row>
    <row r="133" spans="1:19" ht="17.25" customHeight="1" x14ac:dyDescent="0.25">
      <c r="A133" s="2036" t="s">
        <v>2183</v>
      </c>
    </row>
    <row r="134" spans="1:19" ht="17.25" customHeight="1" x14ac:dyDescent="0.2">
      <c r="A134" s="2111" t="s">
        <v>2184</v>
      </c>
    </row>
    <row r="137" spans="1:19" ht="15.95" customHeight="1" x14ac:dyDescent="0.25">
      <c r="I137" s="2055"/>
      <c r="J137" s="2055"/>
      <c r="K137" s="2055"/>
      <c r="L137" s="2055"/>
      <c r="M137" s="2055"/>
    </row>
    <row r="138" spans="1:19" ht="15.95" customHeight="1" x14ac:dyDescent="0.25">
      <c r="I138" s="2055"/>
      <c r="J138" s="2055"/>
      <c r="K138" s="2055"/>
      <c r="L138" s="2055"/>
      <c r="M138" s="2055"/>
    </row>
    <row r="139" spans="1:19" ht="15.95" customHeight="1" x14ac:dyDescent="0.25">
      <c r="I139" s="2055"/>
      <c r="J139" s="2055"/>
      <c r="K139" s="2055"/>
      <c r="L139" s="2055"/>
      <c r="M139" s="2055"/>
    </row>
    <row r="140" spans="1:19" ht="15.95" customHeight="1" x14ac:dyDescent="0.25">
      <c r="I140" s="2055"/>
      <c r="J140" s="2055"/>
      <c r="K140" s="2055"/>
      <c r="L140" s="2055"/>
      <c r="M140" s="2055"/>
    </row>
    <row r="141" spans="1:19" ht="15.95" customHeight="1" x14ac:dyDescent="0.25">
      <c r="I141" s="2055"/>
      <c r="J141" s="2055"/>
      <c r="K141" s="2055"/>
      <c r="L141" s="2055"/>
      <c r="M141" s="2055"/>
    </row>
    <row r="142" spans="1:19" ht="15.95" customHeight="1" x14ac:dyDescent="0.25">
      <c r="I142" s="2055"/>
      <c r="J142" s="2055"/>
      <c r="K142" s="2055"/>
      <c r="L142" s="2055"/>
      <c r="M142" s="2055"/>
    </row>
    <row r="143" spans="1:19" ht="15.95" customHeight="1" x14ac:dyDescent="0.25">
      <c r="I143" s="2055"/>
      <c r="J143" s="2055"/>
      <c r="K143" s="2055"/>
      <c r="L143" s="2055"/>
      <c r="M143" s="2055"/>
    </row>
  </sheetData>
  <mergeCells count="4">
    <mergeCell ref="A1:S1"/>
    <mergeCell ref="A2:S2"/>
    <mergeCell ref="A3:S3"/>
    <mergeCell ref="A4:S4"/>
  </mergeCells>
  <printOptions horizontalCentered="1" gridLinesSet="0"/>
  <pageMargins left="0.7" right="0.2" top="0.5" bottom="0.5" header="0.3" footer="0.3"/>
  <pageSetup scale="5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74" t="s">
        <v>1158</v>
      </c>
      <c r="B2" s="2274"/>
      <c r="C2" s="2274"/>
      <c r="D2" s="2274"/>
      <c r="E2" s="2274"/>
      <c r="F2" s="2274"/>
      <c r="G2" s="2274"/>
      <c r="H2" s="2274"/>
      <c r="I2" s="2274"/>
      <c r="J2" s="227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88" t="s">
        <v>1616</v>
      </c>
      <c r="B35" s="2289"/>
      <c r="C35" s="2289"/>
      <c r="D35" s="2289"/>
      <c r="E35" s="2290"/>
      <c r="F35" s="2290"/>
      <c r="G35" s="2290"/>
      <c r="H35" s="2290"/>
      <c r="I35" s="229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88" t="s">
        <v>310</v>
      </c>
      <c r="B47" s="2291"/>
      <c r="C47" s="2291"/>
      <c r="D47" s="2291"/>
      <c r="E47" s="2292"/>
      <c r="F47" s="2292"/>
      <c r="G47" s="2292"/>
      <c r="H47" s="2292"/>
      <c r="I47" s="229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5"/>
      <c r="C57" s="2296"/>
      <c r="D57" s="2296"/>
      <c r="E57" s="2296"/>
      <c r="F57" s="2296"/>
      <c r="G57" s="2296"/>
      <c r="H57" s="2296"/>
      <c r="I57" s="2296"/>
      <c r="J57" s="2297"/>
    </row>
    <row r="58" spans="1:10" s="176" customFormat="1" x14ac:dyDescent="0.2">
      <c r="A58" s="248"/>
      <c r="B58" s="2298"/>
      <c r="C58" s="2299"/>
      <c r="D58" s="2299"/>
      <c r="E58" s="2299"/>
      <c r="F58" s="2299"/>
      <c r="G58" s="2299"/>
      <c r="H58" s="2299"/>
      <c r="I58" s="2299"/>
      <c r="J58" s="2300"/>
    </row>
    <row r="59" spans="1:10" s="176" customFormat="1" x14ac:dyDescent="0.2">
      <c r="A59" s="248"/>
      <c r="B59" s="2298"/>
      <c r="C59" s="2299"/>
      <c r="D59" s="2299"/>
      <c r="E59" s="2299"/>
      <c r="F59" s="2299"/>
      <c r="G59" s="2299"/>
      <c r="H59" s="2299"/>
      <c r="I59" s="2299"/>
      <c r="J59" s="2300"/>
    </row>
    <row r="60" spans="1:10" s="176" customFormat="1" x14ac:dyDescent="0.2">
      <c r="A60" s="248"/>
      <c r="B60" s="2298"/>
      <c r="C60" s="2299"/>
      <c r="D60" s="2299"/>
      <c r="E60" s="2299"/>
      <c r="F60" s="2299"/>
      <c r="G60" s="2299"/>
      <c r="H60" s="2299"/>
      <c r="I60" s="2299"/>
      <c r="J60" s="2300"/>
    </row>
    <row r="61" spans="1:10" s="176" customFormat="1" x14ac:dyDescent="0.2">
      <c r="A61" s="248"/>
      <c r="B61" s="2298"/>
      <c r="C61" s="2299"/>
      <c r="D61" s="2299"/>
      <c r="E61" s="2299"/>
      <c r="F61" s="2299"/>
      <c r="G61" s="2299"/>
      <c r="H61" s="2299"/>
      <c r="I61" s="2299"/>
      <c r="J61" s="2300"/>
    </row>
    <row r="62" spans="1:10" s="176" customFormat="1" x14ac:dyDescent="0.2">
      <c r="A62" s="248"/>
      <c r="B62" s="2298"/>
      <c r="C62" s="2299"/>
      <c r="D62" s="2299"/>
      <c r="E62" s="2299"/>
      <c r="F62" s="2299"/>
      <c r="G62" s="2299"/>
      <c r="H62" s="2299"/>
      <c r="I62" s="2299"/>
      <c r="J62" s="2300"/>
    </row>
    <row r="63" spans="1:10" s="176" customFormat="1" x14ac:dyDescent="0.2">
      <c r="A63" s="248"/>
      <c r="B63" s="2298"/>
      <c r="C63" s="2299"/>
      <c r="D63" s="2299"/>
      <c r="E63" s="2299"/>
      <c r="F63" s="2299"/>
      <c r="G63" s="2299"/>
      <c r="H63" s="2299"/>
      <c r="I63" s="2299"/>
      <c r="J63" s="2300"/>
    </row>
    <row r="64" spans="1:10" s="176" customFormat="1" x14ac:dyDescent="0.2">
      <c r="A64" s="248"/>
      <c r="B64" s="2298"/>
      <c r="C64" s="2299"/>
      <c r="D64" s="2299"/>
      <c r="E64" s="2299"/>
      <c r="F64" s="2299"/>
      <c r="G64" s="2299"/>
      <c r="H64" s="2299"/>
      <c r="I64" s="2299"/>
      <c r="J64" s="2300"/>
    </row>
    <row r="65" spans="1:11" s="176" customFormat="1" x14ac:dyDescent="0.2">
      <c r="A65" s="248"/>
      <c r="B65" s="2298"/>
      <c r="C65" s="2299"/>
      <c r="D65" s="2299"/>
      <c r="E65" s="2299"/>
      <c r="F65" s="2299"/>
      <c r="G65" s="2299"/>
      <c r="H65" s="2299"/>
      <c r="I65" s="2299"/>
      <c r="J65" s="2300"/>
    </row>
    <row r="66" spans="1:11" s="176" customFormat="1" x14ac:dyDescent="0.2">
      <c r="A66" s="248"/>
      <c r="B66" s="2298"/>
      <c r="C66" s="2299"/>
      <c r="D66" s="2299"/>
      <c r="E66" s="2299"/>
      <c r="F66" s="2299"/>
      <c r="G66" s="2299"/>
      <c r="H66" s="2299"/>
      <c r="I66" s="2299"/>
      <c r="J66" s="2300"/>
    </row>
    <row r="67" spans="1:11" s="176" customFormat="1" ht="9" customHeight="1" x14ac:dyDescent="0.2">
      <c r="A67" s="249"/>
      <c r="B67" s="2301"/>
      <c r="C67" s="2302"/>
      <c r="D67" s="2302"/>
      <c r="E67" s="2302"/>
      <c r="F67" s="2302"/>
      <c r="G67" s="2302"/>
      <c r="H67" s="2302"/>
      <c r="I67" s="2302"/>
      <c r="J67" s="23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88" t="s">
        <v>1312</v>
      </c>
      <c r="B70" s="2291"/>
      <c r="C70" s="2291"/>
      <c r="D70" s="2291"/>
      <c r="E70" s="2292"/>
      <c r="F70" s="2292"/>
      <c r="G70" s="2292"/>
      <c r="H70" s="2292"/>
      <c r="I70" s="229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93" t="s">
        <v>1309</v>
      </c>
      <c r="B83" s="2293"/>
      <c r="C83" s="2293"/>
      <c r="D83" s="229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04" t="s">
        <v>1989</v>
      </c>
      <c r="B85" s="2304"/>
      <c r="C85" s="2304"/>
      <c r="D85" s="2305"/>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306" t="s">
        <v>1989</v>
      </c>
      <c r="B88" s="2307"/>
      <c r="C88" s="2307"/>
      <c r="D88" s="2308"/>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75" t="s">
        <v>2253</v>
      </c>
      <c r="C102" s="2276"/>
      <c r="D102" s="2276"/>
      <c r="E102" s="2276"/>
      <c r="F102" s="2276"/>
      <c r="G102" s="2276"/>
      <c r="H102" s="2276"/>
      <c r="I102" s="2277"/>
    </row>
    <row r="103" spans="1:9" s="176" customFormat="1" ht="11.25" customHeight="1" x14ac:dyDescent="0.2">
      <c r="A103" s="294"/>
      <c r="B103" s="2278"/>
      <c r="C103" s="2279"/>
      <c r="D103" s="2279"/>
      <c r="E103" s="2279"/>
      <c r="F103" s="2279"/>
      <c r="G103" s="2279"/>
      <c r="H103" s="2279"/>
      <c r="I103" s="2280"/>
    </row>
    <row r="104" spans="1:9" s="176" customFormat="1" ht="11.25" customHeight="1" x14ac:dyDescent="0.2">
      <c r="A104" s="294"/>
      <c r="B104" s="2278"/>
      <c r="C104" s="2279"/>
      <c r="D104" s="2279"/>
      <c r="E104" s="2279"/>
      <c r="F104" s="2279"/>
      <c r="G104" s="2279"/>
      <c r="H104" s="2279"/>
      <c r="I104" s="2280"/>
    </row>
    <row r="105" spans="1:9" s="176" customFormat="1" x14ac:dyDescent="0.2">
      <c r="A105" s="294"/>
      <c r="B105" s="2278"/>
      <c r="C105" s="2279"/>
      <c r="D105" s="2279"/>
      <c r="E105" s="2279"/>
      <c r="F105" s="2279"/>
      <c r="G105" s="2279"/>
      <c r="H105" s="2279"/>
      <c r="I105" s="2280"/>
    </row>
    <row r="106" spans="1:9" s="176" customFormat="1" ht="11.25" customHeight="1" x14ac:dyDescent="0.2">
      <c r="A106" s="294"/>
      <c r="B106" s="2278"/>
      <c r="C106" s="2279"/>
      <c r="D106" s="2279"/>
      <c r="E106" s="2279"/>
      <c r="F106" s="2279"/>
      <c r="G106" s="2279"/>
      <c r="H106" s="2279"/>
      <c r="I106" s="2280"/>
    </row>
    <row r="107" spans="1:9" s="176" customFormat="1" ht="11.25" customHeight="1" x14ac:dyDescent="0.2">
      <c r="A107" s="294"/>
      <c r="B107" s="2278"/>
      <c r="C107" s="2279"/>
      <c r="D107" s="2279"/>
      <c r="E107" s="2279"/>
      <c r="F107" s="2279"/>
      <c r="G107" s="2279"/>
      <c r="H107" s="2279"/>
      <c r="I107" s="2280"/>
    </row>
    <row r="108" spans="1:9" s="176" customFormat="1" ht="11.25" customHeight="1" x14ac:dyDescent="0.2">
      <c r="A108" s="294"/>
      <c r="B108" s="2278"/>
      <c r="C108" s="2279"/>
      <c r="D108" s="2279"/>
      <c r="E108" s="2279"/>
      <c r="F108" s="2279"/>
      <c r="G108" s="2279"/>
      <c r="H108" s="2279"/>
      <c r="I108" s="2280"/>
    </row>
    <row r="109" spans="1:9" s="176" customFormat="1" ht="11.25" customHeight="1" x14ac:dyDescent="0.2">
      <c r="A109" s="294"/>
      <c r="B109" s="2278"/>
      <c r="C109" s="2279"/>
      <c r="D109" s="2279"/>
      <c r="E109" s="2279"/>
      <c r="F109" s="2279"/>
      <c r="G109" s="2279"/>
      <c r="H109" s="2279"/>
      <c r="I109" s="2280"/>
    </row>
    <row r="110" spans="1:9" s="176" customFormat="1" ht="11.25" customHeight="1" x14ac:dyDescent="0.2">
      <c r="A110" s="294"/>
      <c r="B110" s="2278"/>
      <c r="C110" s="2279"/>
      <c r="D110" s="2279"/>
      <c r="E110" s="2279"/>
      <c r="F110" s="2279"/>
      <c r="G110" s="2279"/>
      <c r="H110" s="2279"/>
      <c r="I110" s="2280"/>
    </row>
    <row r="111" spans="1:9" s="176" customFormat="1" ht="11.25" customHeight="1" x14ac:dyDescent="0.2">
      <c r="A111" s="294"/>
      <c r="B111" s="2278"/>
      <c r="C111" s="2279"/>
      <c r="D111" s="2279"/>
      <c r="E111" s="2279"/>
      <c r="F111" s="2279"/>
      <c r="G111" s="2279"/>
      <c r="H111" s="2279"/>
      <c r="I111" s="2280"/>
    </row>
    <row r="112" spans="1:9" s="176" customFormat="1" ht="11.25" customHeight="1" x14ac:dyDescent="0.2">
      <c r="A112" s="294"/>
      <c r="B112" s="2281"/>
      <c r="C112" s="2282"/>
      <c r="D112" s="2282"/>
      <c r="E112" s="2282"/>
      <c r="F112" s="2282"/>
      <c r="G112" s="2282"/>
      <c r="H112" s="2282"/>
      <c r="I112" s="228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84" t="s">
        <v>2052</v>
      </c>
      <c r="D114" s="228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5" t="s">
        <v>1319</v>
      </c>
      <c r="D117" s="2286"/>
      <c r="E117" s="2287"/>
      <c r="F117" s="2287"/>
      <c r="G117" s="2287"/>
      <c r="H117" s="2287"/>
      <c r="I117" s="282"/>
    </row>
    <row r="118" spans="1:9" s="176" customFormat="1" ht="24" customHeight="1" x14ac:dyDescent="0.2">
      <c r="A118" s="294"/>
      <c r="B118" s="294"/>
      <c r="C118" s="294"/>
      <c r="D118" s="301" t="s">
        <v>2274</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61"/>
  <sheetViews>
    <sheetView showGridLines="0" topLeftCell="A10" zoomScale="120" zoomScaleNormal="120" workbookViewId="0">
      <selection activeCell="D22" sqref="D22:F22"/>
    </sheetView>
  </sheetViews>
  <sheetFormatPr defaultColWidth="8" defaultRowHeight="12.75" x14ac:dyDescent="0.2"/>
  <cols>
    <col min="1" max="1" width="1.42578125" style="294" customWidth="1"/>
    <col min="2" max="2" width="53.28515625" style="294" customWidth="1"/>
    <col min="3" max="3" width="14" style="2134" customWidth="1"/>
    <col min="4" max="4" width="16.7109375" style="2134" customWidth="1"/>
    <col min="5" max="5" width="7.5703125" style="294" customWidth="1"/>
    <col min="6" max="6" width="2.7109375" style="294" customWidth="1"/>
    <col min="7" max="7" width="3.28515625" style="294" customWidth="1"/>
    <col min="8" max="16384" width="8" style="294"/>
  </cols>
  <sheetData>
    <row r="1" spans="1:7" ht="13.5" customHeight="1" x14ac:dyDescent="0.2">
      <c r="A1" s="2695" t="s">
        <v>2273</v>
      </c>
      <c r="B1" s="2695"/>
      <c r="C1" s="2695"/>
      <c r="D1" s="2695"/>
      <c r="E1" s="2695"/>
      <c r="F1" s="2695"/>
    </row>
    <row r="2" spans="1:7" ht="13.5" customHeight="1" x14ac:dyDescent="0.2">
      <c r="A2" s="2696" t="s">
        <v>2060</v>
      </c>
      <c r="B2" s="2696"/>
      <c r="C2" s="2696"/>
      <c r="D2" s="2696"/>
      <c r="E2" s="2696"/>
      <c r="F2" s="2696"/>
      <c r="G2" s="2112"/>
    </row>
    <row r="3" spans="1:7" ht="15.75" customHeight="1" x14ac:dyDescent="0.2">
      <c r="A3" s="2697" t="s">
        <v>1260</v>
      </c>
      <c r="B3" s="2697"/>
      <c r="C3" s="2697"/>
      <c r="D3" s="2697"/>
      <c r="E3" s="2697"/>
      <c r="F3" s="2697"/>
    </row>
    <row r="4" spans="1:7" ht="13.5" customHeight="1" x14ac:dyDescent="0.2">
      <c r="A4" s="2679" t="s">
        <v>2189</v>
      </c>
      <c r="B4" s="2679"/>
      <c r="C4" s="2679"/>
      <c r="D4" s="2679"/>
      <c r="E4" s="2679"/>
      <c r="F4" s="2679"/>
    </row>
    <row r="5" spans="1:7" ht="8.25" customHeight="1" x14ac:dyDescent="0.2">
      <c r="C5" s="294"/>
      <c r="D5" s="294"/>
    </row>
    <row r="6" spans="1:7" ht="13.5" customHeight="1" x14ac:dyDescent="0.2">
      <c r="A6" s="2113" t="s">
        <v>1705</v>
      </c>
      <c r="C6" s="294"/>
      <c r="D6" s="294"/>
    </row>
    <row r="7" spans="1:7" ht="60.95" customHeight="1" x14ac:dyDescent="0.2">
      <c r="A7" s="2694" t="s">
        <v>2185</v>
      </c>
      <c r="B7" s="2694"/>
      <c r="C7" s="2694"/>
      <c r="D7" s="2694"/>
      <c r="E7" s="2694"/>
      <c r="F7" s="2694"/>
    </row>
    <row r="8" spans="1:7" ht="12" customHeight="1" x14ac:dyDescent="0.2">
      <c r="A8" s="2113"/>
      <c r="B8" s="991"/>
      <c r="C8" s="991"/>
      <c r="D8" s="991"/>
    </row>
    <row r="9" spans="1:7" ht="15" customHeight="1" x14ac:dyDescent="0.2">
      <c r="A9" s="2113" t="s">
        <v>1707</v>
      </c>
      <c r="B9" s="991"/>
      <c r="C9" s="991"/>
      <c r="D9" s="991"/>
    </row>
    <row r="10" spans="1:7" ht="15" customHeight="1" x14ac:dyDescent="0.2">
      <c r="A10" s="2114" t="s">
        <v>1530</v>
      </c>
      <c r="B10" s="991"/>
      <c r="C10" s="1194"/>
      <c r="D10" s="991" t="s">
        <v>1531</v>
      </c>
      <c r="E10" s="1194" t="s">
        <v>2051</v>
      </c>
      <c r="F10" s="991" t="s">
        <v>99</v>
      </c>
    </row>
    <row r="11" spans="1:7" ht="12" customHeight="1" x14ac:dyDescent="0.2">
      <c r="A11" s="2114"/>
      <c r="B11" s="991"/>
      <c r="C11" s="2034"/>
      <c r="D11" s="991"/>
      <c r="E11" s="2034"/>
      <c r="F11" s="991"/>
    </row>
    <row r="12" spans="1:7" x14ac:dyDescent="0.2">
      <c r="A12" s="2113" t="s">
        <v>1570</v>
      </c>
      <c r="C12" s="2115"/>
      <c r="D12" s="2115"/>
    </row>
    <row r="13" spans="1:7" ht="15" customHeight="1" x14ac:dyDescent="0.2">
      <c r="A13" s="2694" t="s">
        <v>2186</v>
      </c>
      <c r="B13" s="2694"/>
      <c r="C13" s="2694"/>
      <c r="D13" s="2694"/>
      <c r="E13" s="2694"/>
      <c r="F13" s="2694"/>
    </row>
    <row r="14" spans="1:7" ht="9.75" customHeight="1" x14ac:dyDescent="0.2">
      <c r="C14" s="2115"/>
      <c r="D14" s="2115"/>
    </row>
    <row r="15" spans="1:7" ht="13.5" customHeight="1" x14ac:dyDescent="0.2">
      <c r="C15" s="2116" t="s">
        <v>1259</v>
      </c>
      <c r="D15" s="2699" t="s">
        <v>1258</v>
      </c>
      <c r="E15" s="2699"/>
      <c r="F15" s="2699"/>
    </row>
    <row r="16" spans="1:7" ht="13.5" customHeight="1" x14ac:dyDescent="0.2">
      <c r="A16" s="991"/>
      <c r="B16" s="2113" t="s">
        <v>1257</v>
      </c>
      <c r="C16" s="2116" t="s">
        <v>1256</v>
      </c>
      <c r="D16" s="2700" t="s">
        <v>1571</v>
      </c>
      <c r="E16" s="2700"/>
      <c r="F16" s="2700"/>
    </row>
    <row r="17" spans="1:6" ht="20.45" customHeight="1" x14ac:dyDescent="0.2">
      <c r="A17" s="2117"/>
      <c r="B17" s="1060" t="s">
        <v>2272</v>
      </c>
      <c r="C17" s="1061">
        <v>10.555</v>
      </c>
      <c r="D17" s="2698">
        <v>4864</v>
      </c>
      <c r="E17" s="2698"/>
      <c r="F17" s="2698"/>
    </row>
    <row r="18" spans="1:6" ht="20.65" hidden="1" customHeight="1" x14ac:dyDescent="0.2">
      <c r="A18" s="2117"/>
      <c r="B18" s="1060"/>
      <c r="C18" s="1061"/>
      <c r="D18" s="2698"/>
      <c r="E18" s="2698"/>
      <c r="F18" s="2698"/>
    </row>
    <row r="19" spans="1:6" ht="20.65" hidden="1" customHeight="1" x14ac:dyDescent="0.2">
      <c r="A19" s="2117"/>
      <c r="B19" s="1060"/>
      <c r="C19" s="1061"/>
      <c r="D19" s="2698"/>
      <c r="E19" s="2698"/>
      <c r="F19" s="2698"/>
    </row>
    <row r="20" spans="1:6" ht="20.65" hidden="1" customHeight="1" x14ac:dyDescent="0.2">
      <c r="A20" s="2117"/>
      <c r="B20" s="1060"/>
      <c r="C20" s="1061"/>
      <c r="D20" s="2698"/>
      <c r="E20" s="2698"/>
      <c r="F20" s="2698"/>
    </row>
    <row r="21" spans="1:6" ht="20.65" hidden="1" customHeight="1" x14ac:dyDescent="0.2">
      <c r="A21" s="2117"/>
      <c r="B21" s="1060"/>
      <c r="C21" s="1061"/>
      <c r="D21" s="2698"/>
      <c r="E21" s="2698"/>
      <c r="F21" s="2698"/>
    </row>
    <row r="22" spans="1:6" ht="20.65" hidden="1" customHeight="1" x14ac:dyDescent="0.2">
      <c r="A22" s="2117"/>
      <c r="B22" s="1060"/>
      <c r="C22" s="1061"/>
      <c r="D22" s="2698"/>
      <c r="E22" s="2698"/>
      <c r="F22" s="2698"/>
    </row>
    <row r="23" spans="1:6" ht="20.65" hidden="1" customHeight="1" x14ac:dyDescent="0.2">
      <c r="A23" s="2117"/>
      <c r="B23" s="1060"/>
      <c r="C23" s="1061"/>
      <c r="D23" s="2698"/>
      <c r="E23" s="2698"/>
      <c r="F23" s="2698"/>
    </row>
    <row r="24" spans="1:6" ht="20.65" hidden="1" customHeight="1" x14ac:dyDescent="0.2">
      <c r="A24" s="2117"/>
      <c r="B24" s="1060"/>
      <c r="C24" s="1061"/>
      <c r="D24" s="2698"/>
      <c r="E24" s="2698"/>
      <c r="F24" s="2698"/>
    </row>
    <row r="25" spans="1:6" ht="20.65" hidden="1" customHeight="1" x14ac:dyDescent="0.2">
      <c r="A25" s="2117"/>
      <c r="B25" s="1060"/>
      <c r="C25" s="1061"/>
      <c r="D25" s="2698"/>
      <c r="E25" s="2698"/>
      <c r="F25" s="2698"/>
    </row>
    <row r="26" spans="1:6" ht="20.65" hidden="1" customHeight="1" x14ac:dyDescent="0.2">
      <c r="A26" s="2117"/>
      <c r="B26" s="1060"/>
      <c r="C26" s="1061"/>
      <c r="D26" s="2698"/>
      <c r="E26" s="2698"/>
      <c r="F26" s="2698"/>
    </row>
    <row r="27" spans="1:6" ht="20.65" hidden="1" customHeight="1" x14ac:dyDescent="0.2">
      <c r="A27" s="2117"/>
      <c r="B27" s="1060"/>
      <c r="C27" s="1061"/>
      <c r="D27" s="2698"/>
      <c r="E27" s="2698"/>
      <c r="F27" s="2698"/>
    </row>
    <row r="28" spans="1:6" ht="20.65" hidden="1" customHeight="1" x14ac:dyDescent="0.2">
      <c r="A28" s="2117"/>
      <c r="B28" s="1060"/>
      <c r="C28" s="1061"/>
      <c r="D28" s="2698"/>
      <c r="E28" s="2698"/>
      <c r="F28" s="2698"/>
    </row>
    <row r="29" spans="1:6" ht="20.65" hidden="1" customHeight="1" x14ac:dyDescent="0.2">
      <c r="A29" s="2117"/>
      <c r="B29" s="1060"/>
      <c r="C29" s="1061"/>
      <c r="D29" s="2698"/>
      <c r="E29" s="2698"/>
      <c r="F29" s="2698"/>
    </row>
    <row r="30" spans="1:6" ht="12" customHeight="1" x14ac:dyDescent="0.2">
      <c r="A30" s="991"/>
      <c r="B30" s="991"/>
      <c r="C30" s="2118"/>
      <c r="D30" s="2119"/>
      <c r="E30" s="2120"/>
    </row>
    <row r="31" spans="1:6" ht="12" customHeight="1" x14ac:dyDescent="0.2">
      <c r="A31" s="2113" t="s">
        <v>1532</v>
      </c>
      <c r="B31" s="991"/>
      <c r="C31" s="2118"/>
      <c r="D31" s="2119"/>
      <c r="E31" s="2120"/>
    </row>
    <row r="32" spans="1:6" ht="30" customHeight="1" x14ac:dyDescent="0.2">
      <c r="A32" s="2704" t="s">
        <v>2271</v>
      </c>
      <c r="B32" s="2704"/>
      <c r="C32" s="2704"/>
      <c r="D32" s="2704"/>
      <c r="E32" s="2704"/>
      <c r="F32" s="2704"/>
    </row>
    <row r="33" spans="1:9" ht="13.5" customHeight="1" x14ac:dyDescent="0.2">
      <c r="A33" s="991" t="s">
        <v>1417</v>
      </c>
      <c r="B33" s="991"/>
      <c r="C33" s="2135">
        <v>53790</v>
      </c>
      <c r="D33" s="2119"/>
      <c r="E33" s="2120"/>
    </row>
    <row r="34" spans="1:9" ht="13.5" customHeight="1" x14ac:dyDescent="0.2">
      <c r="A34" s="991" t="s">
        <v>1811</v>
      </c>
      <c r="B34" s="991"/>
      <c r="C34" s="2121">
        <v>31453</v>
      </c>
      <c r="D34" s="2119" t="s">
        <v>1572</v>
      </c>
      <c r="E34" s="2705">
        <f>+C33+C34</f>
        <v>85243</v>
      </c>
      <c r="F34" s="2706"/>
      <c r="I34" s="2122"/>
    </row>
    <row r="35" spans="1:9" ht="13.5" customHeight="1" x14ac:dyDescent="0.2">
      <c r="A35" s="991"/>
      <c r="B35" s="991"/>
      <c r="C35" s="2123"/>
      <c r="D35" s="2119"/>
      <c r="E35" s="2124"/>
      <c r="F35" s="2125"/>
    </row>
    <row r="36" spans="1:9" ht="13.5" hidden="1" customHeight="1" x14ac:dyDescent="0.2">
      <c r="A36" s="2113" t="s">
        <v>2187</v>
      </c>
      <c r="B36" s="991"/>
      <c r="C36" s="2123"/>
      <c r="D36" s="2119"/>
      <c r="E36" s="2124"/>
      <c r="F36" s="2125"/>
    </row>
    <row r="37" spans="1:9" ht="13.5" hidden="1" customHeight="1" x14ac:dyDescent="0.2">
      <c r="A37" s="2707" t="s">
        <v>2188</v>
      </c>
      <c r="B37" s="2707"/>
      <c r="C37" s="2707"/>
      <c r="D37" s="2707"/>
      <c r="E37" s="2707"/>
      <c r="F37" s="2707"/>
    </row>
    <row r="38" spans="1:9" ht="13.5" hidden="1" customHeight="1" x14ac:dyDescent="0.2">
      <c r="A38" s="2707"/>
      <c r="B38" s="2707"/>
      <c r="C38" s="2707"/>
      <c r="D38" s="2707"/>
      <c r="E38" s="2707"/>
      <c r="F38" s="2707"/>
    </row>
    <row r="39" spans="1:9" ht="13.5" hidden="1" customHeight="1" x14ac:dyDescent="0.2">
      <c r="A39" s="991"/>
      <c r="B39" s="991"/>
      <c r="C39" s="2123"/>
      <c r="D39" s="2119"/>
      <c r="E39" s="2124"/>
      <c r="F39" s="2125"/>
    </row>
    <row r="40" spans="1:9" ht="13.5" customHeight="1" x14ac:dyDescent="0.2">
      <c r="A40" s="2113" t="s">
        <v>2191</v>
      </c>
      <c r="B40" s="991"/>
      <c r="C40" s="2123"/>
      <c r="D40" s="2119"/>
      <c r="E40" s="2124"/>
      <c r="F40" s="2125"/>
    </row>
    <row r="41" spans="1:9" ht="12" customHeight="1" x14ac:dyDescent="0.2">
      <c r="A41" s="2701" t="s">
        <v>2190</v>
      </c>
      <c r="B41" s="2701"/>
      <c r="C41" s="2701"/>
      <c r="D41" s="2701"/>
      <c r="E41" s="2701"/>
      <c r="F41" s="2701"/>
    </row>
    <row r="42" spans="1:9" ht="12" customHeight="1" x14ac:dyDescent="0.2">
      <c r="A42" s="2701"/>
      <c r="B42" s="2701"/>
      <c r="C42" s="2701"/>
      <c r="D42" s="2701"/>
      <c r="E42" s="2701"/>
      <c r="F42" s="2701"/>
    </row>
    <row r="43" spans="1:9" ht="12" customHeight="1" x14ac:dyDescent="0.2">
      <c r="A43" s="2701"/>
      <c r="B43" s="2701"/>
      <c r="C43" s="2701"/>
      <c r="D43" s="2701"/>
      <c r="E43" s="2701"/>
      <c r="F43" s="2701"/>
    </row>
    <row r="44" spans="1:9" ht="13.5" customHeight="1" x14ac:dyDescent="0.2">
      <c r="A44" s="2126"/>
      <c r="B44" s="2126"/>
      <c r="C44" s="2126"/>
      <c r="D44" s="2126"/>
      <c r="E44" s="2126"/>
      <c r="F44" s="2126"/>
    </row>
    <row r="45" spans="1:9" ht="13.5" customHeight="1" x14ac:dyDescent="0.2">
      <c r="A45" s="2113" t="s">
        <v>2192</v>
      </c>
      <c r="B45" s="991"/>
      <c r="C45" s="2118"/>
      <c r="D45" s="2119"/>
      <c r="E45" s="2120"/>
    </row>
    <row r="46" spans="1:9" ht="14.25" customHeight="1" x14ac:dyDescent="0.2">
      <c r="A46" s="991" t="s">
        <v>1467</v>
      </c>
      <c r="B46" s="991"/>
      <c r="C46" s="2127"/>
      <c r="D46" s="2119"/>
      <c r="E46" s="2120"/>
    </row>
    <row r="47" spans="1:9" ht="14.25" customHeight="1" x14ac:dyDescent="0.2">
      <c r="A47" s="991"/>
      <c r="B47" s="991" t="s">
        <v>1418</v>
      </c>
      <c r="C47" s="1068" t="s">
        <v>380</v>
      </c>
      <c r="D47" s="2119"/>
      <c r="E47" s="2120"/>
    </row>
    <row r="48" spans="1:9" ht="14.25" customHeight="1" x14ac:dyDescent="0.2">
      <c r="A48" s="991"/>
      <c r="B48" s="991" t="s">
        <v>1419</v>
      </c>
      <c r="C48" s="1068" t="s">
        <v>380</v>
      </c>
      <c r="D48" s="2119"/>
      <c r="E48" s="2120"/>
    </row>
    <row r="49" spans="1:6" ht="14.25" customHeight="1" x14ac:dyDescent="0.2">
      <c r="A49" s="991"/>
      <c r="B49" s="991" t="s">
        <v>1420</v>
      </c>
      <c r="C49" s="1068" t="s">
        <v>380</v>
      </c>
      <c r="D49" s="2119"/>
      <c r="E49" s="2120"/>
    </row>
    <row r="50" spans="1:6" ht="14.25" customHeight="1" x14ac:dyDescent="0.2">
      <c r="A50" s="991"/>
      <c r="B50" s="991" t="s">
        <v>1421</v>
      </c>
      <c r="C50" s="1068" t="s">
        <v>380</v>
      </c>
      <c r="D50" s="2119"/>
      <c r="E50" s="2120"/>
    </row>
    <row r="51" spans="1:6" ht="14.25" customHeight="1" x14ac:dyDescent="0.2">
      <c r="A51" s="991" t="s">
        <v>1422</v>
      </c>
      <c r="B51" s="991"/>
      <c r="C51" s="1524" t="s">
        <v>380</v>
      </c>
      <c r="D51" s="2119"/>
      <c r="E51" s="2120"/>
    </row>
    <row r="52" spans="1:6" ht="14.25" customHeight="1" x14ac:dyDescent="0.2">
      <c r="A52" s="991" t="s">
        <v>1423</v>
      </c>
      <c r="B52" s="991"/>
      <c r="C52" s="1069" t="s">
        <v>380</v>
      </c>
      <c r="D52" s="2119"/>
      <c r="E52" s="2120"/>
    </row>
    <row r="53" spans="1:6" ht="14.25" customHeight="1" x14ac:dyDescent="0.2">
      <c r="A53" s="991"/>
      <c r="B53" s="991"/>
      <c r="C53" s="2127" t="s">
        <v>1424</v>
      </c>
      <c r="D53" s="2119"/>
      <c r="E53" s="2120"/>
    </row>
    <row r="54" spans="1:6" ht="13.5" customHeight="1" x14ac:dyDescent="0.2">
      <c r="C54" s="2115"/>
      <c r="D54" s="2115"/>
    </row>
    <row r="55" spans="1:6" x14ac:dyDescent="0.2">
      <c r="A55" s="2128" t="s">
        <v>1710</v>
      </c>
      <c r="C55" s="294"/>
      <c r="D55" s="294"/>
    </row>
    <row r="56" spans="1:6" ht="11.25" customHeight="1" x14ac:dyDescent="0.2">
      <c r="A56" s="2129"/>
      <c r="B56" s="2130"/>
      <c r="C56" s="2130"/>
      <c r="D56" s="2130"/>
      <c r="E56" s="2130"/>
      <c r="F56" s="2130"/>
    </row>
    <row r="57" spans="1:6" ht="6" customHeight="1" x14ac:dyDescent="0.2">
      <c r="A57" s="2128"/>
      <c r="C57" s="294"/>
      <c r="D57" s="294"/>
    </row>
    <row r="58" spans="1:6" s="998" customFormat="1" ht="23.25" customHeight="1" x14ac:dyDescent="0.2">
      <c r="A58" s="2131">
        <v>5</v>
      </c>
      <c r="B58" s="2702" t="s">
        <v>1573</v>
      </c>
      <c r="C58" s="2702"/>
      <c r="D58" s="2702"/>
      <c r="E58" s="294"/>
    </row>
    <row r="59" spans="1:6" s="998" customFormat="1" ht="3.75" customHeight="1" x14ac:dyDescent="0.2">
      <c r="A59" s="2131"/>
      <c r="B59" s="2132"/>
      <c r="C59" s="2132"/>
      <c r="D59" s="2132"/>
      <c r="E59" s="294"/>
    </row>
    <row r="60" spans="1:6" s="998" customFormat="1" ht="20.25" customHeight="1" x14ac:dyDescent="0.2">
      <c r="A60" s="2133">
        <v>6</v>
      </c>
      <c r="B60" s="2703" t="s">
        <v>1534</v>
      </c>
      <c r="C60" s="2703"/>
      <c r="D60" s="2703"/>
    </row>
    <row r="61" spans="1:6" ht="14.25" customHeight="1" x14ac:dyDescent="0.2">
      <c r="A61" s="2133"/>
      <c r="B61" s="2703"/>
      <c r="C61" s="2703"/>
      <c r="D61" s="2703"/>
    </row>
  </sheetData>
  <mergeCells count="28">
    <mergeCell ref="A41:F43"/>
    <mergeCell ref="B58:D58"/>
    <mergeCell ref="B60:D60"/>
    <mergeCell ref="B61:D61"/>
    <mergeCell ref="D27:F27"/>
    <mergeCell ref="D28:F28"/>
    <mergeCell ref="D29:F29"/>
    <mergeCell ref="A32:F32"/>
    <mergeCell ref="E34:F34"/>
    <mergeCell ref="A37:F38"/>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rintOptions horizontalCentered="1"/>
  <pageMargins left="0.52" right="0.27" top="0.43" bottom="0" header="0.26" footer="0.5"/>
  <pageSetup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08" t="str">
        <f>'Single Audit Cover'!A7</f>
        <v xml:space="preserve">  Geneseo CUSD 228</v>
      </c>
      <c r="B1" s="2708"/>
      <c r="C1" s="2708"/>
      <c r="D1" s="2708"/>
      <c r="E1" s="2708"/>
      <c r="F1" s="2708"/>
    </row>
    <row r="2" spans="1:7" ht="13.5" customHeight="1" x14ac:dyDescent="0.2">
      <c r="A2" s="2689">
        <f>'Single Audit Cover'!E7</f>
        <v>28037228026</v>
      </c>
      <c r="B2" s="2689"/>
      <c r="C2" s="2689"/>
      <c r="D2" s="2689"/>
      <c r="E2" s="2689"/>
      <c r="F2" s="2689"/>
      <c r="G2" s="1051"/>
    </row>
    <row r="3" spans="1:7" ht="15.75" customHeight="1" x14ac:dyDescent="0.2">
      <c r="A3" s="2709" t="s">
        <v>1260</v>
      </c>
      <c r="B3" s="2709"/>
      <c r="C3" s="2709"/>
      <c r="D3" s="2709"/>
      <c r="E3" s="2709"/>
      <c r="F3" s="2709"/>
    </row>
    <row r="4" spans="1:7" ht="13.5" customHeight="1" x14ac:dyDescent="0.2">
      <c r="A4" s="2710" t="str">
        <f>'Single Audit Cover'!A4</f>
        <v>Year Ending June 30, 2020</v>
      </c>
      <c r="B4" s="2710"/>
      <c r="C4" s="2710"/>
      <c r="D4" s="2710"/>
      <c r="E4" s="2710"/>
      <c r="F4" s="2710"/>
    </row>
    <row r="5" spans="1:7" ht="8.25" customHeight="1" x14ac:dyDescent="0.2">
      <c r="C5" s="295"/>
      <c r="D5" s="295"/>
    </row>
    <row r="6" spans="1:7" ht="13.5" customHeight="1" x14ac:dyDescent="0.2">
      <c r="A6" s="1052" t="s">
        <v>1705</v>
      </c>
      <c r="C6" s="295"/>
      <c r="D6" s="295"/>
    </row>
    <row r="7" spans="1:7" ht="60.95" customHeight="1" x14ac:dyDescent="0.2">
      <c r="A7" s="2694" t="s">
        <v>1706</v>
      </c>
      <c r="B7" s="2694"/>
      <c r="C7" s="2694"/>
      <c r="D7" s="2694"/>
      <c r="E7" s="2694"/>
      <c r="F7" s="269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94" t="s">
        <v>1708</v>
      </c>
      <c r="B13" s="2694"/>
      <c r="C13" s="2694"/>
      <c r="D13" s="2694"/>
      <c r="E13" s="2694"/>
      <c r="F13" s="2694"/>
    </row>
    <row r="14" spans="1:7" ht="9.75" customHeight="1" x14ac:dyDescent="0.2">
      <c r="C14" s="1036"/>
      <c r="D14" s="1036"/>
    </row>
    <row r="15" spans="1:7" ht="13.5" customHeight="1" x14ac:dyDescent="0.2">
      <c r="C15" s="1476" t="s">
        <v>1259</v>
      </c>
      <c r="D15" s="2711" t="s">
        <v>1258</v>
      </c>
      <c r="E15" s="2711"/>
      <c r="F15" s="2711"/>
    </row>
    <row r="16" spans="1:7" ht="13.5" customHeight="1" x14ac:dyDescent="0.2">
      <c r="A16" s="1058"/>
      <c r="B16" s="1052" t="s">
        <v>1257</v>
      </c>
      <c r="C16" s="1476" t="s">
        <v>1256</v>
      </c>
      <c r="D16" s="2712" t="s">
        <v>1571</v>
      </c>
      <c r="E16" s="2712"/>
      <c r="F16" s="2712"/>
    </row>
    <row r="17" spans="1:6" ht="20.45" customHeight="1" x14ac:dyDescent="0.2">
      <c r="A17" s="1059"/>
      <c r="B17" s="1060"/>
      <c r="C17" s="1061"/>
      <c r="D17" s="2698"/>
      <c r="E17" s="2698"/>
      <c r="F17" s="2698"/>
    </row>
    <row r="18" spans="1:6" ht="20.65" customHeight="1" x14ac:dyDescent="0.2">
      <c r="A18" s="1059"/>
      <c r="B18" s="1060"/>
      <c r="C18" s="1061"/>
      <c r="D18" s="2698"/>
      <c r="E18" s="2698"/>
      <c r="F18" s="2698"/>
    </row>
    <row r="19" spans="1:6" ht="20.65" customHeight="1" x14ac:dyDescent="0.2">
      <c r="A19" s="1059"/>
      <c r="B19" s="1060"/>
      <c r="C19" s="1061"/>
      <c r="D19" s="2698"/>
      <c r="E19" s="2698"/>
      <c r="F19" s="2698"/>
    </row>
    <row r="20" spans="1:6" ht="20.65" customHeight="1" x14ac:dyDescent="0.2">
      <c r="A20" s="1059"/>
      <c r="B20" s="1060"/>
      <c r="C20" s="1061"/>
      <c r="D20" s="2698"/>
      <c r="E20" s="2698"/>
      <c r="F20" s="2698"/>
    </row>
    <row r="21" spans="1:6" ht="20.65" customHeight="1" x14ac:dyDescent="0.2">
      <c r="A21" s="1059"/>
      <c r="B21" s="1060"/>
      <c r="C21" s="1061"/>
      <c r="D21" s="2698"/>
      <c r="E21" s="2698"/>
      <c r="F21" s="2698"/>
    </row>
    <row r="22" spans="1:6" ht="20.65" customHeight="1" x14ac:dyDescent="0.2">
      <c r="A22" s="1059"/>
      <c r="B22" s="1060"/>
      <c r="C22" s="1061"/>
      <c r="D22" s="2698"/>
      <c r="E22" s="2698"/>
      <c r="F22" s="2698"/>
    </row>
    <row r="23" spans="1:6" ht="20.65" customHeight="1" x14ac:dyDescent="0.2">
      <c r="A23" s="1059"/>
      <c r="B23" s="1060"/>
      <c r="C23" s="1061"/>
      <c r="D23" s="2698"/>
      <c r="E23" s="2698"/>
      <c r="F23" s="2698"/>
    </row>
    <row r="24" spans="1:6" ht="20.65" customHeight="1" x14ac:dyDescent="0.2">
      <c r="A24" s="1059"/>
      <c r="B24" s="1060"/>
      <c r="C24" s="1061"/>
      <c r="D24" s="2698"/>
      <c r="E24" s="2698"/>
      <c r="F24" s="2698"/>
    </row>
    <row r="25" spans="1:6" ht="20.65" customHeight="1" x14ac:dyDescent="0.2">
      <c r="A25" s="1059"/>
      <c r="B25" s="1060"/>
      <c r="C25" s="1061"/>
      <c r="D25" s="2698"/>
      <c r="E25" s="2698"/>
      <c r="F25" s="2698"/>
    </row>
    <row r="26" spans="1:6" ht="20.65" customHeight="1" x14ac:dyDescent="0.2">
      <c r="A26" s="1059"/>
      <c r="B26" s="1060"/>
      <c r="C26" s="1061"/>
      <c r="D26" s="2698"/>
      <c r="E26" s="2698"/>
      <c r="F26" s="2698"/>
    </row>
    <row r="27" spans="1:6" ht="20.65" customHeight="1" x14ac:dyDescent="0.2">
      <c r="A27" s="1059"/>
      <c r="B27" s="1060"/>
      <c r="C27" s="1061"/>
      <c r="D27" s="2698"/>
      <c r="E27" s="2698"/>
      <c r="F27" s="2698"/>
    </row>
    <row r="28" spans="1:6" ht="20.65" customHeight="1" x14ac:dyDescent="0.2">
      <c r="A28" s="1059"/>
      <c r="B28" s="1060"/>
      <c r="C28" s="1061"/>
      <c r="D28" s="2698"/>
      <c r="E28" s="2698"/>
      <c r="F28" s="2698"/>
    </row>
    <row r="29" spans="1:6" ht="20.65" customHeight="1" x14ac:dyDescent="0.2">
      <c r="A29" s="1059"/>
      <c r="B29" s="1060"/>
      <c r="C29" s="1061"/>
      <c r="D29" s="2698"/>
      <c r="E29" s="2698"/>
      <c r="F29" s="269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714" t="s">
        <v>1709</v>
      </c>
      <c r="B32" s="2714"/>
      <c r="C32" s="2714"/>
      <c r="D32" s="2714"/>
      <c r="E32" s="2714"/>
      <c r="F32" s="271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715">
        <f>+C33+C34</f>
        <v>0</v>
      </c>
      <c r="F34" s="271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717" t="s">
        <v>1573</v>
      </c>
      <c r="C49" s="2717"/>
      <c r="D49" s="2717"/>
      <c r="E49" s="1168"/>
    </row>
    <row r="50" spans="1:5" s="1076" customFormat="1" ht="3.75" customHeight="1" x14ac:dyDescent="0.2">
      <c r="A50" s="1075"/>
      <c r="B50" s="1475"/>
      <c r="C50" s="1475"/>
      <c r="D50" s="1475"/>
      <c r="E50" s="1168"/>
    </row>
    <row r="51" spans="1:5" s="1076" customFormat="1" ht="20.25" customHeight="1" x14ac:dyDescent="0.2">
      <c r="A51" s="1077">
        <v>6</v>
      </c>
      <c r="B51" s="2713" t="s">
        <v>1534</v>
      </c>
      <c r="C51" s="2713"/>
      <c r="D51" s="2713"/>
    </row>
    <row r="52" spans="1:5" ht="14.25" customHeight="1" x14ac:dyDescent="0.2">
      <c r="A52" s="1077"/>
      <c r="B52" s="2713"/>
      <c r="C52" s="2713"/>
      <c r="D52" s="271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22" t="str">
        <f>'Single Audit Cover'!A7</f>
        <v xml:space="preserve">  Geneseo CUSD 228</v>
      </c>
      <c r="C1" s="2723"/>
      <c r="D1" s="2723"/>
      <c r="E1" s="2723"/>
      <c r="F1" s="2723"/>
      <c r="G1" s="2723"/>
      <c r="H1" s="2723"/>
      <c r="I1" s="2723"/>
      <c r="J1" s="1178"/>
    </row>
    <row r="2" spans="2:10" s="295" customFormat="1" ht="12.75" customHeight="1" x14ac:dyDescent="0.2">
      <c r="B2" s="2724">
        <f>'Single Audit Cover'!E7</f>
        <v>28037228026</v>
      </c>
      <c r="C2" s="2725"/>
      <c r="D2" s="2725"/>
      <c r="E2" s="2725"/>
      <c r="F2" s="2725"/>
      <c r="G2" s="2725"/>
      <c r="H2" s="2725"/>
      <c r="I2" s="2725"/>
      <c r="J2" s="1178"/>
    </row>
    <row r="3" spans="2:10" s="295" customFormat="1" ht="12.75" customHeight="1" x14ac:dyDescent="0.2">
      <c r="B3" s="2726" t="s">
        <v>1274</v>
      </c>
      <c r="C3" s="2727"/>
      <c r="D3" s="2727"/>
      <c r="E3" s="2727"/>
      <c r="F3" s="2727"/>
      <c r="G3" s="2727"/>
      <c r="H3" s="2727"/>
      <c r="I3" s="2727"/>
      <c r="J3" s="1179"/>
    </row>
    <row r="4" spans="2:10" s="295" customFormat="1" ht="12.75" customHeight="1" x14ac:dyDescent="0.2">
      <c r="B4" s="2726" t="str">
        <f>'Single Audit Cover'!A4</f>
        <v>Year Ending June 30, 2020</v>
      </c>
      <c r="C4" s="2727"/>
      <c r="D4" s="2727"/>
      <c r="E4" s="2727"/>
      <c r="F4" s="2727"/>
      <c r="G4" s="2727"/>
      <c r="H4" s="2727"/>
      <c r="I4" s="272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26" t="s">
        <v>1273</v>
      </c>
      <c r="C7" s="2727"/>
      <c r="D7" s="2727"/>
      <c r="E7" s="2727"/>
      <c r="F7" s="2727"/>
      <c r="G7" s="2727"/>
      <c r="H7" s="2727"/>
      <c r="I7" s="272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28" t="s">
        <v>1154</v>
      </c>
      <c r="D11" s="272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2051</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2051</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2051</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2051</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2051</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29" t="s">
        <v>2066</v>
      </c>
      <c r="E29" s="2729"/>
      <c r="F29" s="2729"/>
      <c r="G29" s="2729"/>
      <c r="H29" s="2729"/>
      <c r="I29" s="272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2051</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730" t="s">
        <v>1728</v>
      </c>
      <c r="D37" s="2731"/>
      <c r="E37" s="2731"/>
      <c r="F37" s="2732"/>
      <c r="G37" s="2730" t="s">
        <v>1575</v>
      </c>
      <c r="H37" s="2731"/>
      <c r="I37" s="2732"/>
    </row>
    <row r="38" spans="2:9" ht="16.5" customHeight="1" x14ac:dyDescent="0.2">
      <c r="B38" s="1200" t="s">
        <v>2144</v>
      </c>
      <c r="C38" s="2718" t="s">
        <v>2143</v>
      </c>
      <c r="D38" s="2719"/>
      <c r="E38" s="2719"/>
      <c r="F38" s="2720"/>
      <c r="G38" s="2733">
        <v>221500</v>
      </c>
      <c r="H38" s="2734"/>
      <c r="I38" s="2735"/>
    </row>
    <row r="39" spans="2:9" ht="16.5" customHeight="1" x14ac:dyDescent="0.2">
      <c r="B39" s="1200" t="s">
        <v>2195</v>
      </c>
      <c r="C39" s="2718" t="s">
        <v>2194</v>
      </c>
      <c r="D39" s="2719"/>
      <c r="E39" s="2719"/>
      <c r="F39" s="2720"/>
      <c r="G39" s="2721">
        <f>553412+14219</f>
        <v>567631</v>
      </c>
      <c r="H39" s="2721"/>
      <c r="I39" s="2721"/>
    </row>
    <row r="40" spans="2:9" ht="16.5" customHeight="1" x14ac:dyDescent="0.2">
      <c r="B40" s="1200"/>
      <c r="C40" s="2718"/>
      <c r="D40" s="2719"/>
      <c r="E40" s="2719"/>
      <c r="F40" s="2720"/>
      <c r="G40" s="2721"/>
      <c r="H40" s="2721"/>
      <c r="I40" s="2721"/>
    </row>
    <row r="41" spans="2:9" ht="16.5" customHeight="1" x14ac:dyDescent="0.2">
      <c r="B41" s="1200"/>
      <c r="C41" s="2718"/>
      <c r="D41" s="2719"/>
      <c r="E41" s="2719"/>
      <c r="F41" s="2720"/>
      <c r="G41" s="2721"/>
      <c r="H41" s="2721"/>
      <c r="I41" s="2721"/>
    </row>
    <row r="42" spans="2:9" ht="16.5" customHeight="1" x14ac:dyDescent="0.2">
      <c r="B42" s="1200"/>
      <c r="C42" s="2718"/>
      <c r="D42" s="2719"/>
      <c r="E42" s="2719"/>
      <c r="F42" s="2720"/>
      <c r="G42" s="2721"/>
      <c r="H42" s="2721"/>
      <c r="I42" s="2721"/>
    </row>
    <row r="43" spans="2:9" ht="16.5" customHeight="1" x14ac:dyDescent="0.2">
      <c r="B43" s="1200"/>
      <c r="C43" s="2736" t="s">
        <v>1576</v>
      </c>
      <c r="D43" s="2737"/>
      <c r="E43" s="2737"/>
      <c r="F43" s="2738"/>
      <c r="G43" s="2739">
        <f>SUM(G38:I42)</f>
        <v>789131</v>
      </c>
      <c r="H43" s="2739"/>
      <c r="I43" s="2739"/>
    </row>
    <row r="44" spans="2:9" ht="12.75" customHeight="1" x14ac:dyDescent="0.2"/>
    <row r="45" spans="2:9" ht="12.75" customHeight="1" x14ac:dyDescent="0.2">
      <c r="B45" s="1916" t="str">
        <f>"Total Federal Expenditures for 7/1/"&amp;MID('AFR20'!E2,3,2)-1&amp;"-6/30/"&amp;MID('AFR20'!E2,3,2)</f>
        <v>Total Federal Expenditures for 7/1/19-6/30/20</v>
      </c>
      <c r="C45" s="1917"/>
      <c r="D45" s="2740">
        <v>1637818</v>
      </c>
      <c r="E45" s="2741"/>
    </row>
    <row r="46" spans="2:9" ht="5.25" customHeight="1" x14ac:dyDescent="0.2">
      <c r="B46" s="1201"/>
      <c r="D46" s="1202"/>
      <c r="E46" s="1203"/>
    </row>
    <row r="47" spans="2:9" ht="12.75" customHeight="1" x14ac:dyDescent="0.2">
      <c r="B47" s="1076" t="s">
        <v>1577</v>
      </c>
      <c r="C47" s="1076"/>
      <c r="D47" s="1204">
        <f>+G43/D45</f>
        <v>0.48181849265302984</v>
      </c>
      <c r="E47" s="1205"/>
      <c r="F47" s="1206"/>
      <c r="I47" s="1207"/>
    </row>
    <row r="48" spans="2:9" ht="9.9499999999999993" customHeight="1" x14ac:dyDescent="0.2"/>
    <row r="49" spans="1:9" x14ac:dyDescent="0.2">
      <c r="B49" s="1138" t="s">
        <v>1262</v>
      </c>
      <c r="C49" s="1058"/>
      <c r="D49" s="1058"/>
      <c r="E49" s="2742">
        <v>750000</v>
      </c>
      <c r="F49" s="2742"/>
      <c r="G49" s="2742"/>
      <c r="H49" s="300"/>
    </row>
    <row r="51" spans="1:9" ht="13.5" customHeight="1" x14ac:dyDescent="0.2">
      <c r="B51" s="1138" t="s">
        <v>1261</v>
      </c>
      <c r="C51" s="1058"/>
      <c r="E51" s="1194"/>
      <c r="F51" s="1076" t="s">
        <v>879</v>
      </c>
      <c r="G51" s="1194" t="s">
        <v>2051</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40" fitToWidth="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2" t="str">
        <f>'Single Audit Cover'!A7</f>
        <v xml:space="preserve">  Geneseo CUSD 228</v>
      </c>
      <c r="C1" s="2722"/>
      <c r="D1" s="2722"/>
      <c r="E1" s="2722"/>
      <c r="F1" s="2722"/>
      <c r="G1" s="2722"/>
      <c r="H1" s="2722"/>
      <c r="I1" s="2722"/>
      <c r="J1" s="2722"/>
      <c r="K1" s="2722"/>
      <c r="L1" s="1144"/>
      <c r="M1" s="1144"/>
    </row>
    <row r="2" spans="1:13" ht="12" customHeight="1" x14ac:dyDescent="0.2">
      <c r="B2" s="2724">
        <f>'Single Audit Cover'!E7</f>
        <v>28037228026</v>
      </c>
      <c r="C2" s="2724"/>
      <c r="D2" s="2724"/>
      <c r="E2" s="2724"/>
      <c r="F2" s="2724"/>
      <c r="G2" s="2724"/>
      <c r="H2" s="2724"/>
      <c r="I2" s="2724"/>
      <c r="J2" s="2724"/>
      <c r="K2" s="2724"/>
      <c r="L2" s="1145"/>
      <c r="M2" s="1146"/>
    </row>
    <row r="3" spans="1:13" ht="10.35" customHeight="1" x14ac:dyDescent="0.2">
      <c r="B3" s="2745" t="s">
        <v>1274</v>
      </c>
      <c r="C3" s="2745"/>
      <c r="D3" s="2745"/>
      <c r="E3" s="2745"/>
      <c r="F3" s="2745"/>
      <c r="G3" s="2745"/>
      <c r="H3" s="2745"/>
      <c r="I3" s="2745"/>
      <c r="J3" s="2745"/>
      <c r="K3" s="2745"/>
      <c r="L3" s="1147"/>
      <c r="M3" s="1147"/>
    </row>
    <row r="4" spans="1:13" ht="14.25" customHeight="1" x14ac:dyDescent="0.2">
      <c r="B4" s="2746" t="str">
        <f>'Single Audit Cover'!A4</f>
        <v>Year Ending June 30, 2020</v>
      </c>
      <c r="C4" s="2746"/>
      <c r="D4" s="2746"/>
      <c r="E4" s="2746"/>
      <c r="F4" s="2746"/>
      <c r="G4" s="2746"/>
      <c r="H4" s="2746"/>
      <c r="I4" s="2746"/>
      <c r="J4" s="2746"/>
      <c r="K4" s="274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46" t="s">
        <v>1285</v>
      </c>
      <c r="C7" s="2746"/>
      <c r="D7" s="2747"/>
      <c r="E7" s="2747"/>
      <c r="F7" s="2747"/>
      <c r="G7" s="2747"/>
      <c r="H7" s="2747"/>
      <c r="I7" s="2747"/>
      <c r="J7" s="2747"/>
      <c r="K7" s="274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44" t="s">
        <v>2252</v>
      </c>
      <c r="C14" s="2744"/>
      <c r="D14" s="2744"/>
      <c r="E14" s="2744"/>
      <c r="F14" s="2744"/>
      <c r="G14" s="2744"/>
      <c r="H14" s="2744"/>
      <c r="I14" s="2744"/>
      <c r="J14" s="2744"/>
      <c r="K14" s="274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120" customHeight="1" x14ac:dyDescent="0.2">
      <c r="B17" s="2744" t="s">
        <v>2213</v>
      </c>
      <c r="C17" s="2744"/>
      <c r="D17" s="2744"/>
      <c r="E17" s="2744"/>
      <c r="F17" s="2744"/>
      <c r="G17" s="2744"/>
      <c r="H17" s="2744"/>
      <c r="I17" s="2744"/>
      <c r="J17" s="2744"/>
      <c r="K17" s="274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748" t="s">
        <v>2197</v>
      </c>
      <c r="C20" s="2748"/>
      <c r="D20" s="2744"/>
      <c r="E20" s="2744"/>
      <c r="F20" s="2744"/>
      <c r="G20" s="2744"/>
      <c r="H20" s="2744"/>
      <c r="I20" s="2744"/>
      <c r="J20" s="2744"/>
      <c r="K20" s="274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44" t="s">
        <v>2198</v>
      </c>
      <c r="C23" s="2744"/>
      <c r="D23" s="2744"/>
      <c r="E23" s="2744"/>
      <c r="F23" s="2744"/>
      <c r="G23" s="2744"/>
      <c r="H23" s="2744"/>
      <c r="I23" s="2744"/>
      <c r="J23" s="2744"/>
      <c r="K23" s="274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44" t="s">
        <v>2199</v>
      </c>
      <c r="C26" s="2744"/>
      <c r="D26" s="2744"/>
      <c r="E26" s="2744"/>
      <c r="F26" s="2744"/>
      <c r="G26" s="2744"/>
      <c r="H26" s="2744"/>
      <c r="I26" s="2744"/>
      <c r="J26" s="2744"/>
      <c r="K26" s="274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43" t="s">
        <v>2200</v>
      </c>
      <c r="C29" s="2743"/>
      <c r="D29" s="2744"/>
      <c r="E29" s="2744"/>
      <c r="F29" s="2744"/>
      <c r="G29" s="2744"/>
      <c r="H29" s="2744"/>
      <c r="I29" s="2744"/>
      <c r="J29" s="2744"/>
      <c r="K29" s="274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743" t="s">
        <v>2201</v>
      </c>
      <c r="C32" s="2743"/>
      <c r="D32" s="2744"/>
      <c r="E32" s="2744"/>
      <c r="F32" s="2744"/>
      <c r="G32" s="2744"/>
      <c r="H32" s="2744"/>
      <c r="I32" s="2744"/>
      <c r="J32" s="2744"/>
      <c r="K32" s="274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9" t="str">
        <f>'Single Audit Cover'!A7</f>
        <v xml:space="preserve">  Geneseo CUSD 228</v>
      </c>
      <c r="C1" s="2749"/>
      <c r="D1" s="2749"/>
      <c r="E1" s="2749"/>
      <c r="F1" s="2749"/>
      <c r="G1" s="2749"/>
      <c r="H1" s="2749"/>
      <c r="I1" s="2749"/>
      <c r="J1" s="2749"/>
      <c r="K1" s="2749"/>
      <c r="L1" s="1221"/>
    </row>
    <row r="2" spans="1:12" ht="12.75" customHeight="1" x14ac:dyDescent="0.2">
      <c r="B2" s="2750">
        <f>'Single Audit Cover'!E7</f>
        <v>28037228026</v>
      </c>
      <c r="C2" s="2750"/>
      <c r="D2" s="2750"/>
      <c r="E2" s="2750"/>
      <c r="F2" s="2750"/>
      <c r="G2" s="2750"/>
      <c r="H2" s="2750"/>
      <c r="I2" s="2750"/>
      <c r="J2" s="2750"/>
      <c r="K2" s="2750"/>
      <c r="L2" s="1222"/>
    </row>
    <row r="3" spans="1:12" ht="12.75" customHeight="1" x14ac:dyDescent="0.2">
      <c r="B3" s="2745" t="s">
        <v>1274</v>
      </c>
      <c r="C3" s="2745"/>
      <c r="D3" s="2745"/>
      <c r="E3" s="2745"/>
      <c r="F3" s="2745"/>
      <c r="G3" s="2745"/>
      <c r="H3" s="2745"/>
      <c r="I3" s="2745"/>
      <c r="J3" s="2745"/>
      <c r="K3" s="2745"/>
      <c r="L3" s="1147"/>
    </row>
    <row r="4" spans="1:12" ht="12.75" customHeight="1" x14ac:dyDescent="0.2">
      <c r="B4" s="2745" t="str">
        <f>'Single Audit Cover'!A4</f>
        <v>Year Ending June 30, 2020</v>
      </c>
      <c r="C4" s="2745"/>
      <c r="D4" s="2745"/>
      <c r="E4" s="2745"/>
      <c r="F4" s="2745"/>
      <c r="G4" s="2745"/>
      <c r="H4" s="2745"/>
      <c r="I4" s="2745"/>
      <c r="J4" s="2745"/>
      <c r="K4" s="2745"/>
      <c r="L4" s="1147"/>
    </row>
    <row r="5" spans="1:12" ht="5.25" customHeight="1" x14ac:dyDescent="0.2">
      <c r="B5" s="1036" t="s">
        <v>1159</v>
      </c>
      <c r="C5" s="1036"/>
      <c r="L5" s="300"/>
    </row>
    <row r="6" spans="1:12" ht="30.75" customHeight="1" x14ac:dyDescent="0.2">
      <c r="A6" s="300"/>
      <c r="B6" s="2751" t="s">
        <v>1297</v>
      </c>
      <c r="C6" s="2751"/>
      <c r="D6" s="2751"/>
      <c r="E6" s="2751"/>
      <c r="F6" s="2751"/>
      <c r="G6" s="2751"/>
      <c r="H6" s="2751"/>
      <c r="I6" s="2751"/>
      <c r="J6" s="2751"/>
      <c r="K6" s="275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t="s">
        <v>2067</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29"/>
      <c r="G12" s="2729"/>
      <c r="H12" s="2729"/>
      <c r="I12" s="2729"/>
      <c r="J12" s="2729"/>
      <c r="K12" s="272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52"/>
      <c r="E14" s="2752"/>
      <c r="F14" s="2752"/>
      <c r="H14" s="1230" t="s">
        <v>1292</v>
      </c>
      <c r="I14" s="2753"/>
      <c r="J14" s="2753"/>
      <c r="K14" s="275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53"/>
      <c r="E16" s="2753"/>
      <c r="F16" s="2753"/>
      <c r="G16" s="2753"/>
      <c r="H16" s="2753"/>
      <c r="I16" s="2753"/>
      <c r="J16" s="2753"/>
      <c r="K16" s="2753"/>
      <c r="L16" s="300"/>
    </row>
    <row r="17" spans="2:12" ht="13.5" customHeight="1" x14ac:dyDescent="0.2">
      <c r="B17" s="1156" t="s">
        <v>1290</v>
      </c>
      <c r="C17" s="1156"/>
      <c r="D17" s="2754"/>
      <c r="E17" s="2754"/>
      <c r="F17" s="2754"/>
      <c r="G17" s="2754"/>
      <c r="H17" s="2754"/>
      <c r="I17" s="2754"/>
      <c r="J17" s="2754"/>
      <c r="K17" s="275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44"/>
      <c r="C20" s="2744"/>
      <c r="D20" s="2744"/>
      <c r="E20" s="2744"/>
      <c r="F20" s="2744"/>
      <c r="G20" s="2744"/>
      <c r="H20" s="2744"/>
      <c r="I20" s="2744"/>
      <c r="J20" s="2744"/>
      <c r="K20" s="274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744"/>
      <c r="C23" s="2744"/>
      <c r="D23" s="2744"/>
      <c r="E23" s="2744"/>
      <c r="F23" s="2744"/>
      <c r="G23" s="2744"/>
      <c r="H23" s="2744"/>
      <c r="I23" s="2744"/>
      <c r="J23" s="2744"/>
      <c r="K23" s="274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744"/>
      <c r="C26" s="2744"/>
      <c r="D26" s="2744"/>
      <c r="E26" s="2744"/>
      <c r="F26" s="2744"/>
      <c r="G26" s="2744"/>
      <c r="H26" s="2744"/>
      <c r="I26" s="2744"/>
      <c r="J26" s="2744"/>
      <c r="K26" s="274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744"/>
      <c r="C29" s="2744"/>
      <c r="D29" s="2744"/>
      <c r="E29" s="2744"/>
      <c r="F29" s="2744"/>
      <c r="G29" s="2744"/>
      <c r="H29" s="2744"/>
      <c r="I29" s="2744"/>
      <c r="J29" s="2744"/>
      <c r="K29" s="274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44"/>
      <c r="C32" s="2744"/>
      <c r="D32" s="2744"/>
      <c r="E32" s="2744"/>
      <c r="F32" s="2744"/>
      <c r="G32" s="2744"/>
      <c r="H32" s="2744"/>
      <c r="I32" s="2744"/>
      <c r="J32" s="2744"/>
      <c r="K32" s="274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44"/>
      <c r="C35" s="2744"/>
      <c r="D35" s="2744"/>
      <c r="E35" s="2744"/>
      <c r="F35" s="2744"/>
      <c r="G35" s="2744"/>
      <c r="H35" s="2744"/>
      <c r="I35" s="2744"/>
      <c r="J35" s="2744"/>
      <c r="K35" s="274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44"/>
      <c r="C38" s="2744"/>
      <c r="D38" s="2744"/>
      <c r="E38" s="2744"/>
      <c r="F38" s="2744"/>
      <c r="G38" s="2744"/>
      <c r="H38" s="2744"/>
      <c r="I38" s="2744"/>
      <c r="J38" s="2744"/>
      <c r="K38" s="274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744"/>
      <c r="C41" s="2744"/>
      <c r="D41" s="2744"/>
      <c r="E41" s="2744"/>
      <c r="F41" s="2744"/>
      <c r="G41" s="2744"/>
      <c r="H41" s="2744"/>
      <c r="I41" s="2744"/>
      <c r="J41" s="2744"/>
      <c r="K41" s="274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22" t="str">
        <f>'Single Audit Cover'!A7</f>
        <v xml:space="preserve">  Geneseo CUSD 228</v>
      </c>
      <c r="C1" s="2722"/>
      <c r="D1" s="2722"/>
      <c r="E1" s="1240"/>
    </row>
    <row r="2" spans="2:5" s="1058" customFormat="1" ht="12.75" customHeight="1" x14ac:dyDescent="0.2">
      <c r="B2" s="2724">
        <f>'Single Audit Cover'!E7</f>
        <v>28037228026</v>
      </c>
      <c r="C2" s="2724"/>
      <c r="D2" s="2724"/>
      <c r="E2" s="1241"/>
    </row>
    <row r="3" spans="2:5" ht="12.75" customHeight="1" x14ac:dyDescent="0.2">
      <c r="B3" s="2745" t="s">
        <v>1743</v>
      </c>
      <c r="C3" s="2745"/>
      <c r="D3" s="2745"/>
      <c r="E3" s="1050"/>
    </row>
    <row r="4" spans="2:5" s="1058" customFormat="1" ht="12.75" customHeight="1" x14ac:dyDescent="0.2">
      <c r="B4" s="2755" t="str">
        <f>'Single Audit Cover'!A4</f>
        <v>Year Ending June 30, 2020</v>
      </c>
      <c r="C4" s="2755"/>
      <c r="D4" s="2755"/>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2068</v>
      </c>
      <c r="C7" s="302" t="s">
        <v>2070</v>
      </c>
      <c r="D7" s="302" t="s">
        <v>2069</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58"/>
  <sheetViews>
    <sheetView showGridLines="0" zoomScale="110" zoomScaleNormal="110" zoomScaleSheetLayoutView="100" workbookViewId="0"/>
  </sheetViews>
  <sheetFormatPr defaultColWidth="9.140625" defaultRowHeight="12.75" x14ac:dyDescent="0.2"/>
  <cols>
    <col min="1" max="1" width="1.5703125" style="294" customWidth="1"/>
    <col min="2" max="2" width="11.28515625" style="294" customWidth="1"/>
    <col min="3" max="3" width="6.42578125" style="294" customWidth="1"/>
    <col min="4" max="4" width="5.42578125" style="294" customWidth="1"/>
    <col min="5" max="5" width="74.7109375" style="294" customWidth="1"/>
    <col min="6" max="6" width="1.5703125" style="294" customWidth="1"/>
    <col min="7" max="8" width="2.42578125" style="294" customWidth="1"/>
    <col min="9" max="9" width="9.28515625" style="294" customWidth="1"/>
    <col min="10" max="10" width="14.42578125" style="294" customWidth="1"/>
    <col min="11" max="11" width="7.28515625" style="294" customWidth="1"/>
    <col min="12" max="12" width="3.140625" style="294" customWidth="1"/>
    <col min="13" max="16384" width="9.140625" style="294"/>
  </cols>
  <sheetData>
    <row r="1" spans="2:12" ht="99.95" customHeight="1" x14ac:dyDescent="0.2"/>
    <row r="2" spans="2:12" ht="13.5" customHeight="1" x14ac:dyDescent="0.2">
      <c r="B2" s="2756" t="str">
        <f>COVER!A17</f>
        <v xml:space="preserve">  Geneseo CUSD 228</v>
      </c>
      <c r="C2" s="2756"/>
      <c r="D2" s="2756"/>
      <c r="E2" s="2756"/>
      <c r="F2" s="2136"/>
      <c r="G2" s="2136"/>
      <c r="H2" s="2136"/>
      <c r="I2" s="2136"/>
      <c r="J2" s="2136"/>
      <c r="K2" s="2136"/>
      <c r="L2" s="2136"/>
    </row>
    <row r="3" spans="2:12" ht="13.5" customHeight="1" x14ac:dyDescent="0.2">
      <c r="B3" s="2757">
        <f>COVER!A13</f>
        <v>28037228026</v>
      </c>
      <c r="C3" s="2757"/>
      <c r="D3" s="2757"/>
      <c r="E3" s="2757"/>
      <c r="F3" s="2137"/>
      <c r="G3" s="2137"/>
      <c r="H3" s="2137"/>
      <c r="I3" s="2137"/>
      <c r="J3" s="2137"/>
      <c r="K3" s="2137"/>
      <c r="L3" s="2137"/>
    </row>
    <row r="4" spans="2:12" ht="13.5" customHeight="1" x14ac:dyDescent="0.2">
      <c r="B4" s="2758" t="s">
        <v>2202</v>
      </c>
      <c r="C4" s="2758"/>
      <c r="D4" s="2758"/>
      <c r="E4" s="2758"/>
      <c r="F4" s="2138"/>
      <c r="G4" s="2138"/>
      <c r="H4" s="2138"/>
      <c r="I4" s="2138"/>
      <c r="J4" s="2138"/>
      <c r="K4" s="2138"/>
      <c r="L4" s="2138"/>
    </row>
    <row r="5" spans="2:12" ht="13.5" customHeight="1" x14ac:dyDescent="0.2">
      <c r="B5" s="2759" t="str">
        <f>'Single Audit Cover'!A4</f>
        <v>Year Ending June 30, 2020</v>
      </c>
      <c r="C5" s="2759"/>
      <c r="D5" s="2759"/>
      <c r="E5" s="2759"/>
      <c r="F5" s="2139"/>
      <c r="G5" s="2139"/>
      <c r="H5" s="2139"/>
      <c r="I5" s="2139"/>
      <c r="J5" s="2139"/>
      <c r="K5" s="2139"/>
      <c r="L5" s="2139"/>
    </row>
    <row r="6" spans="2:12" ht="29.85" customHeight="1" x14ac:dyDescent="0.2"/>
    <row r="7" spans="2:12" ht="13.5" customHeight="1" x14ac:dyDescent="0.2">
      <c r="B7" s="2140" t="s">
        <v>2203</v>
      </c>
      <c r="C7" s="2140"/>
      <c r="D7" s="2141"/>
      <c r="E7" s="2142"/>
      <c r="F7" s="2142"/>
      <c r="G7" s="2143"/>
      <c r="H7" s="2143"/>
      <c r="I7" s="2143"/>
    </row>
    <row r="8" spans="2:12" ht="13.5" customHeight="1" x14ac:dyDescent="0.2">
      <c r="B8" s="294" t="s">
        <v>1159</v>
      </c>
    </row>
    <row r="9" spans="2:12" ht="13.5" customHeight="1" x14ac:dyDescent="0.2">
      <c r="B9" s="998" t="s">
        <v>2204</v>
      </c>
      <c r="C9" s="2120" t="s">
        <v>2205</v>
      </c>
      <c r="D9" s="2144">
        <v>1</v>
      </c>
    </row>
    <row r="10" spans="2:12" ht="13.5" customHeight="1" x14ac:dyDescent="0.2">
      <c r="B10" s="2145"/>
      <c r="C10" s="2145"/>
      <c r="D10" s="2145"/>
    </row>
    <row r="11" spans="2:12" ht="13.5" customHeight="1" x14ac:dyDescent="0.2">
      <c r="B11" s="995" t="s">
        <v>2206</v>
      </c>
      <c r="C11" s="998"/>
    </row>
    <row r="12" spans="2:12" ht="120" customHeight="1" x14ac:dyDescent="0.2">
      <c r="B12" s="2760" t="s">
        <v>2217</v>
      </c>
      <c r="C12" s="2760"/>
      <c r="D12" s="2760"/>
      <c r="E12" s="2760"/>
    </row>
    <row r="13" spans="2:12" ht="13.5" customHeight="1" x14ac:dyDescent="0.2"/>
    <row r="14" spans="2:12" ht="13.5" customHeight="1" x14ac:dyDescent="0.2">
      <c r="B14" s="995" t="s">
        <v>2207</v>
      </c>
      <c r="C14" s="998"/>
    </row>
    <row r="15" spans="2:12" ht="35.25" customHeight="1" x14ac:dyDescent="0.2">
      <c r="B15" s="2744" t="s">
        <v>2214</v>
      </c>
      <c r="C15" s="2744"/>
      <c r="D15" s="2744"/>
      <c r="E15" s="2744"/>
    </row>
    <row r="16" spans="2:12" ht="13.5" customHeight="1" x14ac:dyDescent="0.2"/>
    <row r="17" spans="2:5" ht="13.5" customHeight="1" x14ac:dyDescent="0.2">
      <c r="B17" s="995" t="s">
        <v>2208</v>
      </c>
      <c r="C17" s="998"/>
      <c r="E17" s="2146" t="s">
        <v>2209</v>
      </c>
    </row>
    <row r="18" spans="2:5" ht="13.5" customHeight="1" x14ac:dyDescent="0.2">
      <c r="B18" s="2115"/>
    </row>
    <row r="19" spans="2:5" ht="13.5" customHeight="1" x14ac:dyDescent="0.2">
      <c r="B19" s="995" t="s">
        <v>2210</v>
      </c>
      <c r="C19" s="995"/>
      <c r="E19" s="301" t="s">
        <v>2215</v>
      </c>
    </row>
    <row r="20" spans="2:5" ht="13.5" customHeight="1" x14ac:dyDescent="0.2">
      <c r="B20" s="2115"/>
    </row>
    <row r="21" spans="2:5" ht="26.25" customHeight="1" x14ac:dyDescent="0.2">
      <c r="B21" s="2147" t="s">
        <v>2211</v>
      </c>
      <c r="C21" s="995"/>
      <c r="E21" s="2148" t="s">
        <v>2216</v>
      </c>
    </row>
    <row r="22" spans="2:5" ht="13.5" customHeight="1" x14ac:dyDescent="0.2">
      <c r="E22" s="301"/>
    </row>
    <row r="23" spans="2:5" ht="13.5" customHeight="1" x14ac:dyDescent="0.2"/>
    <row r="24" spans="2:5" ht="13.5" customHeight="1" x14ac:dyDescent="0.2"/>
    <row r="25" spans="2:5" ht="13.5" customHeight="1" x14ac:dyDescent="0.2">
      <c r="B25" s="865"/>
      <c r="C25" s="865"/>
      <c r="D25" s="865"/>
    </row>
    <row r="26" spans="2:5" ht="13.5" customHeight="1" x14ac:dyDescent="0.2">
      <c r="B26" s="865"/>
      <c r="C26" s="865"/>
      <c r="D26" s="865"/>
    </row>
    <row r="27" spans="2:5" ht="13.5" customHeight="1" x14ac:dyDescent="0.2">
      <c r="B27" s="865"/>
      <c r="C27" s="865"/>
      <c r="D27" s="865"/>
    </row>
    <row r="28" spans="2:5" ht="13.5" customHeight="1" x14ac:dyDescent="0.2">
      <c r="B28" s="865"/>
      <c r="C28" s="865"/>
      <c r="D28" s="865"/>
    </row>
    <row r="29" spans="2:5" ht="13.5" customHeight="1" x14ac:dyDescent="0.2">
      <c r="B29" s="2130"/>
      <c r="C29" s="2130"/>
      <c r="D29" s="2130"/>
      <c r="E29" s="2130"/>
    </row>
    <row r="30" spans="2:5" ht="12.2" customHeight="1" x14ac:dyDescent="0.2">
      <c r="B30" s="2149" t="s">
        <v>2212</v>
      </c>
      <c r="C30" s="2149"/>
      <c r="D30" s="2149"/>
    </row>
    <row r="31" spans="2:5" ht="12.2" customHeight="1" x14ac:dyDescent="0.2">
      <c r="B31" s="2150"/>
      <c r="C31" s="2150"/>
      <c r="D31" s="2150"/>
    </row>
    <row r="32" spans="2:5" ht="12.75" customHeight="1" x14ac:dyDescent="0.2">
      <c r="B32" s="998"/>
      <c r="C32" s="998"/>
      <c r="D32" s="998"/>
    </row>
    <row r="33" spans="2:4" ht="12.75" customHeight="1" x14ac:dyDescent="0.2">
      <c r="B33" s="998"/>
      <c r="C33" s="998"/>
      <c r="D33" s="998"/>
    </row>
    <row r="34" spans="2:4" x14ac:dyDescent="0.2">
      <c r="B34" s="998"/>
      <c r="C34" s="998"/>
      <c r="D34" s="998"/>
    </row>
    <row r="35" spans="2:4" x14ac:dyDescent="0.2">
      <c r="B35" s="998"/>
      <c r="C35" s="998"/>
      <c r="D35" s="998"/>
    </row>
    <row r="39" spans="2:4" x14ac:dyDescent="0.2">
      <c r="B39" s="2151"/>
      <c r="C39" s="2151"/>
      <c r="D39" s="2151"/>
    </row>
    <row r="40" spans="2:4" ht="12.75" customHeight="1" x14ac:dyDescent="0.2"/>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52" spans="2:4" x14ac:dyDescent="0.2">
      <c r="B52" s="2152"/>
      <c r="C52" s="2152"/>
      <c r="D52" s="2152"/>
    </row>
    <row r="53" spans="2:4" x14ac:dyDescent="0.2">
      <c r="B53" s="998"/>
      <c r="C53" s="998"/>
      <c r="D53" s="998"/>
    </row>
    <row r="54" spans="2:4" x14ac:dyDescent="0.2">
      <c r="B54" s="998"/>
      <c r="C54" s="998"/>
      <c r="D54" s="998"/>
    </row>
    <row r="55" spans="2:4" x14ac:dyDescent="0.2">
      <c r="B55" s="2152"/>
      <c r="C55" s="2152"/>
      <c r="D55" s="2152"/>
    </row>
    <row r="56" spans="2:4" x14ac:dyDescent="0.2">
      <c r="B56" s="2152"/>
      <c r="C56" s="2152"/>
      <c r="D56" s="2152"/>
    </row>
    <row r="57" spans="2:4" x14ac:dyDescent="0.2">
      <c r="B57" s="2152"/>
      <c r="C57" s="2152"/>
      <c r="D57" s="2152"/>
    </row>
    <row r="58" spans="2:4" x14ac:dyDescent="0.2">
      <c r="B58" s="998"/>
      <c r="C58" s="998"/>
      <c r="D58" s="998"/>
    </row>
  </sheetData>
  <mergeCells count="6">
    <mergeCell ref="B15:E15"/>
    <mergeCell ref="B2:E2"/>
    <mergeCell ref="B3:E3"/>
    <mergeCell ref="B4:E4"/>
    <mergeCell ref="B5:E5"/>
    <mergeCell ref="B12:E12"/>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09" t="s">
        <v>383</v>
      </c>
      <c r="B1" s="2309"/>
      <c r="C1" s="2309"/>
      <c r="D1" s="2309"/>
      <c r="E1" s="2309"/>
      <c r="F1" s="2309"/>
      <c r="G1" s="2309"/>
      <c r="H1" s="2309"/>
      <c r="I1" s="2309"/>
      <c r="J1" s="2309"/>
      <c r="K1" s="2309"/>
      <c r="L1" s="2309"/>
      <c r="M1" s="230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390701703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2.35E-2</v>
      </c>
      <c r="E10" s="333" t="s">
        <v>998</v>
      </c>
      <c r="F10" s="332">
        <v>5.0000000000000001E-3</v>
      </c>
      <c r="G10" s="333" t="s">
        <v>998</v>
      </c>
      <c r="H10" s="332">
        <v>2E-3</v>
      </c>
      <c r="I10" s="333" t="s">
        <v>999</v>
      </c>
      <c r="J10" s="1424">
        <f>ROUND(D10+F10+H10,5)</f>
        <v>3.0499999999999999E-2</v>
      </c>
      <c r="K10" s="217"/>
      <c r="L10" s="332">
        <v>5.0000000000000001E-4</v>
      </c>
      <c r="M10" s="217"/>
    </row>
    <row r="11" spans="1:14" ht="7.5" customHeight="1" x14ac:dyDescent="0.2">
      <c r="B11" s="217"/>
      <c r="C11" s="217"/>
      <c r="D11" s="2319" t="str">
        <f>IF(SUM(J10)&lt;=0.0999999,"","Enter the Tax Rates by moving the decimal two places to the left.")</f>
        <v/>
      </c>
      <c r="E11" s="2320"/>
      <c r="F11" s="2320"/>
      <c r="G11" s="2320"/>
      <c r="H11" s="2320"/>
      <c r="I11" s="2320"/>
      <c r="J11" s="23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22154300</v>
      </c>
      <c r="E16" s="1547"/>
      <c r="F16" s="1546">
        <f>SUM('Acct Summary 7-8'!C17,'Acct Summary 7-8'!D17,'Acct Summary 7-8'!F17)</f>
        <v>22693324</v>
      </c>
      <c r="G16" s="1547"/>
      <c r="H16" s="1546">
        <f>SUM(D16-F16)</f>
        <v>-539024</v>
      </c>
      <c r="I16" s="1548"/>
      <c r="J16" s="1546">
        <f>SUM('Acct Summary 7-8'!C81,'Acct Summary 7-8'!D81,'Acct Summary 7-8'!F81,'Acct Summary 7-8'!I81)</f>
        <v>15170912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53916835.014000006</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34975956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10"/>
      <c r="C54" s="2311"/>
      <c r="D54" s="2311"/>
      <c r="E54" s="2311"/>
      <c r="F54" s="2311"/>
      <c r="G54" s="2311"/>
      <c r="H54" s="2311"/>
      <c r="I54" s="2311"/>
      <c r="J54" s="2311"/>
      <c r="K54" s="2311"/>
      <c r="L54" s="2312"/>
      <c r="M54" s="357"/>
    </row>
    <row r="55" spans="1:13" ht="12.75" customHeight="1" x14ac:dyDescent="0.2">
      <c r="B55" s="2313"/>
      <c r="C55" s="2314"/>
      <c r="D55" s="2314"/>
      <c r="E55" s="2314"/>
      <c r="F55" s="2314"/>
      <c r="G55" s="2314"/>
      <c r="H55" s="2314"/>
      <c r="I55" s="2314"/>
      <c r="J55" s="2314"/>
      <c r="K55" s="2314"/>
      <c r="L55" s="2315"/>
      <c r="M55" s="357"/>
    </row>
    <row r="56" spans="1:13" ht="12.75" customHeight="1" x14ac:dyDescent="0.2">
      <c r="B56" s="2313"/>
      <c r="C56" s="2314"/>
      <c r="D56" s="2314"/>
      <c r="E56" s="2314"/>
      <c r="F56" s="2314"/>
      <c r="G56" s="2314"/>
      <c r="H56" s="2314"/>
      <c r="I56" s="2314"/>
      <c r="J56" s="2314"/>
      <c r="K56" s="2314"/>
      <c r="L56" s="2315"/>
      <c r="M56" s="217"/>
    </row>
    <row r="57" spans="1:13" ht="12.75" customHeight="1" x14ac:dyDescent="0.2">
      <c r="B57" s="2313"/>
      <c r="C57" s="2314"/>
      <c r="D57" s="2314"/>
      <c r="E57" s="2314"/>
      <c r="F57" s="2314"/>
      <c r="G57" s="2314"/>
      <c r="H57" s="2314"/>
      <c r="I57" s="2314"/>
      <c r="J57" s="2314"/>
      <c r="K57" s="2314"/>
      <c r="L57" s="2315"/>
      <c r="M57" s="217"/>
    </row>
    <row r="58" spans="1:13" x14ac:dyDescent="0.2">
      <c r="B58" s="2316"/>
      <c r="C58" s="2317"/>
      <c r="D58" s="2317"/>
      <c r="E58" s="2317"/>
      <c r="F58" s="2317"/>
      <c r="G58" s="2317"/>
      <c r="H58" s="2317"/>
      <c r="I58" s="2317"/>
      <c r="J58" s="2317"/>
      <c r="K58" s="2317"/>
      <c r="L58" s="23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21"/>
      <c r="D61" s="23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24"/>
      <c r="B1" s="2325"/>
      <c r="C1" s="2325"/>
      <c r="D1" s="361"/>
      <c r="E1" s="361"/>
      <c r="F1" s="361"/>
      <c r="G1" s="361"/>
      <c r="H1" s="361"/>
      <c r="I1" s="361"/>
      <c r="J1" s="361"/>
      <c r="K1" s="361"/>
      <c r="L1" s="361"/>
      <c r="M1" s="361"/>
      <c r="N1" s="361"/>
      <c r="O1" s="2324"/>
      <c r="P1" s="2325"/>
      <c r="Q1" s="2325"/>
    </row>
    <row r="2" spans="1:18" ht="15" x14ac:dyDescent="0.2">
      <c r="A2" s="2328" t="s">
        <v>552</v>
      </c>
      <c r="B2" s="2328"/>
      <c r="C2" s="2328"/>
      <c r="D2" s="2328"/>
      <c r="E2" s="2328"/>
      <c r="F2" s="2328"/>
      <c r="G2" s="2328"/>
      <c r="H2" s="2328"/>
      <c r="I2" s="2328"/>
      <c r="J2" s="2328"/>
      <c r="K2" s="2328"/>
      <c r="L2" s="2328"/>
      <c r="M2" s="2328"/>
      <c r="N2" s="2328"/>
      <c r="O2" s="2328"/>
      <c r="P2" s="2328"/>
      <c r="Q2" s="2328"/>
      <c r="R2" s="2328"/>
    </row>
    <row r="3" spans="1:18" ht="12.75" x14ac:dyDescent="0.2">
      <c r="A3" s="2329" t="s">
        <v>1396</v>
      </c>
      <c r="B3" s="2329"/>
      <c r="C3" s="2329"/>
      <c r="D3" s="2329"/>
      <c r="E3" s="2329"/>
      <c r="F3" s="2329"/>
      <c r="G3" s="2329"/>
      <c r="H3" s="2329"/>
      <c r="I3" s="2329"/>
      <c r="J3" s="2329"/>
      <c r="K3" s="2329"/>
      <c r="L3" s="2329"/>
      <c r="M3" s="2329"/>
      <c r="N3" s="2329"/>
      <c r="O3" s="2329"/>
      <c r="P3" s="2329"/>
      <c r="Q3" s="2329"/>
      <c r="R3" s="2329"/>
    </row>
    <row r="4" spans="1:18" x14ac:dyDescent="0.2">
      <c r="A4" s="2330" t="s">
        <v>1537</v>
      </c>
      <c r="B4" s="2330"/>
      <c r="C4" s="2330"/>
      <c r="D4" s="2330"/>
      <c r="E4" s="2330"/>
      <c r="F4" s="2330"/>
      <c r="G4" s="2330"/>
      <c r="H4" s="2330"/>
      <c r="I4" s="2330"/>
      <c r="J4" s="2330"/>
      <c r="K4" s="2330"/>
      <c r="L4" s="2330"/>
      <c r="M4" s="2330"/>
      <c r="N4" s="2330"/>
      <c r="O4" s="2330"/>
      <c r="P4" s="2330"/>
      <c r="Q4" s="2330"/>
      <c r="R4" s="23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Geneseo CUSD 228</v>
      </c>
      <c r="E7" s="368"/>
      <c r="G7" s="247"/>
      <c r="H7" s="364"/>
      <c r="I7" s="364"/>
      <c r="J7" s="364"/>
      <c r="K7" s="364"/>
      <c r="L7" s="307"/>
      <c r="M7" s="307"/>
      <c r="N7" s="307"/>
      <c r="O7" s="307"/>
      <c r="P7" s="307"/>
    </row>
    <row r="8" spans="1:18" ht="12.75" x14ac:dyDescent="0.2">
      <c r="A8" s="307"/>
      <c r="B8" s="307"/>
      <c r="C8" s="366" t="s">
        <v>1115</v>
      </c>
      <c r="D8" s="369">
        <f>COVER!A13</f>
        <v>28037228026</v>
      </c>
      <c r="E8" s="370"/>
      <c r="G8" s="307"/>
      <c r="H8" s="307"/>
      <c r="I8" s="307"/>
      <c r="J8" s="307"/>
      <c r="K8" s="307"/>
      <c r="L8" s="307"/>
      <c r="M8" s="307"/>
      <c r="N8" s="307"/>
      <c r="O8" s="307"/>
      <c r="P8" s="307"/>
    </row>
    <row r="9" spans="1:18" ht="12.75" x14ac:dyDescent="0.2">
      <c r="A9" s="307"/>
      <c r="B9" s="307"/>
      <c r="C9" s="366" t="s">
        <v>708</v>
      </c>
      <c r="D9" s="371">
        <f>COVER!A15</f>
        <v>0</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15170912</v>
      </c>
      <c r="I12" s="380"/>
      <c r="J12" s="380"/>
      <c r="K12" s="1559">
        <f>TRUNC((H12/H13*100000),5)/100000</f>
        <v>0.68556417430000005</v>
      </c>
      <c r="L12" s="381"/>
      <c r="M12" s="337" t="s">
        <v>1134</v>
      </c>
      <c r="N12" s="337"/>
      <c r="O12" s="1562">
        <v>0.35</v>
      </c>
      <c r="P12" s="213"/>
      <c r="Q12" s="213"/>
    </row>
    <row r="13" spans="1:18" s="382" customFormat="1" ht="12.75" x14ac:dyDescent="0.2">
      <c r="A13" s="213"/>
      <c r="B13" s="377"/>
      <c r="C13" s="2326" t="s">
        <v>1313</v>
      </c>
      <c r="D13" s="2327"/>
      <c r="E13" s="213"/>
      <c r="F13" s="383" t="s">
        <v>788</v>
      </c>
      <c r="G13" s="378"/>
      <c r="H13" s="1551">
        <f>SUM('Acct Summary 7-8'!C8+'Acct Summary 7-8'!D8+'Acct Summary 7-8'!F8+'Acct Summary 7-8'!I8)+H14</f>
        <v>22129091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-25209</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22693324</v>
      </c>
      <c r="I17" s="380"/>
      <c r="J17" s="389"/>
      <c r="K17" s="1559">
        <f>TRUNC((H17/H18*100000),5)/100000</f>
        <v>1.0254973419</v>
      </c>
      <c r="L17" s="381"/>
      <c r="M17" s="390" t="s">
        <v>1161</v>
      </c>
      <c r="O17" s="1565" t="str">
        <f>IF(AND(O16="2", J20 &gt; 2),"1",IF(AND(O16 = "1", J20 &gt; 2),"2",IF(AND(O16="1", J20 &gt;1),"1","0")))</f>
        <v>0</v>
      </c>
      <c r="P17" s="213"/>
    </row>
    <row r="18" spans="1:18" s="382" customFormat="1" ht="11.25" x14ac:dyDescent="0.2">
      <c r="A18" s="213"/>
      <c r="B18" s="377"/>
      <c r="C18" s="2326" t="s">
        <v>1306</v>
      </c>
      <c r="D18" s="2327"/>
      <c r="E18" s="213"/>
      <c r="F18" s="391" t="s">
        <v>789</v>
      </c>
      <c r="G18" s="378"/>
      <c r="H18" s="1551">
        <f>SUM('Acct Summary 7-8'!C8+'Acct Summary 7-8'!D8+'Acct Summary 7-8'!F8+'Acct Summary 7-8'!I8)+H19</f>
        <v>22129091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-25209</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22.965694800000001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323" t="s">
        <v>1395</v>
      </c>
      <c r="D24" s="2323"/>
      <c r="E24" s="213"/>
      <c r="F24" s="213" t="s">
        <v>442</v>
      </c>
      <c r="G24" s="378"/>
      <c r="H24" s="1551">
        <f>SUM('Assets-Liab 5-6'!C4+'Assets-Liab 5-6'!D4+'Assets-Liab 5-6'!F4+'Assets-Liab 5-6'!I4+'Assets-Liab 5-6'!C5+'Assets-Liab 5-6'!D5+'Assets-Liab 5-6'!F5+'Assets-Liab 5-6'!I5)</f>
        <v>15170912</v>
      </c>
      <c r="I24" s="394"/>
      <c r="J24" s="394"/>
      <c r="K24" s="1555">
        <f>TRUNC(((H24/H25*100000)/100000),2)</f>
        <v>240.66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63037.011109999999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10128941.650280001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34975956</v>
      </c>
      <c r="I32" s="392"/>
      <c r="J32" s="392"/>
      <c r="K32" s="1555">
        <f>TRUNC(100-((((H32/H33*100))*100)/100),2)</f>
        <v>35.119999999999997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53916835.014000006</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M23" sqref="M2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3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3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33" t="s">
        <v>967</v>
      </c>
      <c r="B3" s="2334"/>
      <c r="C3" s="1306"/>
      <c r="D3" s="1307"/>
      <c r="E3" s="1307"/>
      <c r="F3" s="1307"/>
      <c r="G3" s="1307"/>
      <c r="H3" s="1307"/>
      <c r="I3" s="1307"/>
      <c r="J3" s="1307"/>
      <c r="K3" s="1307"/>
      <c r="L3" s="1307"/>
      <c r="M3" s="1308"/>
      <c r="N3" s="1309"/>
    </row>
    <row r="4" spans="1:14" ht="13.5" customHeight="1" x14ac:dyDescent="0.2">
      <c r="A4" s="427" t="s">
        <v>1632</v>
      </c>
      <c r="B4" s="428"/>
      <c r="C4" s="1572">
        <v>6197538</v>
      </c>
      <c r="D4" s="1573">
        <v>3077659</v>
      </c>
      <c r="E4" s="1573">
        <v>2237795</v>
      </c>
      <c r="F4" s="1573">
        <v>1324942</v>
      </c>
      <c r="G4" s="1573">
        <v>946412</v>
      </c>
      <c r="H4" s="1573">
        <v>705130</v>
      </c>
      <c r="I4" s="1573">
        <v>4570773</v>
      </c>
      <c r="J4" s="1574">
        <v>755358</v>
      </c>
      <c r="K4" s="1573">
        <v>25665</v>
      </c>
      <c r="L4" s="1573">
        <v>2648675</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139038</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6197538</v>
      </c>
      <c r="D13" s="1587">
        <f t="shared" ref="D13:L13" si="0">SUM(D4:D12)</f>
        <v>3077659</v>
      </c>
      <c r="E13" s="1587">
        <f t="shared" si="0"/>
        <v>2237795</v>
      </c>
      <c r="F13" s="1587">
        <f t="shared" si="0"/>
        <v>1324942</v>
      </c>
      <c r="G13" s="1587">
        <f t="shared" si="0"/>
        <v>946412</v>
      </c>
      <c r="H13" s="1587">
        <f t="shared" si="0"/>
        <v>705130</v>
      </c>
      <c r="I13" s="1587">
        <f t="shared" si="0"/>
        <v>4570773</v>
      </c>
      <c r="J13" s="1587">
        <f t="shared" si="0"/>
        <v>755358</v>
      </c>
      <c r="K13" s="1587">
        <f t="shared" si="0"/>
        <v>25665</v>
      </c>
      <c r="L13" s="1587">
        <f t="shared" si="0"/>
        <v>2787713</v>
      </c>
      <c r="M13" s="1575"/>
      <c r="N13" s="1576"/>
    </row>
    <row r="14" spans="1:14" ht="18" customHeight="1" thickTop="1" x14ac:dyDescent="0.2">
      <c r="A14" s="2335" t="s">
        <v>146</v>
      </c>
      <c r="B14" s="233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542305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61015606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1648645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2542534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10000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2237795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32738161</v>
      </c>
    </row>
    <row r="23" spans="1:14" ht="13.5" customHeight="1" thickBot="1" x14ac:dyDescent="0.25">
      <c r="A23" s="1426" t="s">
        <v>638</v>
      </c>
      <c r="B23" s="1429"/>
      <c r="C23" s="1575"/>
      <c r="D23" s="1575"/>
      <c r="E23" s="1575"/>
      <c r="F23" s="1575"/>
      <c r="G23" s="1575"/>
      <c r="H23" s="1575"/>
      <c r="I23" s="1575"/>
      <c r="J23" s="1575"/>
      <c r="K23" s="1575"/>
      <c r="L23" s="1575"/>
      <c r="M23" s="1594">
        <f>SUM(M15:M22)</f>
        <v>65759090</v>
      </c>
      <c r="N23" s="1594">
        <f>SUM(N21:N22)</f>
        <v>34975956</v>
      </c>
    </row>
    <row r="24" spans="1:14" ht="18" customHeight="1" thickTop="1" x14ac:dyDescent="0.2">
      <c r="A24" s="2337" t="s">
        <v>594</v>
      </c>
      <c r="B24" s="233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383893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383893</v>
      </c>
      <c r="M34" s="1575"/>
      <c r="N34" s="1585"/>
    </row>
    <row r="35" spans="1:14" ht="18" customHeight="1" thickTop="1" x14ac:dyDescent="0.2">
      <c r="A35" s="2339" t="s">
        <v>526</v>
      </c>
      <c r="B35" s="234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34975956</v>
      </c>
    </row>
    <row r="37" spans="1:14" ht="13.5" thickBot="1" x14ac:dyDescent="0.25">
      <c r="A37" s="1426" t="s">
        <v>648</v>
      </c>
      <c r="B37" s="1429"/>
      <c r="C37" s="1582"/>
      <c r="D37" s="1582"/>
      <c r="E37" s="1582"/>
      <c r="F37" s="1582"/>
      <c r="G37" s="1582"/>
      <c r="H37" s="1582"/>
      <c r="I37" s="1582"/>
      <c r="J37" s="1582"/>
      <c r="K37" s="1582"/>
      <c r="L37" s="1585"/>
      <c r="M37" s="1575"/>
      <c r="N37" s="1594">
        <f>SUM(N36:N36)</f>
        <v>34975956</v>
      </c>
    </row>
    <row r="38" spans="1:14" s="307" customFormat="1" ht="13.5" customHeight="1" thickTop="1" x14ac:dyDescent="0.2">
      <c r="A38" s="438" t="s">
        <v>417</v>
      </c>
      <c r="B38" s="432">
        <v>714</v>
      </c>
      <c r="C38" s="1573">
        <v>16729</v>
      </c>
      <c r="D38" s="1573">
        <v>50000</v>
      </c>
      <c r="E38" s="1573">
        <v>483995</v>
      </c>
      <c r="F38" s="1573">
        <v>0</v>
      </c>
      <c r="G38" s="1573">
        <v>404563</v>
      </c>
      <c r="H38" s="1573">
        <v>0</v>
      </c>
      <c r="I38" s="1573">
        <v>0</v>
      </c>
      <c r="J38" s="1574">
        <v>0</v>
      </c>
      <c r="K38" s="1573">
        <v>0</v>
      </c>
      <c r="L38" s="1586">
        <v>2403820</v>
      </c>
      <c r="M38" s="1604"/>
      <c r="N38" s="1604"/>
    </row>
    <row r="39" spans="1:14" s="307" customFormat="1" ht="13.5" customHeight="1" x14ac:dyDescent="0.2">
      <c r="A39" s="438" t="s">
        <v>339</v>
      </c>
      <c r="B39" s="432">
        <v>730</v>
      </c>
      <c r="C39" s="1573">
        <v>6180809</v>
      </c>
      <c r="D39" s="1573">
        <v>3027659</v>
      </c>
      <c r="E39" s="1573">
        <v>1753800</v>
      </c>
      <c r="F39" s="1573">
        <v>1324942</v>
      </c>
      <c r="G39" s="1573">
        <v>541849</v>
      </c>
      <c r="H39" s="1573">
        <v>705130</v>
      </c>
      <c r="I39" s="1573">
        <v>4570773</v>
      </c>
      <c r="J39" s="1574">
        <v>755358</v>
      </c>
      <c r="K39" s="1573">
        <v>25665</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65759090</v>
      </c>
      <c r="N40" s="1604"/>
    </row>
    <row r="41" spans="1:14" ht="13.5" customHeight="1" thickBot="1" x14ac:dyDescent="0.25">
      <c r="A41" s="1426" t="s">
        <v>650</v>
      </c>
      <c r="B41" s="1405"/>
      <c r="C41" s="1594">
        <f>(SUM(C34,C37,C38,C39))</f>
        <v>6197538</v>
      </c>
      <c r="D41" s="1594">
        <f t="shared" ref="D41:L41" si="2">SUM(D34,D37,D38:D39)</f>
        <v>3077659</v>
      </c>
      <c r="E41" s="1594">
        <f t="shared" si="2"/>
        <v>2237795</v>
      </c>
      <c r="F41" s="1594">
        <f t="shared" si="2"/>
        <v>1324942</v>
      </c>
      <c r="G41" s="1594">
        <f t="shared" si="2"/>
        <v>946412</v>
      </c>
      <c r="H41" s="1594">
        <f t="shared" si="2"/>
        <v>705130</v>
      </c>
      <c r="I41" s="1594">
        <f t="shared" si="2"/>
        <v>4570773</v>
      </c>
      <c r="J41" s="1594">
        <f t="shared" si="2"/>
        <v>755358</v>
      </c>
      <c r="K41" s="1594">
        <f t="shared" si="2"/>
        <v>25665</v>
      </c>
      <c r="L41" s="1594">
        <f t="shared" si="2"/>
        <v>2787713</v>
      </c>
      <c r="M41" s="1594">
        <f>SUM(M40)</f>
        <v>65759090</v>
      </c>
      <c r="N41" s="1594">
        <f>SUM(N37)</f>
        <v>34975956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M23" sqref="M2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4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5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61" t="s">
        <v>1165</v>
      </c>
      <c r="B3" s="2362"/>
      <c r="C3" s="1311"/>
      <c r="D3" s="1312"/>
      <c r="E3" s="1312"/>
      <c r="F3" s="1312"/>
      <c r="G3" s="1312"/>
      <c r="H3" s="1312"/>
      <c r="I3" s="1312"/>
      <c r="J3" s="1312"/>
      <c r="K3" s="1313"/>
      <c r="L3" s="446"/>
    </row>
    <row r="4" spans="1:13" ht="15.75" customHeight="1" x14ac:dyDescent="0.2">
      <c r="A4" s="1537" t="s">
        <v>1482</v>
      </c>
      <c r="B4" s="1538">
        <v>1000</v>
      </c>
      <c r="C4" s="1606">
        <f>'Revenues 9-14'!C109</f>
        <v>11257640</v>
      </c>
      <c r="D4" s="1606">
        <f>'Revenues 9-14'!D109</f>
        <v>2022281</v>
      </c>
      <c r="E4" s="1606">
        <f>'Revenues 9-14'!E109</f>
        <v>3832933</v>
      </c>
      <c r="F4" s="1606">
        <f>'Revenues 9-14'!F109</f>
        <v>784715</v>
      </c>
      <c r="G4" s="1606">
        <f>'Revenues 9-14'!G109</f>
        <v>623076</v>
      </c>
      <c r="H4" s="1606">
        <f>'Revenues 9-14'!H109</f>
        <v>168841</v>
      </c>
      <c r="I4" s="1606">
        <f>'Revenues 9-14'!I109</f>
        <v>225746</v>
      </c>
      <c r="J4" s="1606">
        <f>'Revenues 9-14'!J109</f>
        <v>930475</v>
      </c>
      <c r="K4" s="1606">
        <f>'Revenues 9-14'!K109</f>
        <v>23257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5318764</v>
      </c>
      <c r="D6" s="1607">
        <f>'Revenues 9-14'!D170</f>
        <v>50000</v>
      </c>
      <c r="E6" s="1607">
        <f>'Revenues 9-14'!E170</f>
        <v>0</v>
      </c>
      <c r="F6" s="1607">
        <f>'Revenues 9-14'!F170</f>
        <v>1122852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1372302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17948706</v>
      </c>
      <c r="D8" s="1594">
        <f t="shared" ref="D8:K8" si="0">SUM(D4:D7)</f>
        <v>2072281</v>
      </c>
      <c r="E8" s="1594">
        <f t="shared" si="0"/>
        <v>3832933</v>
      </c>
      <c r="F8" s="1594">
        <f t="shared" si="0"/>
        <v>1907567</v>
      </c>
      <c r="G8" s="1594">
        <f t="shared" si="0"/>
        <v>623076</v>
      </c>
      <c r="H8" s="1594">
        <f t="shared" si="0"/>
        <v>168841</v>
      </c>
      <c r="I8" s="1594">
        <f t="shared" si="0"/>
        <v>225746</v>
      </c>
      <c r="J8" s="1594">
        <f t="shared" si="0"/>
        <v>930475</v>
      </c>
      <c r="K8" s="1594">
        <f t="shared" si="0"/>
        <v>23257</v>
      </c>
      <c r="L8" s="325"/>
    </row>
    <row r="9" spans="1:13" ht="15.75" thickTop="1" x14ac:dyDescent="0.2">
      <c r="A9" s="449" t="s">
        <v>1634</v>
      </c>
      <c r="B9" s="450">
        <v>3998</v>
      </c>
      <c r="C9" s="1586">
        <v>8275132</v>
      </c>
      <c r="D9" s="1613"/>
      <c r="E9" s="1586"/>
      <c r="F9" s="1586"/>
      <c r="G9" s="1614"/>
      <c r="H9" s="1586"/>
      <c r="I9" s="1609" t="s">
        <v>1159</v>
      </c>
      <c r="J9" s="1583"/>
      <c r="K9" s="1586"/>
      <c r="L9" s="325"/>
    </row>
    <row r="10" spans="1:13" s="452" customFormat="1" ht="13.5" thickBot="1" x14ac:dyDescent="0.25">
      <c r="A10" s="1426" t="s">
        <v>1163</v>
      </c>
      <c r="B10" s="1407"/>
      <c r="C10" s="1594">
        <f>SUM(C8:C9)</f>
        <v>26223838</v>
      </c>
      <c r="D10" s="1594">
        <f t="shared" ref="D10:K10" si="1">SUM(D8:D9)</f>
        <v>2072281</v>
      </c>
      <c r="E10" s="1594">
        <f t="shared" si="1"/>
        <v>3832933</v>
      </c>
      <c r="F10" s="1594">
        <f t="shared" si="1"/>
        <v>1907567</v>
      </c>
      <c r="G10" s="1594">
        <f t="shared" si="1"/>
        <v>623076</v>
      </c>
      <c r="H10" s="1594">
        <f t="shared" si="1"/>
        <v>168841</v>
      </c>
      <c r="I10" s="1594">
        <f t="shared" si="1"/>
        <v>225746</v>
      </c>
      <c r="J10" s="1594">
        <f t="shared" si="1"/>
        <v>930475</v>
      </c>
      <c r="K10" s="1594">
        <f t="shared" si="1"/>
        <v>23257</v>
      </c>
      <c r="L10" s="451"/>
    </row>
    <row r="11" spans="1:13" s="452" customFormat="1" ht="16.7" customHeight="1" thickTop="1" x14ac:dyDescent="0.2">
      <c r="A11" s="2335" t="s">
        <v>1166</v>
      </c>
      <c r="B11" s="2336"/>
      <c r="C11" s="1602"/>
      <c r="D11" s="1603"/>
      <c r="E11" s="1603"/>
      <c r="F11" s="1603"/>
      <c r="G11" s="1603"/>
      <c r="H11" s="1603"/>
      <c r="I11" s="1603"/>
      <c r="J11" s="1603"/>
      <c r="K11" s="1615"/>
      <c r="L11" s="451"/>
    </row>
    <row r="12" spans="1:13" ht="15.75" customHeight="1" x14ac:dyDescent="0.2">
      <c r="A12" s="1314" t="s">
        <v>453</v>
      </c>
      <c r="B12" s="1316">
        <v>1000</v>
      </c>
      <c r="C12" s="1606">
        <f>'Expenditures 15-22'!K33</f>
        <v>10861875</v>
      </c>
      <c r="D12" s="1616" t="s">
        <v>1159</v>
      </c>
      <c r="E12" s="1575" t="s">
        <v>1159</v>
      </c>
      <c r="F12" s="1575" t="s">
        <v>1159</v>
      </c>
      <c r="G12" s="1606">
        <f>'Expenditures 15-22'!K229</f>
        <v>167091</v>
      </c>
      <c r="H12" s="1617"/>
      <c r="I12" s="1575" t="s">
        <v>1159</v>
      </c>
      <c r="J12" s="1575" t="s">
        <v>1159</v>
      </c>
      <c r="K12" s="1617" t="s">
        <v>1159</v>
      </c>
      <c r="L12" s="325"/>
    </row>
    <row r="13" spans="1:13" ht="15.75" customHeight="1" x14ac:dyDescent="0.2">
      <c r="A13" s="1314" t="s">
        <v>454</v>
      </c>
      <c r="B13" s="1316">
        <v>2000</v>
      </c>
      <c r="C13" s="1607">
        <f>'Expenditures 15-22'!K74</f>
        <v>5233393</v>
      </c>
      <c r="D13" s="1607">
        <f>'Expenditures 15-22'!K129</f>
        <v>2370348</v>
      </c>
      <c r="E13" s="1576" t="s">
        <v>1159</v>
      </c>
      <c r="F13" s="1607">
        <f>'Expenditures 15-22'!K184</f>
        <v>1982870</v>
      </c>
      <c r="G13" s="1607">
        <f>'Expenditures 15-22'!K279</f>
        <v>402385</v>
      </c>
      <c r="H13" s="1607">
        <f>'Expenditures 15-22'!K303</f>
        <v>653781</v>
      </c>
      <c r="I13" s="1575" t="s">
        <v>1159</v>
      </c>
      <c r="J13" s="1607">
        <f>'Expenditures 15-22'!K330</f>
        <v>935358</v>
      </c>
      <c r="K13" s="1618">
        <f>'Expenditures 15-22'!K352</f>
        <v>0</v>
      </c>
      <c r="L13" s="325"/>
    </row>
    <row r="14" spans="1:13" ht="15.75" customHeight="1" x14ac:dyDescent="0.2">
      <c r="A14" s="1314" t="s">
        <v>446</v>
      </c>
      <c r="B14" s="1316">
        <v>3000</v>
      </c>
      <c r="C14" s="1607">
        <f>'Expenditures 15-22'!K75</f>
        <v>151824</v>
      </c>
      <c r="D14" s="1607">
        <f>'Expenditures 15-22'!K130</f>
        <v>0</v>
      </c>
      <c r="E14" s="1616" t="s">
        <v>1159</v>
      </c>
      <c r="F14" s="1607">
        <f>'Expenditures 15-22'!K185</f>
        <v>0</v>
      </c>
      <c r="G14" s="1607">
        <f>'Expenditures 15-22'!K280</f>
        <v>14817</v>
      </c>
      <c r="H14" s="1612"/>
      <c r="I14" s="1575" t="s">
        <v>1159</v>
      </c>
      <c r="J14" s="1575" t="s">
        <v>1159</v>
      </c>
      <c r="K14" s="1612" t="s">
        <v>1159</v>
      </c>
      <c r="L14" s="325"/>
    </row>
    <row r="15" spans="1:13" ht="15.75" customHeight="1" x14ac:dyDescent="0.2">
      <c r="A15" s="1314" t="s">
        <v>107</v>
      </c>
      <c r="B15" s="1316">
        <v>4000</v>
      </c>
      <c r="C15" s="1607">
        <f>'Expenditures 15-22'!K102</f>
        <v>2093014</v>
      </c>
      <c r="D15" s="1607">
        <f>'Expenditures 15-22'!K139</f>
        <v>0</v>
      </c>
      <c r="E15" s="1607">
        <f>'Expenditures 15-22'!K160</f>
        <v>0</v>
      </c>
      <c r="F15" s="1607">
        <f>'Expenditures 15-22'!K196</f>
        <v>0</v>
      </c>
      <c r="G15" s="1607">
        <f>'Expenditures 15-22'!K285</f>
        <v>43436</v>
      </c>
      <c r="H15" s="1607">
        <f>'Expenditures 15-22'!K310</f>
        <v>0</v>
      </c>
      <c r="I15" s="1575" t="s">
        <v>1159</v>
      </c>
      <c r="J15" s="1619">
        <f>'Expenditures 15-22'!K334</f>
        <v>18297</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3607045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18340106</v>
      </c>
      <c r="D17" s="1594">
        <f t="shared" si="2"/>
        <v>2370348</v>
      </c>
      <c r="E17" s="1594">
        <f t="shared" si="2"/>
        <v>3607045</v>
      </c>
      <c r="F17" s="1594">
        <f t="shared" si="2"/>
        <v>1982870</v>
      </c>
      <c r="G17" s="1594">
        <f t="shared" si="2"/>
        <v>627729</v>
      </c>
      <c r="H17" s="1594">
        <f t="shared" si="2"/>
        <v>653781</v>
      </c>
      <c r="I17" s="1575"/>
      <c r="J17" s="1594">
        <f>SUM(J12:J16)</f>
        <v>953655</v>
      </c>
      <c r="K17" s="1594">
        <f>SUM(K12:K16)</f>
        <v>0</v>
      </c>
      <c r="L17" s="325"/>
    </row>
    <row r="18" spans="1:12" ht="15" customHeight="1" thickTop="1" x14ac:dyDescent="0.2">
      <c r="A18" s="1430" t="s">
        <v>1635</v>
      </c>
      <c r="B18" s="1431">
        <v>4180</v>
      </c>
      <c r="C18" s="1606">
        <f t="shared" ref="C18:H18" si="3">C9</f>
        <v>8275132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26615238</v>
      </c>
      <c r="D19" s="1594">
        <f t="shared" si="4"/>
        <v>2370348</v>
      </c>
      <c r="E19" s="1594">
        <f t="shared" si="4"/>
        <v>3607045</v>
      </c>
      <c r="F19" s="1594">
        <f t="shared" si="4"/>
        <v>1982870</v>
      </c>
      <c r="G19" s="1594">
        <f t="shared" si="4"/>
        <v>627729</v>
      </c>
      <c r="H19" s="1594">
        <f t="shared" si="4"/>
        <v>653781</v>
      </c>
      <c r="I19" s="1575"/>
      <c r="J19" s="1594">
        <f>SUM(J17:J18)</f>
        <v>953655</v>
      </c>
      <c r="K19" s="1594">
        <f>SUM(K17:K18)</f>
        <v>0</v>
      </c>
      <c r="L19" s="325"/>
    </row>
    <row r="20" spans="1:12" ht="16.5" thickTop="1" thickBot="1" x14ac:dyDescent="0.25">
      <c r="A20" s="2351" t="s">
        <v>1636</v>
      </c>
      <c r="B20" s="2352"/>
      <c r="C20" s="1622">
        <f>C8-C17</f>
        <v>-391400</v>
      </c>
      <c r="D20" s="1622">
        <f t="shared" ref="D20:K20" si="5">D8-D17</f>
        <v>-298067</v>
      </c>
      <c r="E20" s="1622">
        <f t="shared" si="5"/>
        <v>225888</v>
      </c>
      <c r="F20" s="1622">
        <f t="shared" si="5"/>
        <v>-75303</v>
      </c>
      <c r="G20" s="1622">
        <f t="shared" si="5"/>
        <v>-4653</v>
      </c>
      <c r="H20" s="1622">
        <f t="shared" si="5"/>
        <v>-484940</v>
      </c>
      <c r="I20" s="1622">
        <f t="shared" si="5"/>
        <v>225746</v>
      </c>
      <c r="J20" s="1622">
        <f t="shared" si="5"/>
        <v>-23180</v>
      </c>
      <c r="K20" s="1622">
        <f t="shared" si="5"/>
        <v>23257</v>
      </c>
      <c r="L20" s="325"/>
    </row>
    <row r="21" spans="1:12" ht="16.7" customHeight="1" thickTop="1" x14ac:dyDescent="0.2">
      <c r="A21" s="2363" t="s">
        <v>591</v>
      </c>
      <c r="B21" s="2364"/>
      <c r="C21" s="1602"/>
      <c r="D21" s="1603"/>
      <c r="E21" s="1603"/>
      <c r="F21" s="1603"/>
      <c r="G21" s="1603"/>
      <c r="H21" s="1603"/>
      <c r="I21" s="1603"/>
      <c r="J21" s="1603"/>
      <c r="K21" s="1615"/>
      <c r="L21" s="453"/>
    </row>
    <row r="22" spans="1:12" ht="15.75" customHeight="1" collapsed="1" x14ac:dyDescent="0.2">
      <c r="A22" s="2359" t="s">
        <v>592</v>
      </c>
      <c r="B22" s="2360"/>
      <c r="C22" s="1582"/>
      <c r="D22" s="1582"/>
      <c r="E22" s="1582"/>
      <c r="F22" s="1582"/>
      <c r="G22" s="1582"/>
      <c r="H22" s="1582"/>
      <c r="I22" s="1582"/>
      <c r="J22" s="1582"/>
      <c r="K22" s="1582"/>
      <c r="L22" s="325"/>
    </row>
    <row r="23" spans="1:12" s="433" customFormat="1" ht="15.75" customHeight="1" x14ac:dyDescent="0.2">
      <c r="A23" s="2355" t="s">
        <v>290</v>
      </c>
      <c r="B23" s="235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500000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357" t="s">
        <v>974</v>
      </c>
      <c r="B32" s="235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37140</v>
      </c>
      <c r="F37" s="1580"/>
      <c r="G37" s="1580"/>
      <c r="H37" s="1580"/>
      <c r="I37" s="1582"/>
      <c r="J37" s="1580"/>
      <c r="K37" s="1580"/>
      <c r="L37" s="453"/>
    </row>
    <row r="38" spans="1:12" s="433" customFormat="1" x14ac:dyDescent="0.2">
      <c r="A38" s="1260" t="s">
        <v>439</v>
      </c>
      <c r="B38" s="454">
        <v>7500</v>
      </c>
      <c r="C38" s="1582"/>
      <c r="D38" s="1582"/>
      <c r="E38" s="1607">
        <f>SUM(C58:D61,H58:H61)</f>
        <v>250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900848</v>
      </c>
      <c r="E43" s="1574">
        <v>266342</v>
      </c>
      <c r="F43" s="1574">
        <v>0</v>
      </c>
      <c r="G43" s="1574">
        <v>0</v>
      </c>
      <c r="H43" s="1574">
        <v>0</v>
      </c>
      <c r="I43" s="1574">
        <v>0</v>
      </c>
      <c r="J43" s="1574">
        <v>0</v>
      </c>
      <c r="K43" s="1574">
        <v>0</v>
      </c>
      <c r="L43" s="453"/>
    </row>
    <row r="44" spans="1:12" s="433" customFormat="1" ht="13.5" customHeight="1" thickBot="1" x14ac:dyDescent="0.25">
      <c r="A44" s="2365" t="s">
        <v>371</v>
      </c>
      <c r="B44" s="2366"/>
      <c r="C44" s="1624">
        <f>SUM(C24:C43)</f>
        <v>500000</v>
      </c>
      <c r="D44" s="1624">
        <f t="shared" ref="D44:K44" si="6">SUM(D24:D43)</f>
        <v>900848</v>
      </c>
      <c r="E44" s="1624">
        <f t="shared" si="6"/>
        <v>303732</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59" t="s">
        <v>108</v>
      </c>
      <c r="B45" s="2360"/>
      <c r="C45" s="1625"/>
      <c r="D45" s="1625"/>
      <c r="E45" s="1625"/>
      <c r="F45" s="1625"/>
      <c r="G45" s="1625"/>
      <c r="H45" s="1625"/>
      <c r="I45" s="1625"/>
      <c r="J45" s="1625"/>
      <c r="K45" s="1625"/>
      <c r="L45" s="325"/>
    </row>
    <row r="46" spans="1:12" s="433" customFormat="1" ht="15.75" customHeight="1" x14ac:dyDescent="0.2">
      <c r="A46" s="2367" t="s">
        <v>109</v>
      </c>
      <c r="B46" s="236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24959</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12181</v>
      </c>
      <c r="E57" s="1582"/>
      <c r="F57" s="1582"/>
      <c r="G57" s="1582"/>
      <c r="H57" s="1626">
        <v>0</v>
      </c>
      <c r="I57" s="1582"/>
      <c r="J57" s="1582"/>
      <c r="K57" s="1582"/>
      <c r="L57" s="453"/>
    </row>
    <row r="58" spans="1:12" s="433" customFormat="1" ht="14.25" thickTop="1" thickBot="1" x14ac:dyDescent="0.25">
      <c r="A58" s="1261" t="s">
        <v>575</v>
      </c>
      <c r="B58" s="432">
        <v>8510</v>
      </c>
      <c r="C58" s="1627">
        <v>250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266342</v>
      </c>
      <c r="I75" s="1626">
        <v>0</v>
      </c>
      <c r="J75" s="1626">
        <v>0</v>
      </c>
      <c r="K75" s="1628">
        <v>0</v>
      </c>
      <c r="L75" s="453"/>
    </row>
    <row r="76" spans="1:12" s="433" customFormat="1" ht="14.25" thickTop="1" thickBot="1" x14ac:dyDescent="0.25">
      <c r="A76" s="2341" t="s">
        <v>437</v>
      </c>
      <c r="B76" s="2342"/>
      <c r="C76" s="1624">
        <f t="shared" ref="C76:K76" si="7">SUM(C47:C75)</f>
        <v>25209</v>
      </c>
      <c r="D76" s="1624">
        <f t="shared" si="7"/>
        <v>12181</v>
      </c>
      <c r="E76" s="1624">
        <f t="shared" si="7"/>
        <v>0</v>
      </c>
      <c r="F76" s="1624">
        <f t="shared" si="7"/>
        <v>0</v>
      </c>
      <c r="G76" s="1624">
        <f t="shared" si="7"/>
        <v>0</v>
      </c>
      <c r="H76" s="1624">
        <f t="shared" si="7"/>
        <v>266342</v>
      </c>
      <c r="I76" s="1624">
        <f t="shared" si="7"/>
        <v>500000</v>
      </c>
      <c r="J76" s="1624">
        <f t="shared" si="7"/>
        <v>0</v>
      </c>
      <c r="K76" s="1624">
        <f t="shared" si="7"/>
        <v>0</v>
      </c>
      <c r="L76" s="453"/>
    </row>
    <row r="77" spans="1:12" ht="14.25" thickTop="1" thickBot="1" x14ac:dyDescent="0.25">
      <c r="A77" s="2343" t="s">
        <v>1167</v>
      </c>
      <c r="B77" s="2344"/>
      <c r="C77" s="1624">
        <f t="shared" ref="C77:K77" si="8">C44-C76</f>
        <v>474791</v>
      </c>
      <c r="D77" s="1624">
        <f t="shared" si="8"/>
        <v>888667</v>
      </c>
      <c r="E77" s="1624">
        <f t="shared" si="8"/>
        <v>303732</v>
      </c>
      <c r="F77" s="1624">
        <f t="shared" si="8"/>
        <v>0</v>
      </c>
      <c r="G77" s="1624">
        <f t="shared" si="8"/>
        <v>0</v>
      </c>
      <c r="H77" s="1624">
        <f t="shared" si="8"/>
        <v>-266342</v>
      </c>
      <c r="I77" s="1624">
        <f t="shared" si="8"/>
        <v>-500000</v>
      </c>
      <c r="J77" s="1624">
        <f t="shared" si="8"/>
        <v>0</v>
      </c>
      <c r="K77" s="1624">
        <f t="shared" si="8"/>
        <v>0</v>
      </c>
      <c r="L77" s="325"/>
    </row>
    <row r="78" spans="1:12" ht="21.75" customHeight="1" thickTop="1" thickBot="1" x14ac:dyDescent="0.25">
      <c r="A78" s="2347" t="s">
        <v>593</v>
      </c>
      <c r="B78" s="2348"/>
      <c r="C78" s="1629">
        <f t="shared" ref="C78:K78" si="9">C20+C77</f>
        <v>83391</v>
      </c>
      <c r="D78" s="1629">
        <f t="shared" si="9"/>
        <v>590600</v>
      </c>
      <c r="E78" s="1629">
        <f t="shared" si="9"/>
        <v>529620</v>
      </c>
      <c r="F78" s="1629">
        <f t="shared" si="9"/>
        <v>-75303</v>
      </c>
      <c r="G78" s="1629">
        <f t="shared" si="9"/>
        <v>-4653</v>
      </c>
      <c r="H78" s="1629">
        <f t="shared" si="9"/>
        <v>-751282</v>
      </c>
      <c r="I78" s="1629">
        <f t="shared" si="9"/>
        <v>-274254</v>
      </c>
      <c r="J78" s="1629">
        <f t="shared" si="9"/>
        <v>-23180</v>
      </c>
      <c r="K78" s="1629">
        <f t="shared" si="9"/>
        <v>23257</v>
      </c>
      <c r="L78" s="457"/>
    </row>
    <row r="79" spans="1:12" ht="13.5" thickTop="1" x14ac:dyDescent="0.2">
      <c r="A79" s="1844" t="str">
        <f>"Fund Balances - July 1, "&amp;'AFR20'!E2-1</f>
        <v>Fund Balances - July 1, 2019</v>
      </c>
      <c r="B79" s="458"/>
      <c r="C79" s="1583">
        <v>6114147</v>
      </c>
      <c r="D79" s="1583">
        <v>2487059</v>
      </c>
      <c r="E79" s="1630">
        <v>1708175</v>
      </c>
      <c r="F79" s="1630">
        <v>1400245</v>
      </c>
      <c r="G79" s="1630">
        <v>951065</v>
      </c>
      <c r="H79" s="1630">
        <v>1456412</v>
      </c>
      <c r="I79" s="1630">
        <v>4845027</v>
      </c>
      <c r="J79" s="1630">
        <v>778538</v>
      </c>
      <c r="K79" s="1630">
        <v>2408</v>
      </c>
      <c r="L79" s="325"/>
    </row>
    <row r="80" spans="1:12" x14ac:dyDescent="0.2">
      <c r="A80" s="2353" t="s">
        <v>1772</v>
      </c>
      <c r="B80" s="2354"/>
      <c r="C80" s="1574">
        <v>0</v>
      </c>
      <c r="D80" s="1574">
        <v>0</v>
      </c>
      <c r="E80" s="1574">
        <v>0</v>
      </c>
      <c r="F80" s="1574">
        <v>0</v>
      </c>
      <c r="G80" s="1574">
        <v>0</v>
      </c>
      <c r="H80" s="1574">
        <v>0</v>
      </c>
      <c r="I80" s="1574">
        <v>0</v>
      </c>
      <c r="J80" s="1574">
        <v>0</v>
      </c>
      <c r="K80" s="1574">
        <v>0</v>
      </c>
      <c r="L80" s="325"/>
    </row>
    <row r="81" spans="1:12" ht="13.5" thickBot="1" x14ac:dyDescent="0.25">
      <c r="A81" s="2345" t="str">
        <f>"Fund Balances - June 30, "&amp;'AFR20'!E2</f>
        <v>Fund Balances - June 30, 2020</v>
      </c>
      <c r="B81" s="2346"/>
      <c r="C81" s="1594">
        <f>(SUM(C78:C80))</f>
        <v>6197538</v>
      </c>
      <c r="D81" s="1594">
        <f>SUM(D78:D80)</f>
        <v>3077659</v>
      </c>
      <c r="E81" s="1594">
        <f t="shared" ref="E81:K81" si="10">SUM(E78:E80)</f>
        <v>2237795</v>
      </c>
      <c r="F81" s="1594">
        <f t="shared" si="10"/>
        <v>1324942</v>
      </c>
      <c r="G81" s="1594">
        <f t="shared" si="10"/>
        <v>946412</v>
      </c>
      <c r="H81" s="1594">
        <f t="shared" si="10"/>
        <v>705130</v>
      </c>
      <c r="I81" s="1594">
        <f t="shared" si="10"/>
        <v>4570773</v>
      </c>
      <c r="J81" s="1594">
        <f t="shared" si="10"/>
        <v>755358</v>
      </c>
      <c r="K81" s="1594">
        <f t="shared" si="10"/>
        <v>25665</v>
      </c>
      <c r="L81" s="325"/>
    </row>
    <row r="82" spans="1:12" ht="0.75" customHeight="1" thickTop="1" thickBot="1" x14ac:dyDescent="0.25">
      <c r="A82" s="459" t="s">
        <v>340</v>
      </c>
      <c r="B82" s="460"/>
      <c r="C82" s="461">
        <f>(C81-C79)</f>
        <v>83391</v>
      </c>
      <c r="D82" s="461">
        <f t="shared" ref="D82:K82" si="11">(D81-D79)</f>
        <v>590600</v>
      </c>
      <c r="E82" s="461">
        <f t="shared" si="11"/>
        <v>529620</v>
      </c>
      <c r="F82" s="461">
        <f t="shared" si="11"/>
        <v>-75303</v>
      </c>
      <c r="G82" s="461">
        <f t="shared" si="11"/>
        <v>-4653</v>
      </c>
      <c r="H82" s="461">
        <f t="shared" si="11"/>
        <v>-751282</v>
      </c>
      <c r="I82" s="461">
        <f t="shared" si="11"/>
        <v>-274254</v>
      </c>
      <c r="J82" s="461">
        <f t="shared" si="11"/>
        <v>-23180</v>
      </c>
      <c r="K82" s="461">
        <f t="shared" si="11"/>
        <v>23257</v>
      </c>
    </row>
    <row r="83" spans="1:12" ht="14.25" hidden="1" thickTop="1" thickBot="1" x14ac:dyDescent="0.25">
      <c r="A83" s="462" t="s">
        <v>341</v>
      </c>
      <c r="B83" s="428"/>
      <c r="C83" s="463">
        <f>C82/C81</f>
        <v>1.3455504427725978E-2</v>
      </c>
      <c r="D83" s="463">
        <f t="shared" ref="D83:K83" si="12">D82/D81</f>
        <v>0.19189910253215187</v>
      </c>
      <c r="E83" s="463">
        <f t="shared" si="12"/>
        <v>0.23667047249636361</v>
      </c>
      <c r="F83" s="463">
        <f t="shared" si="12"/>
        <v>-5.6834940699290987E-2</v>
      </c>
      <c r="G83" s="463">
        <f t="shared" si="12"/>
        <v>-4.9164634429825485E-3</v>
      </c>
      <c r="H83" s="463">
        <f t="shared" si="12"/>
        <v>-1.0654517606682457</v>
      </c>
      <c r="I83" s="463">
        <f t="shared" si="12"/>
        <v>-6.0001667114074578E-2</v>
      </c>
      <c r="J83" s="463">
        <f t="shared" si="12"/>
        <v>-3.0687435626550588E-2</v>
      </c>
      <c r="K83" s="463">
        <f t="shared" si="12"/>
        <v>0.90617572569647376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M23" sqref="M23"/>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49" t="s">
        <v>1779</v>
      </c>
      <c r="B1" s="416"/>
      <c r="C1" s="417" t="s">
        <v>422</v>
      </c>
      <c r="D1" s="417" t="s">
        <v>423</v>
      </c>
      <c r="E1" s="417" t="s">
        <v>424</v>
      </c>
      <c r="F1" s="417" t="s">
        <v>425</v>
      </c>
      <c r="G1" s="417" t="s">
        <v>426</v>
      </c>
      <c r="H1" s="417" t="s">
        <v>427</v>
      </c>
      <c r="I1" s="417" t="s">
        <v>428</v>
      </c>
      <c r="J1" s="417" t="s">
        <v>429</v>
      </c>
      <c r="K1" s="417" t="s">
        <v>751</v>
      </c>
    </row>
    <row r="2" spans="1:12" ht="36" x14ac:dyDescent="0.2">
      <c r="A2" s="235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9081202</v>
      </c>
      <c r="D5" s="1586">
        <v>1932171</v>
      </c>
      <c r="E5" s="1573">
        <v>2858528</v>
      </c>
      <c r="F5" s="1631">
        <v>772869</v>
      </c>
      <c r="G5" s="1573">
        <v>291951</v>
      </c>
      <c r="H5" s="1573">
        <v>0</v>
      </c>
      <c r="I5" s="1573">
        <v>193217</v>
      </c>
      <c r="J5" s="1574">
        <v>924360</v>
      </c>
      <c r="K5" s="1573">
        <v>23136</v>
      </c>
    </row>
    <row r="6" spans="1:12" ht="15" x14ac:dyDescent="0.2">
      <c r="A6" s="427" t="s">
        <v>1643</v>
      </c>
      <c r="B6" s="429">
        <v>1130</v>
      </c>
      <c r="C6" s="1573">
        <v>16437</v>
      </c>
      <c r="D6" s="1573">
        <v>0</v>
      </c>
      <c r="E6" s="1580"/>
      <c r="F6" s="1580"/>
      <c r="G6" s="1575"/>
      <c r="H6" s="1575"/>
      <c r="I6" s="1575"/>
      <c r="J6" s="1575"/>
      <c r="K6" s="1575"/>
    </row>
    <row r="7" spans="1:12" x14ac:dyDescent="0.2">
      <c r="A7" s="427" t="s">
        <v>110</v>
      </c>
      <c r="B7" s="471">
        <v>1140</v>
      </c>
      <c r="C7" s="1573">
        <v>154573</v>
      </c>
      <c r="D7" s="1573">
        <v>0</v>
      </c>
      <c r="E7" s="1575"/>
      <c r="F7" s="1574">
        <v>0</v>
      </c>
      <c r="G7" s="1574">
        <v>0</v>
      </c>
      <c r="H7" s="1574">
        <v>0</v>
      </c>
      <c r="I7" s="1575"/>
      <c r="J7" s="1575"/>
      <c r="K7" s="1575"/>
    </row>
    <row r="8" spans="1:12" x14ac:dyDescent="0.2">
      <c r="A8" s="427" t="s">
        <v>410</v>
      </c>
      <c r="B8" s="429">
        <v>1150</v>
      </c>
      <c r="C8" s="1580"/>
      <c r="D8" s="1580"/>
      <c r="E8" s="1582"/>
      <c r="F8" s="1582"/>
      <c r="G8" s="1586">
        <v>291951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9252212</v>
      </c>
      <c r="D12" s="1633">
        <f t="shared" si="0"/>
        <v>1932171</v>
      </c>
      <c r="E12" s="1633">
        <f t="shared" si="0"/>
        <v>2858528</v>
      </c>
      <c r="F12" s="1633">
        <f t="shared" si="0"/>
        <v>772869</v>
      </c>
      <c r="G12" s="1633">
        <f t="shared" si="0"/>
        <v>583902</v>
      </c>
      <c r="H12" s="1633">
        <f t="shared" si="0"/>
        <v>0</v>
      </c>
      <c r="I12" s="1633">
        <f t="shared" si="0"/>
        <v>193217</v>
      </c>
      <c r="J12" s="1633">
        <f t="shared" si="0"/>
        <v>924360</v>
      </c>
      <c r="K12" s="1594">
        <f t="shared" si="0"/>
        <v>23136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1642</v>
      </c>
      <c r="D15" s="1573">
        <v>343</v>
      </c>
      <c r="E15" s="1573">
        <v>521</v>
      </c>
      <c r="F15" s="1573">
        <v>137</v>
      </c>
      <c r="G15" s="1573">
        <v>101</v>
      </c>
      <c r="H15" s="1573">
        <v>0</v>
      </c>
      <c r="I15" s="1573">
        <v>34</v>
      </c>
      <c r="J15" s="1574">
        <v>161</v>
      </c>
      <c r="K15" s="1573">
        <v>0</v>
      </c>
    </row>
    <row r="16" spans="1:12" ht="15" customHeight="1" x14ac:dyDescent="0.2">
      <c r="A16" s="427" t="s">
        <v>1644</v>
      </c>
      <c r="B16" s="471">
        <v>1230</v>
      </c>
      <c r="C16" s="1632">
        <v>477884</v>
      </c>
      <c r="D16" s="1573">
        <v>0</v>
      </c>
      <c r="E16" s="1573">
        <v>0</v>
      </c>
      <c r="F16" s="1573">
        <v>0</v>
      </c>
      <c r="G16" s="1573">
        <v>33497</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479526</v>
      </c>
      <c r="D18" s="1635">
        <f t="shared" ref="D18:K18" si="1">SUM(D14:D17)</f>
        <v>343</v>
      </c>
      <c r="E18" s="1635">
        <f t="shared" si="1"/>
        <v>521</v>
      </c>
      <c r="F18" s="1635">
        <f t="shared" si="1"/>
        <v>137</v>
      </c>
      <c r="G18" s="1635">
        <f t="shared" si="1"/>
        <v>33598</v>
      </c>
      <c r="H18" s="1635">
        <f t="shared" si="1"/>
        <v>0</v>
      </c>
      <c r="I18" s="1635">
        <f t="shared" si="1"/>
        <v>34</v>
      </c>
      <c r="J18" s="1635">
        <f t="shared" si="1"/>
        <v>161</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2384</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2384</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33459</v>
      </c>
      <c r="D65" s="1573">
        <v>15138</v>
      </c>
      <c r="E65" s="1573">
        <v>11725</v>
      </c>
      <c r="F65" s="1574">
        <v>9325</v>
      </c>
      <c r="G65" s="1573">
        <v>5576</v>
      </c>
      <c r="H65" s="1573">
        <v>7499</v>
      </c>
      <c r="I65" s="1573">
        <v>32495</v>
      </c>
      <c r="J65" s="1574">
        <v>5954</v>
      </c>
      <c r="K65" s="1573">
        <v>121</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33459</v>
      </c>
      <c r="D67" s="1594">
        <f t="shared" ref="D67:K67" si="2">SUM(D65:D66)</f>
        <v>15138</v>
      </c>
      <c r="E67" s="1594">
        <f t="shared" si="2"/>
        <v>11725</v>
      </c>
      <c r="F67" s="1594">
        <f t="shared" si="2"/>
        <v>9325</v>
      </c>
      <c r="G67" s="1594">
        <f t="shared" si="2"/>
        <v>5576</v>
      </c>
      <c r="H67" s="1594">
        <f t="shared" si="2"/>
        <v>7499</v>
      </c>
      <c r="I67" s="1594">
        <f t="shared" si="2"/>
        <v>32495</v>
      </c>
      <c r="J67" s="1594">
        <f t="shared" si="2"/>
        <v>5954</v>
      </c>
      <c r="K67" s="1594">
        <f t="shared" si="2"/>
        <v>121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673828</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41154</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4991</v>
      </c>
      <c r="D74" s="1575"/>
      <c r="E74" s="1575"/>
      <c r="F74" s="1575"/>
      <c r="G74" s="1575"/>
      <c r="H74" s="1575"/>
      <c r="I74" s="1575"/>
      <c r="J74" s="1575"/>
      <c r="K74" s="1575"/>
    </row>
    <row r="75" spans="1:11" ht="12.75" customHeight="1" thickBot="1" x14ac:dyDescent="0.25">
      <c r="A75" s="1406" t="s">
        <v>544</v>
      </c>
      <c r="B75" s="1407"/>
      <c r="C75" s="1594">
        <f>SUM(C69:C74)</f>
        <v>719973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86979</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43711</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122920</v>
      </c>
      <c r="D81" s="1573">
        <v>0</v>
      </c>
      <c r="E81" s="1575"/>
      <c r="F81" s="1575"/>
      <c r="G81" s="1575"/>
      <c r="H81" s="1575"/>
      <c r="I81" s="1575"/>
      <c r="J81" s="1575"/>
      <c r="K81" s="1575"/>
    </row>
    <row r="82" spans="1:11" ht="12.75" customHeight="1" thickBot="1" x14ac:dyDescent="0.25">
      <c r="A82" s="1406" t="s">
        <v>239</v>
      </c>
      <c r="B82" s="1407"/>
      <c r="C82" s="1633">
        <f>SUM(C77:C81)</f>
        <v>253610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261260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261260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47700</v>
      </c>
      <c r="E95" s="1617"/>
      <c r="F95" s="1617"/>
      <c r="G95" s="1617"/>
      <c r="H95" s="1617"/>
      <c r="I95" s="1617"/>
      <c r="J95" s="1617"/>
      <c r="K95" s="1617"/>
    </row>
    <row r="96" spans="1:11" ht="12.75" customHeight="1" x14ac:dyDescent="0.2">
      <c r="A96" s="427" t="s">
        <v>388</v>
      </c>
      <c r="B96" s="429">
        <v>1920</v>
      </c>
      <c r="C96" s="1632">
        <v>59072</v>
      </c>
      <c r="D96" s="1632">
        <v>0</v>
      </c>
      <c r="E96" s="1584">
        <v>0</v>
      </c>
      <c r="F96" s="1583">
        <v>0</v>
      </c>
      <c r="G96" s="1583">
        <v>0</v>
      </c>
      <c r="H96" s="1583">
        <v>120000</v>
      </c>
      <c r="I96" s="1583">
        <v>0</v>
      </c>
      <c r="J96" s="1583">
        <v>0</v>
      </c>
      <c r="K96" s="1583">
        <v>0</v>
      </c>
    </row>
    <row r="97" spans="1:12" ht="12.75" customHeight="1" x14ac:dyDescent="0.2">
      <c r="A97" s="1265" t="s">
        <v>242</v>
      </c>
      <c r="B97" s="477">
        <v>1930</v>
      </c>
      <c r="C97" s="1598">
        <v>0</v>
      </c>
      <c r="D97" s="1574">
        <v>720</v>
      </c>
      <c r="E97" s="1579">
        <v>0</v>
      </c>
      <c r="F97" s="1574">
        <v>0</v>
      </c>
      <c r="G97" s="1574">
        <v>0</v>
      </c>
      <c r="H97" s="1574">
        <v>0</v>
      </c>
      <c r="I97" s="1574">
        <v>0</v>
      </c>
      <c r="J97" s="1574">
        <v>0</v>
      </c>
      <c r="K97" s="1574">
        <v>0</v>
      </c>
    </row>
    <row r="98" spans="1:12" ht="12.75" customHeight="1" x14ac:dyDescent="0.2">
      <c r="A98" s="427" t="s">
        <v>188</v>
      </c>
      <c r="B98" s="429">
        <v>1940</v>
      </c>
      <c r="C98" s="1598">
        <v>129522</v>
      </c>
      <c r="D98" s="1573">
        <v>0</v>
      </c>
      <c r="E98" s="1612"/>
      <c r="F98" s="1573">
        <v>0</v>
      </c>
      <c r="G98" s="1612"/>
      <c r="H98" s="1612"/>
      <c r="I98" s="1610"/>
      <c r="J98" s="1612"/>
      <c r="K98" s="1612"/>
    </row>
    <row r="99" spans="1:12" ht="12.75" customHeight="1" x14ac:dyDescent="0.2">
      <c r="A99" s="427" t="s">
        <v>816</v>
      </c>
      <c r="B99" s="429">
        <v>1950</v>
      </c>
      <c r="C99" s="1598">
        <v>17016</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24402</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962159</v>
      </c>
      <c r="F103" s="1575"/>
      <c r="G103" s="1575"/>
      <c r="H103" s="1598">
        <v>41342</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27588</v>
      </c>
      <c r="D107" s="1573">
        <v>26209</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257600</v>
      </c>
      <c r="D108" s="1633">
        <f t="shared" ref="D108:K108" si="3">SUM(D95:D107)</f>
        <v>74629</v>
      </c>
      <c r="E108" s="1633">
        <f t="shared" si="3"/>
        <v>962159</v>
      </c>
      <c r="F108" s="1633">
        <f t="shared" si="3"/>
        <v>0</v>
      </c>
      <c r="G108" s="1633">
        <f t="shared" si="3"/>
        <v>0</v>
      </c>
      <c r="H108" s="1633">
        <f t="shared" si="3"/>
        <v>161342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11257640</v>
      </c>
      <c r="D109" s="1641">
        <f t="shared" si="4"/>
        <v>2022281</v>
      </c>
      <c r="E109" s="1641">
        <f t="shared" si="4"/>
        <v>3832933</v>
      </c>
      <c r="F109" s="1641">
        <f t="shared" si="4"/>
        <v>784715</v>
      </c>
      <c r="G109" s="1641">
        <f t="shared" si="4"/>
        <v>623076</v>
      </c>
      <c r="H109" s="1641">
        <f t="shared" si="4"/>
        <v>168841</v>
      </c>
      <c r="I109" s="1641">
        <f t="shared" si="4"/>
        <v>225746</v>
      </c>
      <c r="J109" s="1641">
        <f t="shared" si="4"/>
        <v>930475</v>
      </c>
      <c r="K109" s="1629">
        <f t="shared" si="4"/>
        <v>23257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5205932</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5205932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26615</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26615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49019</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6597</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55616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3808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26793</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961357</v>
      </c>
      <c r="G152" s="1574">
        <v>0</v>
      </c>
      <c r="H152" s="1575"/>
      <c r="I152" s="1575"/>
      <c r="J152" s="1575"/>
      <c r="K152" s="1575"/>
    </row>
    <row r="153" spans="1:11" ht="12.75" customHeight="1" x14ac:dyDescent="0.2">
      <c r="A153" s="427" t="s">
        <v>1048</v>
      </c>
      <c r="B153" s="478">
        <v>3510</v>
      </c>
      <c r="C153" s="1632">
        <v>0</v>
      </c>
      <c r="D153" s="1573">
        <v>0</v>
      </c>
      <c r="E153" s="1640"/>
      <c r="F153" s="1573">
        <v>161495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1122852</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369" t="s">
        <v>395</v>
      </c>
      <c r="B169" s="2370"/>
      <c r="C169" s="1658">
        <f t="shared" ref="C169:K169" si="6">SUM(C132,C141,C145,C146:C150,C155,C156:C167,C168)</f>
        <v>112832</v>
      </c>
      <c r="D169" s="1658">
        <f t="shared" si="6"/>
        <v>50000</v>
      </c>
      <c r="E169" s="1658">
        <f t="shared" si="6"/>
        <v>0</v>
      </c>
      <c r="F169" s="1658">
        <f t="shared" si="6"/>
        <v>1122852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5318764</v>
      </c>
      <c r="D170" s="1641">
        <f t="shared" si="7"/>
        <v>50000</v>
      </c>
      <c r="E170" s="1641">
        <f t="shared" si="7"/>
        <v>0</v>
      </c>
      <c r="F170" s="1641">
        <f t="shared" si="7"/>
        <v>1122852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71" t="s">
        <v>1475</v>
      </c>
      <c r="B172" s="237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75" t="s">
        <v>1646</v>
      </c>
      <c r="B175" s="237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79" t="s">
        <v>1645</v>
      </c>
      <c r="B176" s="238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77" t="s">
        <v>780</v>
      </c>
      <c r="B181" s="237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73" t="s">
        <v>1780</v>
      </c>
      <c r="B182" s="237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250068</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54527</v>
      </c>
      <c r="D193" s="1575"/>
      <c r="E193" s="1640"/>
      <c r="F193" s="1575"/>
      <c r="G193" s="1664">
        <v>0</v>
      </c>
      <c r="H193" s="1575"/>
      <c r="I193" s="1575"/>
      <c r="J193" s="1575"/>
      <c r="K193" s="1575"/>
    </row>
    <row r="194" spans="1:11" ht="12.75" customHeight="1" x14ac:dyDescent="0.2">
      <c r="A194" s="427" t="s">
        <v>1434</v>
      </c>
      <c r="B194" s="429">
        <v>4225</v>
      </c>
      <c r="C194" s="1632">
        <v>152117</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456712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251549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251549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11700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11700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14219</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553412</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567631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44970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12932</v>
      </c>
      <c r="D263" s="1651">
        <v>0</v>
      </c>
      <c r="E263" s="1575"/>
      <c r="F263" s="1651">
        <v>0</v>
      </c>
      <c r="G263" s="1651">
        <v>0</v>
      </c>
      <c r="H263" s="1575"/>
      <c r="I263" s="1575"/>
      <c r="J263" s="1575"/>
      <c r="K263" s="1575"/>
    </row>
    <row r="264" spans="1:11" ht="12.75" customHeight="1" thickTop="1" thickBot="1" x14ac:dyDescent="0.25">
      <c r="A264" s="427" t="s">
        <v>374</v>
      </c>
      <c r="B264" s="429">
        <v>4992</v>
      </c>
      <c r="C264" s="1650">
        <v>26808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1372302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1372302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17948706</v>
      </c>
      <c r="D268" s="1641">
        <f t="shared" si="12"/>
        <v>2072281</v>
      </c>
      <c r="E268" s="1641">
        <f t="shared" si="12"/>
        <v>3832933</v>
      </c>
      <c r="F268" s="1641">
        <f t="shared" si="12"/>
        <v>1907567</v>
      </c>
      <c r="G268" s="1641">
        <f t="shared" si="12"/>
        <v>623076</v>
      </c>
      <c r="H268" s="1641">
        <f t="shared" si="12"/>
        <v>168841</v>
      </c>
      <c r="I268" s="1641">
        <f t="shared" si="12"/>
        <v>225746</v>
      </c>
      <c r="J268" s="1641">
        <f t="shared" si="12"/>
        <v>930475</v>
      </c>
      <c r="K268" s="1629">
        <f t="shared" si="12"/>
        <v>23257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M23" sqref="M2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4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8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89" t="s">
        <v>294</v>
      </c>
      <c r="B3" s="239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7113488</v>
      </c>
      <c r="D5" s="1573">
        <v>1115692</v>
      </c>
      <c r="E5" s="1573">
        <v>43590</v>
      </c>
      <c r="F5" s="1573">
        <v>267048</v>
      </c>
      <c r="G5" s="1573">
        <v>0</v>
      </c>
      <c r="H5" s="1573">
        <v>0</v>
      </c>
      <c r="I5" s="1574">
        <v>0</v>
      </c>
      <c r="J5" s="1574">
        <v>0</v>
      </c>
      <c r="K5" s="1672">
        <f>SUM(C5:J5)</f>
        <v>8539818</v>
      </c>
      <c r="L5" s="1573">
        <v>8669292</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75847</v>
      </c>
      <c r="D7" s="1574">
        <v>6253</v>
      </c>
      <c r="E7" s="1574">
        <v>0</v>
      </c>
      <c r="F7" s="1574">
        <v>280</v>
      </c>
      <c r="G7" s="1574">
        <v>0</v>
      </c>
      <c r="H7" s="1574">
        <v>0</v>
      </c>
      <c r="I7" s="1574">
        <v>0</v>
      </c>
      <c r="J7" s="1574">
        <v>0</v>
      </c>
      <c r="K7" s="1672">
        <f t="shared" ref="K7:K32" si="0">SUM(C7:J7)</f>
        <v>82380</v>
      </c>
      <c r="L7" s="1573">
        <v>77662</v>
      </c>
    </row>
    <row r="8" spans="1:14" x14ac:dyDescent="0.2">
      <c r="A8" s="1274" t="s">
        <v>163</v>
      </c>
      <c r="B8" s="503">
        <v>1200</v>
      </c>
      <c r="C8" s="1573">
        <v>681135</v>
      </c>
      <c r="D8" s="1573">
        <v>143416</v>
      </c>
      <c r="E8" s="1573">
        <v>10974</v>
      </c>
      <c r="F8" s="1573">
        <v>30786</v>
      </c>
      <c r="G8" s="1573">
        <v>0</v>
      </c>
      <c r="H8" s="1573">
        <v>2647</v>
      </c>
      <c r="I8" s="1574">
        <v>0</v>
      </c>
      <c r="J8" s="1574">
        <v>0</v>
      </c>
      <c r="K8" s="1672">
        <f t="shared" si="0"/>
        <v>868958</v>
      </c>
      <c r="L8" s="1573">
        <v>845350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144347</v>
      </c>
      <c r="D10" s="1573">
        <v>12597</v>
      </c>
      <c r="E10" s="1573">
        <v>0</v>
      </c>
      <c r="F10" s="1573">
        <v>354</v>
      </c>
      <c r="G10" s="1573">
        <v>0</v>
      </c>
      <c r="H10" s="1573">
        <v>0</v>
      </c>
      <c r="I10" s="1574">
        <v>0</v>
      </c>
      <c r="J10" s="1574">
        <v>0</v>
      </c>
      <c r="K10" s="1672">
        <f t="shared" si="0"/>
        <v>157298</v>
      </c>
      <c r="L10" s="1573">
        <v>159657</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259397</v>
      </c>
      <c r="D13" s="1573">
        <v>37403</v>
      </c>
      <c r="E13" s="1573">
        <v>14346</v>
      </c>
      <c r="F13" s="1573">
        <v>42255</v>
      </c>
      <c r="G13" s="1573">
        <v>1563</v>
      </c>
      <c r="H13" s="1573">
        <v>0</v>
      </c>
      <c r="I13" s="1574">
        <v>0</v>
      </c>
      <c r="J13" s="1574">
        <v>0</v>
      </c>
      <c r="K13" s="1672">
        <f t="shared" si="0"/>
        <v>354964</v>
      </c>
      <c r="L13" s="1573">
        <v>390036</v>
      </c>
    </row>
    <row r="14" spans="1:14" x14ac:dyDescent="0.2">
      <c r="A14" s="1274" t="s">
        <v>957</v>
      </c>
      <c r="B14" s="503">
        <v>1500</v>
      </c>
      <c r="C14" s="1573">
        <v>450505</v>
      </c>
      <c r="D14" s="1573">
        <v>7076</v>
      </c>
      <c r="E14" s="1573">
        <v>119470</v>
      </c>
      <c r="F14" s="1573">
        <v>121180</v>
      </c>
      <c r="G14" s="1573">
        <v>0</v>
      </c>
      <c r="H14" s="1573">
        <v>21304</v>
      </c>
      <c r="I14" s="1574">
        <v>0</v>
      </c>
      <c r="J14" s="1574">
        <v>0</v>
      </c>
      <c r="K14" s="1672">
        <f t="shared" si="0"/>
        <v>719535</v>
      </c>
      <c r="L14" s="1573">
        <v>786600</v>
      </c>
    </row>
    <row r="15" spans="1:14" x14ac:dyDescent="0.2">
      <c r="A15" s="1274" t="s">
        <v>958</v>
      </c>
      <c r="B15" s="503">
        <v>1600</v>
      </c>
      <c r="C15" s="1573">
        <v>362</v>
      </c>
      <c r="D15" s="1573">
        <v>5</v>
      </c>
      <c r="E15" s="1573">
        <v>0</v>
      </c>
      <c r="F15" s="1573">
        <v>49</v>
      </c>
      <c r="G15" s="1573">
        <v>0</v>
      </c>
      <c r="H15" s="1573">
        <v>0</v>
      </c>
      <c r="I15" s="1574">
        <v>0</v>
      </c>
      <c r="J15" s="1574">
        <v>0</v>
      </c>
      <c r="K15" s="1672">
        <f t="shared" si="0"/>
        <v>416</v>
      </c>
      <c r="L15" s="1573">
        <v>5319</v>
      </c>
    </row>
    <row r="16" spans="1:14" x14ac:dyDescent="0.2">
      <c r="A16" s="1274" t="s">
        <v>980</v>
      </c>
      <c r="B16" s="503" t="s">
        <v>421</v>
      </c>
      <c r="C16" s="1573">
        <v>0</v>
      </c>
      <c r="D16" s="1573">
        <v>0</v>
      </c>
      <c r="E16" s="1573">
        <v>0</v>
      </c>
      <c r="F16" s="1573">
        <v>750</v>
      </c>
      <c r="G16" s="1573">
        <v>0</v>
      </c>
      <c r="H16" s="1573">
        <v>0</v>
      </c>
      <c r="I16" s="1574">
        <v>0</v>
      </c>
      <c r="J16" s="1574">
        <v>0</v>
      </c>
      <c r="K16" s="1672">
        <f t="shared" si="0"/>
        <v>750</v>
      </c>
      <c r="L16" s="1573">
        <v>1500</v>
      </c>
    </row>
    <row r="17" spans="1:12" x14ac:dyDescent="0.2">
      <c r="A17" s="1274" t="s">
        <v>719</v>
      </c>
      <c r="B17" s="503" t="s">
        <v>161</v>
      </c>
      <c r="C17" s="1574">
        <v>70026</v>
      </c>
      <c r="D17" s="1574">
        <v>9872</v>
      </c>
      <c r="E17" s="1574">
        <v>5873</v>
      </c>
      <c r="F17" s="1574">
        <v>1534</v>
      </c>
      <c r="G17" s="1574">
        <v>0</v>
      </c>
      <c r="H17" s="1574">
        <v>0</v>
      </c>
      <c r="I17" s="1574">
        <v>0</v>
      </c>
      <c r="J17" s="1574">
        <v>0</v>
      </c>
      <c r="K17" s="1672">
        <f t="shared" si="0"/>
        <v>87305</v>
      </c>
      <c r="L17" s="1573">
        <v>156167</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50451</v>
      </c>
      <c r="I22" s="1673"/>
      <c r="J22" s="1582"/>
      <c r="K22" s="1672">
        <f t="shared" si="0"/>
        <v>50451</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8795107</v>
      </c>
      <c r="D33" s="1674">
        <f t="shared" ref="D33:L33" si="1">SUM(D5:D32)</f>
        <v>1332314</v>
      </c>
      <c r="E33" s="1674">
        <f t="shared" si="1"/>
        <v>194253</v>
      </c>
      <c r="F33" s="1674">
        <f t="shared" si="1"/>
        <v>464236</v>
      </c>
      <c r="G33" s="1674">
        <f t="shared" si="1"/>
        <v>1563</v>
      </c>
      <c r="H33" s="1674">
        <f t="shared" si="1"/>
        <v>74402</v>
      </c>
      <c r="I33" s="1674">
        <f t="shared" si="1"/>
        <v>0</v>
      </c>
      <c r="J33" s="1674">
        <f t="shared" si="1"/>
        <v>0</v>
      </c>
      <c r="K33" s="1674">
        <f t="shared" si="1"/>
        <v>10861875</v>
      </c>
      <c r="L33" s="1674">
        <f t="shared" si="1"/>
        <v>11091583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143225</v>
      </c>
      <c r="D36" s="1586">
        <v>34475</v>
      </c>
      <c r="E36" s="1586">
        <v>0</v>
      </c>
      <c r="F36" s="1586">
        <v>0</v>
      </c>
      <c r="G36" s="1586">
        <v>0</v>
      </c>
      <c r="H36" s="1586">
        <v>0</v>
      </c>
      <c r="I36" s="1574">
        <v>0</v>
      </c>
      <c r="J36" s="1574">
        <v>0</v>
      </c>
      <c r="K36" s="1672">
        <f t="shared" ref="K36:K41" si="2">SUM(C36:J36)</f>
        <v>177700</v>
      </c>
      <c r="L36" s="1573">
        <v>174249</v>
      </c>
    </row>
    <row r="37" spans="1:14" x14ac:dyDescent="0.2">
      <c r="A37" s="1274" t="s">
        <v>1081</v>
      </c>
      <c r="B37" s="503">
        <v>2120</v>
      </c>
      <c r="C37" s="1573">
        <v>289179</v>
      </c>
      <c r="D37" s="1573">
        <v>33141</v>
      </c>
      <c r="E37" s="1573">
        <v>215</v>
      </c>
      <c r="F37" s="1573">
        <v>703</v>
      </c>
      <c r="G37" s="1573">
        <v>0</v>
      </c>
      <c r="H37" s="1573">
        <v>0</v>
      </c>
      <c r="I37" s="1574">
        <v>0</v>
      </c>
      <c r="J37" s="1574">
        <v>0</v>
      </c>
      <c r="K37" s="1672">
        <f t="shared" si="2"/>
        <v>323238</v>
      </c>
      <c r="L37" s="1573">
        <v>360044</v>
      </c>
    </row>
    <row r="38" spans="1:14" x14ac:dyDescent="0.2">
      <c r="A38" s="1274" t="s">
        <v>196</v>
      </c>
      <c r="B38" s="503">
        <v>2130</v>
      </c>
      <c r="C38" s="1573">
        <v>91408</v>
      </c>
      <c r="D38" s="1573">
        <v>32244</v>
      </c>
      <c r="E38" s="1573">
        <v>377</v>
      </c>
      <c r="F38" s="1573">
        <v>1881</v>
      </c>
      <c r="G38" s="1573">
        <v>0</v>
      </c>
      <c r="H38" s="1573">
        <v>0</v>
      </c>
      <c r="I38" s="1573">
        <v>0</v>
      </c>
      <c r="J38" s="1573">
        <v>0</v>
      </c>
      <c r="K38" s="1672">
        <f t="shared" si="2"/>
        <v>125910</v>
      </c>
      <c r="L38" s="1573">
        <v>126490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523812</v>
      </c>
      <c r="D42" s="1674">
        <f t="shared" ref="D42:L42" si="3">SUM(D36:D41)</f>
        <v>99860</v>
      </c>
      <c r="E42" s="1674">
        <f t="shared" si="3"/>
        <v>592</v>
      </c>
      <c r="F42" s="1674">
        <f t="shared" si="3"/>
        <v>2584</v>
      </c>
      <c r="G42" s="1674">
        <f t="shared" si="3"/>
        <v>0</v>
      </c>
      <c r="H42" s="1674">
        <f t="shared" si="3"/>
        <v>0</v>
      </c>
      <c r="I42" s="1674">
        <f t="shared" si="3"/>
        <v>0</v>
      </c>
      <c r="J42" s="1674">
        <f t="shared" si="3"/>
        <v>0</v>
      </c>
      <c r="K42" s="1674">
        <f t="shared" si="3"/>
        <v>626848</v>
      </c>
      <c r="L42" s="1674">
        <f t="shared" si="3"/>
        <v>660783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81008</v>
      </c>
      <c r="D44" s="1586">
        <v>12431</v>
      </c>
      <c r="E44" s="1586">
        <v>163356</v>
      </c>
      <c r="F44" s="1586">
        <v>27089</v>
      </c>
      <c r="G44" s="1586">
        <v>0</v>
      </c>
      <c r="H44" s="1586">
        <v>0</v>
      </c>
      <c r="I44" s="1574">
        <v>0</v>
      </c>
      <c r="J44" s="1574">
        <v>0</v>
      </c>
      <c r="K44" s="1678">
        <f>SUM(C44:J44)</f>
        <v>283884</v>
      </c>
      <c r="L44" s="1586">
        <v>259580</v>
      </c>
    </row>
    <row r="45" spans="1:14" x14ac:dyDescent="0.2">
      <c r="A45" s="1274" t="s">
        <v>810</v>
      </c>
      <c r="B45" s="503">
        <v>2220</v>
      </c>
      <c r="C45" s="1573">
        <v>279083</v>
      </c>
      <c r="D45" s="1573">
        <v>52572</v>
      </c>
      <c r="E45" s="1573">
        <v>14691</v>
      </c>
      <c r="F45" s="1573">
        <v>407359</v>
      </c>
      <c r="G45" s="1573">
        <v>28500</v>
      </c>
      <c r="H45" s="1573">
        <v>0</v>
      </c>
      <c r="I45" s="1574">
        <v>192310</v>
      </c>
      <c r="J45" s="1574">
        <v>0</v>
      </c>
      <c r="K45" s="1678">
        <f>SUM(C45:J45)</f>
        <v>974515</v>
      </c>
      <c r="L45" s="1573">
        <v>753634</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360091</v>
      </c>
      <c r="D47" s="1674">
        <f t="shared" ref="D47:K47" si="4">SUM(D44:D46)</f>
        <v>65003</v>
      </c>
      <c r="E47" s="1674">
        <f t="shared" si="4"/>
        <v>178047</v>
      </c>
      <c r="F47" s="1674">
        <f t="shared" si="4"/>
        <v>434448</v>
      </c>
      <c r="G47" s="1674">
        <f t="shared" si="4"/>
        <v>28500</v>
      </c>
      <c r="H47" s="1674">
        <f t="shared" si="4"/>
        <v>0</v>
      </c>
      <c r="I47" s="1674">
        <f t="shared" si="4"/>
        <v>192310</v>
      </c>
      <c r="J47" s="1674">
        <f t="shared" si="4"/>
        <v>0</v>
      </c>
      <c r="K47" s="1674">
        <f t="shared" si="4"/>
        <v>1258399</v>
      </c>
      <c r="L47" s="1674">
        <f>SUM(L44:L46)</f>
        <v>1013214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2300</v>
      </c>
      <c r="D49" s="1586">
        <v>0</v>
      </c>
      <c r="E49" s="1586">
        <v>95421</v>
      </c>
      <c r="F49" s="1586">
        <v>2577</v>
      </c>
      <c r="G49" s="1586">
        <v>0</v>
      </c>
      <c r="H49" s="1586">
        <v>986</v>
      </c>
      <c r="I49" s="1574">
        <v>0</v>
      </c>
      <c r="J49" s="1574">
        <v>0</v>
      </c>
      <c r="K49" s="1678">
        <f>SUM(C49:J49)</f>
        <v>101284</v>
      </c>
      <c r="L49" s="1586">
        <v>102947</v>
      </c>
    </row>
    <row r="50" spans="1:14" x14ac:dyDescent="0.2">
      <c r="A50" s="1274" t="s">
        <v>813</v>
      </c>
      <c r="B50" s="503">
        <v>2320</v>
      </c>
      <c r="C50" s="1574">
        <v>137701</v>
      </c>
      <c r="D50" s="1573">
        <v>33276</v>
      </c>
      <c r="E50" s="1573">
        <v>1318</v>
      </c>
      <c r="F50" s="1573">
        <v>1632</v>
      </c>
      <c r="G50" s="1573">
        <v>0</v>
      </c>
      <c r="H50" s="1573">
        <v>9512</v>
      </c>
      <c r="I50" s="1574">
        <v>0</v>
      </c>
      <c r="J50" s="1574">
        <v>0</v>
      </c>
      <c r="K50" s="1678">
        <f>SUM(C50:J50)</f>
        <v>183439</v>
      </c>
      <c r="L50" s="1573">
        <v>188392</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140001</v>
      </c>
      <c r="D53" s="1674">
        <f t="shared" ref="D53:L53" si="5">SUM(D49:D52)</f>
        <v>33276</v>
      </c>
      <c r="E53" s="1674">
        <f t="shared" si="5"/>
        <v>96739</v>
      </c>
      <c r="F53" s="1674">
        <f t="shared" si="5"/>
        <v>4209</v>
      </c>
      <c r="G53" s="1674">
        <f t="shared" si="5"/>
        <v>0</v>
      </c>
      <c r="H53" s="1674">
        <f t="shared" si="5"/>
        <v>10498</v>
      </c>
      <c r="I53" s="1674">
        <f t="shared" si="5"/>
        <v>0</v>
      </c>
      <c r="J53" s="1674">
        <f t="shared" si="5"/>
        <v>0</v>
      </c>
      <c r="K53" s="1674">
        <f t="shared" si="5"/>
        <v>284723</v>
      </c>
      <c r="L53" s="1674">
        <f t="shared" si="5"/>
        <v>291339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1029610</v>
      </c>
      <c r="D55" s="1586">
        <v>309702</v>
      </c>
      <c r="E55" s="1586">
        <v>26430</v>
      </c>
      <c r="F55" s="1586">
        <v>14643</v>
      </c>
      <c r="G55" s="1586">
        <v>0</v>
      </c>
      <c r="H55" s="1586">
        <v>3955</v>
      </c>
      <c r="I55" s="1574">
        <v>0</v>
      </c>
      <c r="J55" s="1574">
        <v>0</v>
      </c>
      <c r="K55" s="1678">
        <f>SUM(C55:J55)</f>
        <v>1384340</v>
      </c>
      <c r="L55" s="1586">
        <v>1389966</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1029610</v>
      </c>
      <c r="D57" s="1679">
        <f t="shared" ref="D57:K57" si="6">SUM(D55:D56)</f>
        <v>309702</v>
      </c>
      <c r="E57" s="1679">
        <f t="shared" si="6"/>
        <v>26430</v>
      </c>
      <c r="F57" s="1679">
        <f t="shared" si="6"/>
        <v>14643</v>
      </c>
      <c r="G57" s="1679">
        <f t="shared" si="6"/>
        <v>0</v>
      </c>
      <c r="H57" s="1679">
        <f t="shared" si="6"/>
        <v>3955</v>
      </c>
      <c r="I57" s="1679">
        <f t="shared" si="6"/>
        <v>0</v>
      </c>
      <c r="J57" s="1679">
        <f t="shared" si="6"/>
        <v>0</v>
      </c>
      <c r="K57" s="1679">
        <f t="shared" si="6"/>
        <v>1384340</v>
      </c>
      <c r="L57" s="1674">
        <f>SUM(L55:L56)</f>
        <v>1389966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275840</v>
      </c>
      <c r="D60" s="1573">
        <v>57970</v>
      </c>
      <c r="E60" s="1573">
        <v>92917</v>
      </c>
      <c r="F60" s="1573">
        <v>15315</v>
      </c>
      <c r="G60" s="1573">
        <v>0</v>
      </c>
      <c r="H60" s="1573">
        <v>659</v>
      </c>
      <c r="I60" s="1574">
        <v>0</v>
      </c>
      <c r="J60" s="1574">
        <v>0</v>
      </c>
      <c r="K60" s="1678">
        <f t="shared" si="7"/>
        <v>442701</v>
      </c>
      <c r="L60" s="1573">
        <v>438884</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55044</v>
      </c>
      <c r="M62" s="501"/>
      <c r="N62" s="501"/>
    </row>
    <row r="63" spans="1:14" s="501" customFormat="1" x14ac:dyDescent="0.2">
      <c r="A63" s="1274" t="s">
        <v>100</v>
      </c>
      <c r="B63" s="503">
        <v>2560</v>
      </c>
      <c r="C63" s="1573">
        <v>449346</v>
      </c>
      <c r="D63" s="1573">
        <v>88883</v>
      </c>
      <c r="E63" s="1573">
        <v>14488</v>
      </c>
      <c r="F63" s="1573">
        <v>549342</v>
      </c>
      <c r="G63" s="1573">
        <v>0</v>
      </c>
      <c r="H63" s="1573">
        <v>1355</v>
      </c>
      <c r="I63" s="1574">
        <v>2797</v>
      </c>
      <c r="J63" s="1574">
        <v>0</v>
      </c>
      <c r="K63" s="1678">
        <f t="shared" si="7"/>
        <v>1106211</v>
      </c>
      <c r="L63" s="1573">
        <v>1113083</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725186</v>
      </c>
      <c r="D65" s="1674">
        <f t="shared" ref="D65:L65" si="8">SUM(D59:D64)</f>
        <v>146853</v>
      </c>
      <c r="E65" s="1674">
        <f t="shared" si="8"/>
        <v>107405</v>
      </c>
      <c r="F65" s="1674">
        <f t="shared" si="8"/>
        <v>564657</v>
      </c>
      <c r="G65" s="1674">
        <f t="shared" si="8"/>
        <v>0</v>
      </c>
      <c r="H65" s="1674">
        <f t="shared" si="8"/>
        <v>2014</v>
      </c>
      <c r="I65" s="1674">
        <f t="shared" si="8"/>
        <v>2797</v>
      </c>
      <c r="J65" s="1674">
        <f t="shared" si="8"/>
        <v>0</v>
      </c>
      <c r="K65" s="1674">
        <f t="shared" si="8"/>
        <v>1548912</v>
      </c>
      <c r="L65" s="1674">
        <f t="shared" si="8"/>
        <v>1607011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11995</v>
      </c>
      <c r="F69" s="1573">
        <v>0</v>
      </c>
      <c r="G69" s="1573">
        <v>0</v>
      </c>
      <c r="H69" s="1573">
        <v>0</v>
      </c>
      <c r="I69" s="1574">
        <v>0</v>
      </c>
      <c r="J69" s="1574">
        <v>0</v>
      </c>
      <c r="K69" s="1678">
        <f>SUM(C69:J69)</f>
        <v>11995</v>
      </c>
      <c r="L69" s="1573">
        <v>5500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39723</v>
      </c>
      <c r="F71" s="1573">
        <v>2200</v>
      </c>
      <c r="G71" s="1573">
        <v>0</v>
      </c>
      <c r="H71" s="1573">
        <v>0</v>
      </c>
      <c r="I71" s="1574">
        <v>0</v>
      </c>
      <c r="J71" s="1574">
        <v>0</v>
      </c>
      <c r="K71" s="1678">
        <f>SUM(C71:J71)</f>
        <v>41923</v>
      </c>
      <c r="L71" s="1573">
        <v>54855</v>
      </c>
      <c r="M71" s="501"/>
      <c r="N71" s="501"/>
    </row>
    <row r="72" spans="1:14" s="321" customFormat="1" ht="12.75" customHeight="1" thickBot="1" x14ac:dyDescent="0.25">
      <c r="A72" s="1380" t="s">
        <v>37</v>
      </c>
      <c r="B72" s="1383" t="s">
        <v>36</v>
      </c>
      <c r="C72" s="1674">
        <f>SUM(C67:C71)</f>
        <v>0</v>
      </c>
      <c r="D72" s="1674">
        <f t="shared" ref="D72:K72" si="9">SUM(D67:D71)</f>
        <v>0</v>
      </c>
      <c r="E72" s="1674">
        <f t="shared" si="9"/>
        <v>51718</v>
      </c>
      <c r="F72" s="1674">
        <f t="shared" si="9"/>
        <v>2200</v>
      </c>
      <c r="G72" s="1674">
        <f t="shared" si="9"/>
        <v>0</v>
      </c>
      <c r="H72" s="1674">
        <f t="shared" si="9"/>
        <v>0</v>
      </c>
      <c r="I72" s="1674">
        <f t="shared" si="9"/>
        <v>0</v>
      </c>
      <c r="J72" s="1674">
        <f t="shared" si="9"/>
        <v>0</v>
      </c>
      <c r="K72" s="1674">
        <f t="shared" si="9"/>
        <v>53918</v>
      </c>
      <c r="L72" s="1674">
        <f>SUM(L67:L71)</f>
        <v>60355</v>
      </c>
      <c r="M72" s="501"/>
      <c r="N72" s="501"/>
    </row>
    <row r="73" spans="1:14" s="321" customFormat="1" ht="14.25" thickTop="1" thickBot="1" x14ac:dyDescent="0.25">
      <c r="A73" s="1280" t="s">
        <v>973</v>
      </c>
      <c r="B73" s="515" t="s">
        <v>570</v>
      </c>
      <c r="C73" s="1649">
        <v>68505</v>
      </c>
      <c r="D73" s="1649">
        <v>2816</v>
      </c>
      <c r="E73" s="1649">
        <v>1995</v>
      </c>
      <c r="F73" s="1649">
        <v>2937</v>
      </c>
      <c r="G73" s="1649">
        <v>0</v>
      </c>
      <c r="H73" s="1649">
        <v>0</v>
      </c>
      <c r="I73" s="1627">
        <v>0</v>
      </c>
      <c r="J73" s="1627">
        <v>0</v>
      </c>
      <c r="K73" s="1674">
        <f>SUM(C73:J73)</f>
        <v>76253</v>
      </c>
      <c r="L73" s="1651">
        <v>94589</v>
      </c>
      <c r="M73" s="501"/>
      <c r="N73" s="501"/>
    </row>
    <row r="74" spans="1:14" ht="12.75" customHeight="1" thickTop="1" thickBot="1" x14ac:dyDescent="0.25">
      <c r="A74" s="1380" t="s">
        <v>806</v>
      </c>
      <c r="B74" s="1384">
        <v>2000</v>
      </c>
      <c r="C74" s="1681">
        <f>SUM(C42,C47,C53,C57,C65,C72,C73)</f>
        <v>2847205</v>
      </c>
      <c r="D74" s="1681">
        <f t="shared" ref="D74:K74" si="10">SUM(D42,D47,D53,D57,D65,D72,D73)</f>
        <v>657510</v>
      </c>
      <c r="E74" s="1681">
        <f t="shared" si="10"/>
        <v>462926</v>
      </c>
      <c r="F74" s="1681">
        <f t="shared" si="10"/>
        <v>1025678</v>
      </c>
      <c r="G74" s="1681">
        <f t="shared" si="10"/>
        <v>28500</v>
      </c>
      <c r="H74" s="1681">
        <f t="shared" si="10"/>
        <v>16467</v>
      </c>
      <c r="I74" s="1681">
        <f t="shared" si="10"/>
        <v>195107</v>
      </c>
      <c r="J74" s="1681">
        <f t="shared" si="10"/>
        <v>0</v>
      </c>
      <c r="K74" s="1681">
        <f t="shared" si="10"/>
        <v>5233393</v>
      </c>
      <c r="L74" s="1681">
        <f>SUM(L42,L47,L53,L57,L65,L72,L73)</f>
        <v>5117257</v>
      </c>
    </row>
    <row r="75" spans="1:14" s="254" customFormat="1" ht="15.75" customHeight="1" thickTop="1" thickBot="1" x14ac:dyDescent="0.25">
      <c r="A75" s="1348" t="s">
        <v>47</v>
      </c>
      <c r="B75" s="1349" t="s">
        <v>571</v>
      </c>
      <c r="C75" s="1649">
        <v>127647</v>
      </c>
      <c r="D75" s="1649">
        <v>13278</v>
      </c>
      <c r="E75" s="1649">
        <v>792</v>
      </c>
      <c r="F75" s="1649">
        <v>10107</v>
      </c>
      <c r="G75" s="1649">
        <v>0</v>
      </c>
      <c r="H75" s="1649">
        <v>0</v>
      </c>
      <c r="I75" s="1627">
        <v>0</v>
      </c>
      <c r="J75" s="1627">
        <v>0</v>
      </c>
      <c r="K75" s="1674">
        <f>SUM(C75:J75)</f>
        <v>151824</v>
      </c>
      <c r="L75" s="1651">
        <v>149433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567631</v>
      </c>
      <c r="F79" s="1673"/>
      <c r="G79" s="1673"/>
      <c r="H79" s="1573">
        <v>0</v>
      </c>
      <c r="I79" s="1582"/>
      <c r="J79" s="1582"/>
      <c r="K79" s="1672">
        <f t="shared" si="11"/>
        <v>567631</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11100</v>
      </c>
      <c r="I81" s="1582"/>
      <c r="J81" s="1582"/>
      <c r="K81" s="1672">
        <f t="shared" si="11"/>
        <v>11100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7000</v>
      </c>
      <c r="I83" s="1582"/>
      <c r="J83" s="1582"/>
      <c r="K83" s="1672">
        <f t="shared" si="11"/>
        <v>7000</v>
      </c>
      <c r="L83" s="1573">
        <v>10000</v>
      </c>
    </row>
    <row r="84" spans="1:12" ht="13.5" thickBot="1" x14ac:dyDescent="0.25">
      <c r="A84" s="1380" t="s">
        <v>1468</v>
      </c>
      <c r="B84" s="1385">
        <v>4100</v>
      </c>
      <c r="C84" s="1673"/>
      <c r="D84" s="1673"/>
      <c r="E84" s="1674">
        <f>SUM(E78:E83)</f>
        <v>567631</v>
      </c>
      <c r="F84" s="1673"/>
      <c r="G84" s="1673"/>
      <c r="H84" s="1674">
        <f>SUM(H78:H83)</f>
        <v>18100</v>
      </c>
      <c r="I84" s="1582"/>
      <c r="J84" s="1582"/>
      <c r="K84" s="1674">
        <f>SUM(K78:K83)</f>
        <v>585731</v>
      </c>
      <c r="L84" s="1674">
        <f>SUM(L78:L83)</f>
        <v>10000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1507283</v>
      </c>
      <c r="I86" s="1582"/>
      <c r="J86" s="1582"/>
      <c r="K86" s="1681">
        <f t="shared" ref="K86:K98" si="12">H86</f>
        <v>1507283</v>
      </c>
      <c r="L86" s="1626">
        <v>1809931</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1507283</v>
      </c>
      <c r="I92" s="1582"/>
      <c r="J92" s="1582"/>
      <c r="K92" s="1681">
        <f t="shared" si="12"/>
        <v>1507283</v>
      </c>
      <c r="L92" s="1674">
        <f>SUM(L85:L91)</f>
        <v>1809931</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567631</v>
      </c>
      <c r="F102" s="1673"/>
      <c r="G102" s="1673"/>
      <c r="H102" s="1681">
        <f>SUM(H84,H92,H100,H101)</f>
        <v>1525383</v>
      </c>
      <c r="I102" s="1582"/>
      <c r="J102" s="1582"/>
      <c r="K102" s="1681">
        <f>SUM(K84,K92,K100,K101)</f>
        <v>2093014</v>
      </c>
      <c r="L102" s="1681">
        <f>SUM(L84,L92,L100,L101)</f>
        <v>1819931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11769959</v>
      </c>
      <c r="D114" s="1674">
        <f t="shared" ref="D114:K114" si="13">SUM(D33,D74,D75,D102,D112,D113)</f>
        <v>2003102</v>
      </c>
      <c r="E114" s="1674">
        <f t="shared" si="13"/>
        <v>1225602</v>
      </c>
      <c r="F114" s="1674">
        <f t="shared" si="13"/>
        <v>1500021</v>
      </c>
      <c r="G114" s="1674">
        <f t="shared" si="13"/>
        <v>30063</v>
      </c>
      <c r="H114" s="1674">
        <f>SUM(H33,H74,H75,H102,H112,H113)</f>
        <v>1616252</v>
      </c>
      <c r="I114" s="1674">
        <f t="shared" si="13"/>
        <v>195107</v>
      </c>
      <c r="J114" s="1674">
        <f t="shared" si="13"/>
        <v>0</v>
      </c>
      <c r="K114" s="1674">
        <f t="shared" si="13"/>
        <v>18340106</v>
      </c>
      <c r="L114" s="1674">
        <f>SUM(L33,L74,L75,L102,L112,L113)</f>
        <v>18178204</v>
      </c>
    </row>
    <row r="115" spans="1:14" ht="13.5" thickTop="1" x14ac:dyDescent="0.2">
      <c r="A115" s="2381" t="s">
        <v>989</v>
      </c>
      <c r="B115" s="2382"/>
      <c r="C115" s="1675"/>
      <c r="D115" s="1675"/>
      <c r="E115" s="1675"/>
      <c r="F115" s="1675"/>
      <c r="G115" s="1675"/>
      <c r="H115" s="1675"/>
      <c r="I115" s="1675"/>
      <c r="J115" s="1675"/>
      <c r="K115" s="1689">
        <f>'Revenues 9-14'!C268-'Expenditures 15-22'!K114</f>
        <v>-391400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86" t="s">
        <v>293</v>
      </c>
      <c r="B117" s="238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21258</v>
      </c>
      <c r="F123" s="1573">
        <v>0</v>
      </c>
      <c r="G123" s="1573">
        <v>0</v>
      </c>
      <c r="H123" s="1573">
        <v>0</v>
      </c>
      <c r="I123" s="1574">
        <v>0</v>
      </c>
      <c r="J123" s="1574">
        <v>0</v>
      </c>
      <c r="K123" s="1674">
        <f>SUM(C123:J123)</f>
        <v>21258</v>
      </c>
      <c r="L123" s="1573">
        <v>8040</v>
      </c>
    </row>
    <row r="124" spans="1:14" ht="14.25" thickTop="1" thickBot="1" x14ac:dyDescent="0.25">
      <c r="A124" s="1274" t="s">
        <v>195</v>
      </c>
      <c r="B124" s="503">
        <v>2540</v>
      </c>
      <c r="C124" s="1573">
        <v>785869</v>
      </c>
      <c r="D124" s="1573">
        <v>162875</v>
      </c>
      <c r="E124" s="1573">
        <v>229060</v>
      </c>
      <c r="F124" s="1573">
        <v>739470</v>
      </c>
      <c r="G124" s="1573">
        <v>431816</v>
      </c>
      <c r="H124" s="1573">
        <v>0</v>
      </c>
      <c r="I124" s="1574">
        <v>0</v>
      </c>
      <c r="J124" s="1574">
        <v>0</v>
      </c>
      <c r="K124" s="1674">
        <f>SUM(C124:J124)</f>
        <v>2349090</v>
      </c>
      <c r="L124" s="1573">
        <v>2167770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785869</v>
      </c>
      <c r="D127" s="1674">
        <f t="shared" ref="D127:L127" si="14">SUM(D122:D126)</f>
        <v>162875</v>
      </c>
      <c r="E127" s="1674">
        <f t="shared" si="14"/>
        <v>250318</v>
      </c>
      <c r="F127" s="1674">
        <f t="shared" si="14"/>
        <v>739470</v>
      </c>
      <c r="G127" s="1674">
        <f t="shared" si="14"/>
        <v>431816</v>
      </c>
      <c r="H127" s="1674">
        <f t="shared" si="14"/>
        <v>0</v>
      </c>
      <c r="I127" s="1674">
        <f t="shared" si="14"/>
        <v>0</v>
      </c>
      <c r="J127" s="1674">
        <f t="shared" si="14"/>
        <v>0</v>
      </c>
      <c r="K127" s="1674">
        <f t="shared" si="14"/>
        <v>2370348</v>
      </c>
      <c r="L127" s="1674">
        <f t="shared" si="14"/>
        <v>2175810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785869</v>
      </c>
      <c r="D129" s="1681">
        <f t="shared" ref="D129:L129" si="15">SUM(D120,D127,D128)</f>
        <v>162875</v>
      </c>
      <c r="E129" s="1681">
        <f t="shared" si="15"/>
        <v>250318</v>
      </c>
      <c r="F129" s="1681">
        <f t="shared" si="15"/>
        <v>739470</v>
      </c>
      <c r="G129" s="1681">
        <f t="shared" si="15"/>
        <v>431816</v>
      </c>
      <c r="H129" s="1681">
        <f t="shared" si="15"/>
        <v>0</v>
      </c>
      <c r="I129" s="1681">
        <f t="shared" si="15"/>
        <v>0</v>
      </c>
      <c r="J129" s="1681">
        <f t="shared" si="15"/>
        <v>0</v>
      </c>
      <c r="K129" s="1681">
        <f t="shared" si="15"/>
        <v>2370348</v>
      </c>
      <c r="L129" s="1681">
        <f t="shared" si="15"/>
        <v>2175810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98" t="s">
        <v>616</v>
      </c>
      <c r="B151" s="2378"/>
      <c r="C151" s="1674">
        <f>SUM(C129,C130,C139,C149,C150)</f>
        <v>785869</v>
      </c>
      <c r="D151" s="1674">
        <f t="shared" ref="D151:K151" si="16">SUM(D129,D130,D139,D149,D150)</f>
        <v>162875</v>
      </c>
      <c r="E151" s="1674">
        <f t="shared" si="16"/>
        <v>250318</v>
      </c>
      <c r="F151" s="1674">
        <f t="shared" si="16"/>
        <v>739470</v>
      </c>
      <c r="G151" s="1674">
        <f t="shared" si="16"/>
        <v>431816</v>
      </c>
      <c r="H151" s="1674">
        <f t="shared" si="16"/>
        <v>0</v>
      </c>
      <c r="I151" s="1674">
        <f t="shared" si="16"/>
        <v>0</v>
      </c>
      <c r="J151" s="1674">
        <f t="shared" si="16"/>
        <v>0</v>
      </c>
      <c r="K151" s="1674">
        <f t="shared" si="16"/>
        <v>2370348</v>
      </c>
      <c r="L151" s="1674">
        <f>SUM(L129,L130,L139,L149,L150)</f>
        <v>2175810</v>
      </c>
    </row>
    <row r="152" spans="1:14" ht="12.75" customHeight="1" thickTop="1" x14ac:dyDescent="0.2">
      <c r="A152" s="2401" t="s">
        <v>1168</v>
      </c>
      <c r="B152" s="2402"/>
      <c r="C152" s="1675"/>
      <c r="D152" s="1675"/>
      <c r="E152" s="1675"/>
      <c r="F152" s="1675"/>
      <c r="G152" s="1675"/>
      <c r="H152" s="1675"/>
      <c r="I152" s="1675"/>
      <c r="J152" s="1673"/>
      <c r="K152" s="1689">
        <f>'Revenues 9-14'!D268-'Expenditures 15-22'!K151</f>
        <v>-298067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86" t="s">
        <v>617</v>
      </c>
      <c r="B154" s="238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1418950</v>
      </c>
      <c r="I169" s="1673"/>
      <c r="J169" s="1673"/>
      <c r="K169" s="1672">
        <f>SUM(C169:H169)</f>
        <v>1418950</v>
      </c>
      <c r="L169" s="1695">
        <v>3568700</v>
      </c>
    </row>
    <row r="170" spans="1:14" ht="33.75" customHeight="1" x14ac:dyDescent="0.2">
      <c r="A170" s="543" t="s">
        <v>1651</v>
      </c>
      <c r="B170" s="545" t="s">
        <v>31</v>
      </c>
      <c r="C170" s="1673"/>
      <c r="D170" s="1673"/>
      <c r="E170" s="1673"/>
      <c r="F170" s="1673"/>
      <c r="G170" s="1673"/>
      <c r="H170" s="1646">
        <v>2187141</v>
      </c>
      <c r="I170" s="1673"/>
      <c r="J170" s="1673"/>
      <c r="K170" s="1672">
        <f>SUM(C170:J170)</f>
        <v>2187141</v>
      </c>
      <c r="L170" s="1646">
        <v>0</v>
      </c>
    </row>
    <row r="171" spans="1:14" ht="15.75" customHeight="1" x14ac:dyDescent="0.2">
      <c r="A171" s="507" t="s">
        <v>761</v>
      </c>
      <c r="B171" s="546" t="s">
        <v>84</v>
      </c>
      <c r="C171" s="1673"/>
      <c r="D171" s="1673"/>
      <c r="E171" s="1573">
        <v>0</v>
      </c>
      <c r="F171" s="1673"/>
      <c r="G171" s="1673"/>
      <c r="H171" s="1646">
        <v>954</v>
      </c>
      <c r="I171" s="1582"/>
      <c r="J171" s="1673"/>
      <c r="K171" s="1672">
        <f>SUM(C171:J171)</f>
        <v>954</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3607045</v>
      </c>
      <c r="I172" s="1684"/>
      <c r="J172" s="1673"/>
      <c r="K172" s="1681">
        <f>SUM(K168,K169,K170,K171)</f>
        <v>3607045</v>
      </c>
      <c r="L172" s="1681">
        <f>SUM(L168,L169,L170,L171)</f>
        <v>3568700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3607045</v>
      </c>
      <c r="I174" s="1684"/>
      <c r="J174" s="1673"/>
      <c r="K174" s="1681">
        <f>SUM(K160,K172,K173)</f>
        <v>3607045</v>
      </c>
      <c r="L174" s="1681">
        <f>SUM(L160,L172,L173)</f>
        <v>3568700</v>
      </c>
    </row>
    <row r="175" spans="1:14" ht="13.5" thickTop="1" x14ac:dyDescent="0.2">
      <c r="A175" s="2381" t="s">
        <v>989</v>
      </c>
      <c r="B175" s="2382"/>
      <c r="C175" s="1673"/>
      <c r="D175" s="1673"/>
      <c r="E175" s="1673"/>
      <c r="F175" s="1673"/>
      <c r="G175" s="1673"/>
      <c r="H175" s="1675"/>
      <c r="I175" s="1673"/>
      <c r="J175" s="1673"/>
      <c r="K175" s="1689">
        <f>'Revenues 9-14'!E268-'Expenditures 15-22'!K174</f>
        <v>225888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18950</v>
      </c>
      <c r="D182" s="1573">
        <v>0</v>
      </c>
      <c r="E182" s="1573">
        <v>1779810</v>
      </c>
      <c r="F182" s="1573">
        <v>171110</v>
      </c>
      <c r="G182" s="1573">
        <v>0</v>
      </c>
      <c r="H182" s="1573">
        <v>0</v>
      </c>
      <c r="I182" s="1574">
        <v>13000</v>
      </c>
      <c r="J182" s="1574">
        <v>0</v>
      </c>
      <c r="K182" s="1672">
        <f>SUM(C182:J182)</f>
        <v>1982870</v>
      </c>
      <c r="L182" s="1573">
        <v>1928563</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18950</v>
      </c>
      <c r="D184" s="1681">
        <f t="shared" ref="D184:J184" si="17">SUM(D180,D182,D183)</f>
        <v>0</v>
      </c>
      <c r="E184" s="1681">
        <f t="shared" si="17"/>
        <v>1779810</v>
      </c>
      <c r="F184" s="1681">
        <f t="shared" si="17"/>
        <v>171110</v>
      </c>
      <c r="G184" s="1681">
        <f t="shared" si="17"/>
        <v>0</v>
      </c>
      <c r="H184" s="1681">
        <f t="shared" si="17"/>
        <v>0</v>
      </c>
      <c r="I184" s="1681">
        <f t="shared" si="17"/>
        <v>13000</v>
      </c>
      <c r="J184" s="1681">
        <f t="shared" si="17"/>
        <v>0</v>
      </c>
      <c r="K184" s="1681">
        <f>SUM(K180,K182,K183)</f>
        <v>1982870</v>
      </c>
      <c r="L184" s="1681">
        <f>SUM(L180, L182:L183)</f>
        <v>1928563</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18950</v>
      </c>
      <c r="D210" s="1674">
        <f>SUM(D184,D185)</f>
        <v>0</v>
      </c>
      <c r="E210" s="1674">
        <f>SUM(E184,E185,E196)</f>
        <v>1779810</v>
      </c>
      <c r="F210" s="1674">
        <f>SUM(F184,F185)</f>
        <v>171110</v>
      </c>
      <c r="G210" s="1674">
        <f>SUM(G184,G185)</f>
        <v>0</v>
      </c>
      <c r="H210" s="1674">
        <f>SUM(H184,H185,H196,H208,H209)</f>
        <v>0</v>
      </c>
      <c r="I210" s="1674">
        <f>SUM(I184,I185)</f>
        <v>13000</v>
      </c>
      <c r="J210" s="1674">
        <f>SUM(J184,J185)</f>
        <v>0</v>
      </c>
      <c r="K210" s="1672">
        <f>SUM(K184,K185,K196,K208,K209)</f>
        <v>1982870</v>
      </c>
      <c r="L210" s="1674">
        <f>SUM(L184,L185,L196,L208,L209)</f>
        <v>1928563</v>
      </c>
    </row>
    <row r="211" spans="1:14" ht="13.5" thickTop="1" x14ac:dyDescent="0.2">
      <c r="A211" s="2381" t="s">
        <v>989</v>
      </c>
      <c r="B211" s="2382"/>
      <c r="C211" s="1675"/>
      <c r="D211" s="1675"/>
      <c r="E211" s="1675"/>
      <c r="F211" s="1675"/>
      <c r="G211" s="1675"/>
      <c r="H211" s="1675"/>
      <c r="I211" s="1673"/>
      <c r="J211" s="1673"/>
      <c r="K211" s="1689">
        <f>'Revenues 9-14'!F268-'Expenditures 15-22'!K210</f>
        <v>-75303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403" t="s">
        <v>959</v>
      </c>
      <c r="B213" s="240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108828</v>
      </c>
      <c r="E215" s="1673"/>
      <c r="F215" s="1673"/>
      <c r="G215" s="1673"/>
      <c r="H215" s="1673"/>
      <c r="I215" s="1673"/>
      <c r="J215" s="1673"/>
      <c r="K215" s="1672">
        <f>D215</f>
        <v>108828</v>
      </c>
      <c r="L215" s="1573">
        <v>74096</v>
      </c>
    </row>
    <row r="216" spans="1:14" x14ac:dyDescent="0.2">
      <c r="A216" s="1274" t="s">
        <v>162</v>
      </c>
      <c r="B216" s="503" t="s">
        <v>961</v>
      </c>
      <c r="C216" s="1673"/>
      <c r="D216" s="1574">
        <v>3448</v>
      </c>
      <c r="E216" s="1673"/>
      <c r="F216" s="1673"/>
      <c r="G216" s="1673"/>
      <c r="H216" s="1673"/>
      <c r="I216" s="1673"/>
      <c r="J216" s="1673"/>
      <c r="K216" s="1672">
        <f t="shared" ref="K216:K228" si="19">D216</f>
        <v>3448</v>
      </c>
      <c r="L216" s="1573">
        <v>33628</v>
      </c>
    </row>
    <row r="217" spans="1:14" x14ac:dyDescent="0.2">
      <c r="A217" s="1274" t="s">
        <v>163</v>
      </c>
      <c r="B217" s="503">
        <v>1200</v>
      </c>
      <c r="C217" s="1673"/>
      <c r="D217" s="1573">
        <v>23109</v>
      </c>
      <c r="E217" s="1673"/>
      <c r="F217" s="1673"/>
      <c r="G217" s="1673"/>
      <c r="H217" s="1673"/>
      <c r="I217" s="1673"/>
      <c r="J217" s="1673"/>
      <c r="K217" s="1672">
        <f t="shared" si="19"/>
        <v>23109</v>
      </c>
      <c r="L217" s="1573">
        <v>29235</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13557</v>
      </c>
      <c r="E219" s="1673"/>
      <c r="F219" s="1673"/>
      <c r="G219" s="1673"/>
      <c r="H219" s="1673"/>
      <c r="I219" s="1673"/>
      <c r="J219" s="1673"/>
      <c r="K219" s="1672">
        <f t="shared" si="19"/>
        <v>13557</v>
      </c>
      <c r="L219" s="1573">
        <v>14970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3606</v>
      </c>
      <c r="E222" s="1673"/>
      <c r="F222" s="1673"/>
      <c r="G222" s="1673"/>
      <c r="H222" s="1673"/>
      <c r="I222" s="1673"/>
      <c r="J222" s="1673"/>
      <c r="K222" s="1672">
        <f t="shared" si="19"/>
        <v>3606</v>
      </c>
      <c r="L222" s="1573">
        <v>2794</v>
      </c>
    </row>
    <row r="223" spans="1:14" x14ac:dyDescent="0.2">
      <c r="A223" s="1274" t="s">
        <v>957</v>
      </c>
      <c r="B223" s="503">
        <v>1500</v>
      </c>
      <c r="C223" s="1673"/>
      <c r="D223" s="1573">
        <v>13580</v>
      </c>
      <c r="E223" s="1673"/>
      <c r="F223" s="1673"/>
      <c r="G223" s="1673"/>
      <c r="H223" s="1673"/>
      <c r="I223" s="1673"/>
      <c r="J223" s="1673"/>
      <c r="K223" s="1672">
        <f t="shared" si="19"/>
        <v>13580</v>
      </c>
      <c r="L223" s="1573">
        <v>9996</v>
      </c>
    </row>
    <row r="224" spans="1:14" x14ac:dyDescent="0.2">
      <c r="A224" s="1274" t="s">
        <v>958</v>
      </c>
      <c r="B224" s="503">
        <v>1600</v>
      </c>
      <c r="C224" s="1673"/>
      <c r="D224" s="1573">
        <v>5</v>
      </c>
      <c r="E224" s="1673"/>
      <c r="F224" s="1673"/>
      <c r="G224" s="1673"/>
      <c r="H224" s="1673"/>
      <c r="I224" s="1673"/>
      <c r="J224" s="1673"/>
      <c r="K224" s="1672">
        <f t="shared" si="19"/>
        <v>5</v>
      </c>
      <c r="L224" s="1573">
        <v>167</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958</v>
      </c>
      <c r="E226" s="1673"/>
      <c r="F226" s="1673"/>
      <c r="G226" s="1673"/>
      <c r="H226" s="1673"/>
      <c r="I226" s="1673"/>
      <c r="J226" s="1673"/>
      <c r="K226" s="1672">
        <f t="shared" si="19"/>
        <v>958</v>
      </c>
      <c r="L226" s="1573">
        <v>1876</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167091</v>
      </c>
      <c r="E229" s="1673"/>
      <c r="F229" s="1673"/>
      <c r="G229" s="1673"/>
      <c r="H229" s="1673"/>
      <c r="I229" s="1673"/>
      <c r="J229" s="1673"/>
      <c r="K229" s="1674">
        <f>SUM(K215:K228)</f>
        <v>167091</v>
      </c>
      <c r="L229" s="1674">
        <f>SUM(L215:L228)</f>
        <v>166762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2001</v>
      </c>
      <c r="E232" s="1673"/>
      <c r="F232" s="1673"/>
      <c r="G232" s="1673"/>
      <c r="H232" s="1673"/>
      <c r="I232" s="1673"/>
      <c r="J232" s="1673"/>
      <c r="K232" s="1672">
        <f t="shared" ref="K232:K237" si="20">D232</f>
        <v>2001</v>
      </c>
      <c r="L232" s="1573">
        <v>2993</v>
      </c>
    </row>
    <row r="233" spans="1:12" x14ac:dyDescent="0.2">
      <c r="A233" s="1274" t="s">
        <v>1081</v>
      </c>
      <c r="B233" s="503">
        <v>2120</v>
      </c>
      <c r="C233" s="1673"/>
      <c r="D233" s="1573">
        <v>4276</v>
      </c>
      <c r="E233" s="1673"/>
      <c r="F233" s="1673"/>
      <c r="G233" s="1673"/>
      <c r="H233" s="1673"/>
      <c r="I233" s="1673"/>
      <c r="J233" s="1673"/>
      <c r="K233" s="1672">
        <f t="shared" si="20"/>
        <v>4276</v>
      </c>
      <c r="L233" s="1573">
        <v>4793</v>
      </c>
    </row>
    <row r="234" spans="1:12" x14ac:dyDescent="0.2">
      <c r="A234" s="1274" t="s">
        <v>196</v>
      </c>
      <c r="B234" s="503">
        <v>2130</v>
      </c>
      <c r="C234" s="1673"/>
      <c r="D234" s="1573">
        <v>21190</v>
      </c>
      <c r="E234" s="1673"/>
      <c r="F234" s="1673"/>
      <c r="G234" s="1673"/>
      <c r="H234" s="1673"/>
      <c r="I234" s="1673"/>
      <c r="J234" s="1673"/>
      <c r="K234" s="1672">
        <f t="shared" si="20"/>
        <v>21190</v>
      </c>
      <c r="L234" s="1573">
        <v>21958</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27467</v>
      </c>
      <c r="E238" s="1673"/>
      <c r="F238" s="1673"/>
      <c r="G238" s="1673"/>
      <c r="H238" s="1673"/>
      <c r="I238" s="1673"/>
      <c r="J238" s="1673"/>
      <c r="K238" s="1674">
        <f>SUM(K232:K237)</f>
        <v>27467</v>
      </c>
      <c r="L238" s="1674">
        <f>SUM(L232:L237)</f>
        <v>29744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9015</v>
      </c>
      <c r="E240" s="1673"/>
      <c r="F240" s="1673"/>
      <c r="G240" s="1673"/>
      <c r="H240" s="1673"/>
      <c r="I240" s="1673"/>
      <c r="J240" s="1673"/>
      <c r="K240" s="1678">
        <f>D240</f>
        <v>9015</v>
      </c>
      <c r="L240" s="1586">
        <v>9628</v>
      </c>
    </row>
    <row r="241" spans="1:12" x14ac:dyDescent="0.2">
      <c r="A241" s="1274" t="s">
        <v>810</v>
      </c>
      <c r="B241" s="503">
        <v>2220</v>
      </c>
      <c r="C241" s="1673"/>
      <c r="D241" s="1573">
        <v>23814</v>
      </c>
      <c r="E241" s="1673"/>
      <c r="F241" s="1673"/>
      <c r="G241" s="1673"/>
      <c r="H241" s="1673"/>
      <c r="I241" s="1673"/>
      <c r="J241" s="1673"/>
      <c r="K241" s="1678">
        <f>D241</f>
        <v>23814</v>
      </c>
      <c r="L241" s="1573">
        <v>26858</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32829</v>
      </c>
      <c r="E243" s="1673"/>
      <c r="F243" s="1673"/>
      <c r="G243" s="1673"/>
      <c r="H243" s="1673"/>
      <c r="I243" s="1673"/>
      <c r="J243" s="1673"/>
      <c r="K243" s="1674">
        <f>SUM(K240:K242)</f>
        <v>32829</v>
      </c>
      <c r="L243" s="1674">
        <f>SUM(L240:L242)</f>
        <v>36486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401</v>
      </c>
      <c r="E245" s="1673"/>
      <c r="F245" s="1673"/>
      <c r="G245" s="1673"/>
      <c r="H245" s="1673"/>
      <c r="I245" s="1673"/>
      <c r="J245" s="1673"/>
      <c r="K245" s="1678">
        <f>D245</f>
        <v>401</v>
      </c>
      <c r="L245" s="1586">
        <v>413</v>
      </c>
    </row>
    <row r="246" spans="1:12" x14ac:dyDescent="0.2">
      <c r="A246" s="1274" t="s">
        <v>813</v>
      </c>
      <c r="B246" s="503">
        <v>2320</v>
      </c>
      <c r="C246" s="1673"/>
      <c r="D246" s="1573">
        <v>2063</v>
      </c>
      <c r="E246" s="1673"/>
      <c r="F246" s="1673"/>
      <c r="G246" s="1673"/>
      <c r="H246" s="1673"/>
      <c r="I246" s="1673"/>
      <c r="J246" s="1673"/>
      <c r="K246" s="1678">
        <f t="shared" ref="K246:K256" si="21">D246</f>
        <v>2063</v>
      </c>
      <c r="L246" s="1573">
        <v>2954</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530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843</v>
      </c>
      <c r="E254" s="1673"/>
      <c r="F254" s="1673"/>
      <c r="G254" s="1673"/>
      <c r="H254" s="1673"/>
      <c r="I254" s="1673"/>
      <c r="J254" s="1673"/>
      <c r="K254" s="1678">
        <f t="shared" si="21"/>
        <v>843</v>
      </c>
      <c r="L254" s="1573">
        <v>892</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3307</v>
      </c>
      <c r="E257" s="1673"/>
      <c r="F257" s="1673"/>
      <c r="G257" s="1673"/>
      <c r="H257" s="1673"/>
      <c r="I257" s="1673"/>
      <c r="J257" s="1673"/>
      <c r="K257" s="1674">
        <f>SUM(K245:K256)</f>
        <v>3307</v>
      </c>
      <c r="L257" s="1674">
        <f>SUM(L245:L256)</f>
        <v>4789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66625</v>
      </c>
      <c r="E259" s="1673"/>
      <c r="F259" s="1673"/>
      <c r="G259" s="1673"/>
      <c r="H259" s="1673"/>
      <c r="I259" s="1673"/>
      <c r="J259" s="1673"/>
      <c r="K259" s="1678">
        <f>D259</f>
        <v>66625</v>
      </c>
      <c r="L259" s="1586">
        <v>74117</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66625</v>
      </c>
      <c r="E261" s="1673"/>
      <c r="F261" s="1673"/>
      <c r="G261" s="1673"/>
      <c r="H261" s="1673"/>
      <c r="I261" s="1673"/>
      <c r="J261" s="1673"/>
      <c r="K261" s="1674">
        <f>SUM(K259:K260)</f>
        <v>66625</v>
      </c>
      <c r="L261" s="1674">
        <f>SUM(L259:L260)</f>
        <v>74117</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32338</v>
      </c>
      <c r="E264" s="1673"/>
      <c r="F264" s="1673"/>
      <c r="G264" s="1673"/>
      <c r="H264" s="1673"/>
      <c r="I264" s="1673"/>
      <c r="J264" s="1673"/>
      <c r="K264" s="1678">
        <f t="shared" ref="K264:K269" si="22">D264</f>
        <v>32338</v>
      </c>
      <c r="L264" s="1573">
        <v>41675</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159289</v>
      </c>
      <c r="E266" s="1673"/>
      <c r="F266" s="1673"/>
      <c r="G266" s="1673"/>
      <c r="H266" s="1673"/>
      <c r="I266" s="1673"/>
      <c r="J266" s="1673"/>
      <c r="K266" s="1678">
        <f t="shared" si="22"/>
        <v>159289</v>
      </c>
      <c r="L266" s="1573">
        <v>167975</v>
      </c>
    </row>
    <row r="267" spans="1:14" x14ac:dyDescent="0.2">
      <c r="A267" s="1274" t="s">
        <v>947</v>
      </c>
      <c r="B267" s="503">
        <v>2550</v>
      </c>
      <c r="C267" s="1673"/>
      <c r="D267" s="1573">
        <v>3140</v>
      </c>
      <c r="E267" s="1673"/>
      <c r="F267" s="1673"/>
      <c r="G267" s="1673"/>
      <c r="H267" s="1673"/>
      <c r="I267" s="1673"/>
      <c r="J267" s="1673"/>
      <c r="K267" s="1678">
        <f t="shared" si="22"/>
        <v>3140</v>
      </c>
      <c r="L267" s="1573">
        <v>1664</v>
      </c>
    </row>
    <row r="268" spans="1:14" x14ac:dyDescent="0.2">
      <c r="A268" s="1274" t="s">
        <v>100</v>
      </c>
      <c r="B268" s="503">
        <v>2560</v>
      </c>
      <c r="C268" s="1673"/>
      <c r="D268" s="1573">
        <v>76441</v>
      </c>
      <c r="E268" s="1673"/>
      <c r="F268" s="1673"/>
      <c r="G268" s="1673"/>
      <c r="H268" s="1673"/>
      <c r="I268" s="1673"/>
      <c r="J268" s="1673"/>
      <c r="K268" s="1678">
        <f t="shared" si="22"/>
        <v>76441</v>
      </c>
      <c r="L268" s="1573">
        <v>79640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271208</v>
      </c>
      <c r="E270" s="1673"/>
      <c r="F270" s="1673"/>
      <c r="G270" s="1673"/>
      <c r="H270" s="1673"/>
      <c r="I270" s="1673"/>
      <c r="J270" s="1673"/>
      <c r="K270" s="1674">
        <f>SUM(K263:K269)</f>
        <v>271208</v>
      </c>
      <c r="L270" s="1674">
        <f>SUM(L263:L269)</f>
        <v>290954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949</v>
      </c>
      <c r="E278" s="1673"/>
      <c r="F278" s="1673"/>
      <c r="G278" s="1673"/>
      <c r="H278" s="1673"/>
      <c r="I278" s="1673"/>
      <c r="J278" s="1673"/>
      <c r="K278" s="1696">
        <f>D278</f>
        <v>949</v>
      </c>
      <c r="L278" s="1695">
        <v>1667</v>
      </c>
    </row>
    <row r="279" spans="1:12" ht="12.75" customHeight="1" thickBot="1" x14ac:dyDescent="0.25">
      <c r="A279" s="1400" t="s">
        <v>806</v>
      </c>
      <c r="B279" s="1387">
        <v>2000</v>
      </c>
      <c r="C279" s="1673"/>
      <c r="D279" s="1681">
        <f>SUM(D238,D243,D257,D261,D270,D277,D278)</f>
        <v>402385</v>
      </c>
      <c r="E279" s="1673"/>
      <c r="F279" s="1673"/>
      <c r="G279" s="1673"/>
      <c r="H279" s="1673"/>
      <c r="I279" s="1673"/>
      <c r="J279" s="1673"/>
      <c r="K279" s="1681">
        <f>SUM(K238,K243,K257,K261,K270,K277,K278)</f>
        <v>402385</v>
      </c>
      <c r="L279" s="1681">
        <f>SUM(L238,L243,L257,L261,L270,L277,L278)</f>
        <v>437757</v>
      </c>
    </row>
    <row r="280" spans="1:12" ht="15.75" customHeight="1" thickTop="1" thickBot="1" x14ac:dyDescent="0.25">
      <c r="A280" s="1362" t="s">
        <v>870</v>
      </c>
      <c r="B280" s="1351">
        <v>3000</v>
      </c>
      <c r="C280" s="1673"/>
      <c r="D280" s="1651">
        <v>14817</v>
      </c>
      <c r="E280" s="1673"/>
      <c r="F280" s="1673"/>
      <c r="G280" s="1673"/>
      <c r="H280" s="1673"/>
      <c r="I280" s="1673"/>
      <c r="J280" s="1673"/>
      <c r="K280" s="1687">
        <f>D280</f>
        <v>14817</v>
      </c>
      <c r="L280" s="1651">
        <v>14821</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43436</v>
      </c>
      <c r="E283" s="1673"/>
      <c r="F283" s="1673"/>
      <c r="G283" s="1673"/>
      <c r="H283" s="1673"/>
      <c r="I283" s="1673"/>
      <c r="J283" s="1673"/>
      <c r="K283" s="1672">
        <f>D283</f>
        <v>43436</v>
      </c>
      <c r="L283" s="1573">
        <v>40683</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43436</v>
      </c>
      <c r="E285" s="1673"/>
      <c r="F285" s="1673"/>
      <c r="G285" s="1673"/>
      <c r="H285" s="1673"/>
      <c r="I285" s="1673"/>
      <c r="J285" s="1673"/>
      <c r="K285" s="1674">
        <f>SUM(K282:K284)</f>
        <v>43436</v>
      </c>
      <c r="L285" s="1674">
        <f>SUM(L282:L284)</f>
        <v>40683</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99" t="s">
        <v>502</v>
      </c>
      <c r="B295" s="2400"/>
      <c r="C295" s="1673"/>
      <c r="D295" s="1674">
        <f>SUM(D229,D279,D280,D285)</f>
        <v>627729</v>
      </c>
      <c r="E295" s="1673"/>
      <c r="F295" s="1673"/>
      <c r="G295" s="1673"/>
      <c r="H295" s="1674">
        <f>H293</f>
        <v>0</v>
      </c>
      <c r="I295" s="1673"/>
      <c r="J295" s="1673"/>
      <c r="K295" s="1674">
        <f>SUM(K229,K279,K280,K285,K293,K294)</f>
        <v>627729</v>
      </c>
      <c r="L295" s="1674">
        <f>SUM(L229,L279,L280,L285,L293,L294)</f>
        <v>660023</v>
      </c>
    </row>
    <row r="296" spans="1:14" ht="13.5" thickTop="1" x14ac:dyDescent="0.2">
      <c r="A296" s="2381" t="s">
        <v>989</v>
      </c>
      <c r="B296" s="2382"/>
      <c r="C296" s="1673"/>
      <c r="D296" s="1675"/>
      <c r="E296" s="1673"/>
      <c r="F296" s="1673"/>
      <c r="G296" s="1673"/>
      <c r="H296" s="1707"/>
      <c r="I296" s="1673"/>
      <c r="J296" s="1673"/>
      <c r="K296" s="1689">
        <f>'Revenues 9-14'!G268-'Expenditures 15-22'!K295</f>
        <v>-4653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91" t="s">
        <v>142</v>
      </c>
      <c r="B298" s="238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3831</v>
      </c>
      <c r="F301" s="1573">
        <v>0</v>
      </c>
      <c r="G301" s="1573">
        <v>649950</v>
      </c>
      <c r="H301" s="1573">
        <v>0</v>
      </c>
      <c r="I301" s="1574">
        <v>0</v>
      </c>
      <c r="J301" s="1574">
        <v>0</v>
      </c>
      <c r="K301" s="1672">
        <f>SUM(C301:J301)</f>
        <v>653781</v>
      </c>
      <c r="L301" s="1574">
        <v>922000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3831</v>
      </c>
      <c r="F303" s="1681">
        <f t="shared" si="23"/>
        <v>0</v>
      </c>
      <c r="G303" s="1681">
        <f t="shared" si="23"/>
        <v>649950</v>
      </c>
      <c r="H303" s="1681">
        <f t="shared" si="23"/>
        <v>0</v>
      </c>
      <c r="I303" s="1681">
        <f t="shared" si="23"/>
        <v>0</v>
      </c>
      <c r="J303" s="1681">
        <f t="shared" si="23"/>
        <v>0</v>
      </c>
      <c r="K303" s="1681">
        <f t="shared" si="23"/>
        <v>653781</v>
      </c>
      <c r="L303" s="1681">
        <f t="shared" si="23"/>
        <v>922000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96" t="s">
        <v>275</v>
      </c>
      <c r="B312" s="2397"/>
      <c r="C312" s="1674">
        <f>SUM(C303)</f>
        <v>0</v>
      </c>
      <c r="D312" s="1674">
        <f>SUM(D303)</f>
        <v>0</v>
      </c>
      <c r="E312" s="1674">
        <f>SUM(E303,E310)</f>
        <v>3831</v>
      </c>
      <c r="F312" s="1674">
        <f>SUM(F303)</f>
        <v>0</v>
      </c>
      <c r="G312" s="1674">
        <f>SUM(G303)</f>
        <v>649950</v>
      </c>
      <c r="H312" s="1674">
        <f>SUM(H303,H310)</f>
        <v>0</v>
      </c>
      <c r="I312" s="1674">
        <f>SUM(I303)</f>
        <v>0</v>
      </c>
      <c r="J312" s="1674">
        <f>SUM(J303)</f>
        <v>0</v>
      </c>
      <c r="K312" s="1674">
        <f>SUM(K303,K310,K311)</f>
        <v>653781</v>
      </c>
      <c r="L312" s="1674">
        <f>SUM(L303,L310,L311)</f>
        <v>922000</v>
      </c>
      <c r="M312" s="539"/>
      <c r="N312" s="539"/>
    </row>
    <row r="313" spans="1:14" ht="13.5" thickTop="1" x14ac:dyDescent="0.2">
      <c r="A313" s="2392" t="s">
        <v>989</v>
      </c>
      <c r="B313" s="2393"/>
      <c r="C313" s="1677"/>
      <c r="D313" s="1677"/>
      <c r="E313" s="1677"/>
      <c r="F313" s="1677"/>
      <c r="G313" s="1677"/>
      <c r="H313" s="1677"/>
      <c r="I313" s="1677"/>
      <c r="J313" s="1677"/>
      <c r="K313" s="1696">
        <f>'Revenues 9-14'!H268-'Expenditures 15-22'!K312</f>
        <v>-484940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405" t="s">
        <v>148</v>
      </c>
      <c r="B315" s="240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407" t="s">
        <v>892</v>
      </c>
      <c r="B317" s="240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56774</v>
      </c>
      <c r="F320" s="1574">
        <v>0</v>
      </c>
      <c r="G320" s="1574">
        <v>0</v>
      </c>
      <c r="H320" s="1574">
        <v>0</v>
      </c>
      <c r="I320" s="1574">
        <v>0</v>
      </c>
      <c r="J320" s="1574">
        <v>0</v>
      </c>
      <c r="K320" s="1672">
        <f t="shared" ref="K320:K327" si="24">SUM(C320:J320)</f>
        <v>56774</v>
      </c>
      <c r="L320" s="1574">
        <v>76500</v>
      </c>
      <c r="M320" s="539"/>
      <c r="N320" s="539"/>
    </row>
    <row r="321" spans="1:14" s="548" customFormat="1" x14ac:dyDescent="0.2">
      <c r="A321" s="1289" t="s">
        <v>297</v>
      </c>
      <c r="B321" s="567" t="s">
        <v>281</v>
      </c>
      <c r="C321" s="1574">
        <v>0</v>
      </c>
      <c r="D321" s="1574">
        <v>0</v>
      </c>
      <c r="E321" s="1574">
        <v>531</v>
      </c>
      <c r="F321" s="1574">
        <v>0</v>
      </c>
      <c r="G321" s="1574">
        <v>0</v>
      </c>
      <c r="H321" s="1574">
        <v>0</v>
      </c>
      <c r="I321" s="1574">
        <v>0</v>
      </c>
      <c r="J321" s="1574">
        <v>0</v>
      </c>
      <c r="K321" s="1672">
        <f t="shared" si="24"/>
        <v>531</v>
      </c>
      <c r="L321" s="1574">
        <v>3060</v>
      </c>
      <c r="M321" s="539"/>
      <c r="N321" s="539"/>
    </row>
    <row r="322" spans="1:14" s="548" customFormat="1" x14ac:dyDescent="0.2">
      <c r="A322" s="1289" t="s">
        <v>236</v>
      </c>
      <c r="B322" s="567" t="s">
        <v>282</v>
      </c>
      <c r="C322" s="1574">
        <v>0</v>
      </c>
      <c r="D322" s="1574">
        <v>0</v>
      </c>
      <c r="E322" s="1574">
        <v>203897</v>
      </c>
      <c r="F322" s="1574">
        <v>0</v>
      </c>
      <c r="G322" s="1574">
        <v>0</v>
      </c>
      <c r="H322" s="1574">
        <v>0</v>
      </c>
      <c r="I322" s="1574">
        <v>0</v>
      </c>
      <c r="J322" s="1574">
        <v>0</v>
      </c>
      <c r="K322" s="1672">
        <f t="shared" si="24"/>
        <v>203897</v>
      </c>
      <c r="L322" s="1574">
        <v>200785</v>
      </c>
      <c r="M322" s="539"/>
      <c r="N322" s="539"/>
    </row>
    <row r="323" spans="1:14" s="548" customFormat="1" x14ac:dyDescent="0.2">
      <c r="A323" s="1289" t="s">
        <v>697</v>
      </c>
      <c r="B323" s="567" t="s">
        <v>283</v>
      </c>
      <c r="C323" s="1574">
        <v>471000</v>
      </c>
      <c r="D323" s="1574">
        <v>0</v>
      </c>
      <c r="E323" s="1574">
        <v>142057</v>
      </c>
      <c r="F323" s="1574">
        <v>0</v>
      </c>
      <c r="G323" s="1574">
        <v>0</v>
      </c>
      <c r="H323" s="1574">
        <v>0</v>
      </c>
      <c r="I323" s="1574">
        <v>5745</v>
      </c>
      <c r="J323" s="1574">
        <v>0</v>
      </c>
      <c r="K323" s="1672">
        <f t="shared" si="24"/>
        <v>618802</v>
      </c>
      <c r="L323" s="1574">
        <v>165000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5000</v>
      </c>
      <c r="D325" s="1574">
        <v>0</v>
      </c>
      <c r="E325" s="1574">
        <v>41638</v>
      </c>
      <c r="F325" s="1574">
        <v>0</v>
      </c>
      <c r="G325" s="1574">
        <v>0</v>
      </c>
      <c r="H325" s="1574">
        <v>0</v>
      </c>
      <c r="I325" s="1574">
        <v>0</v>
      </c>
      <c r="J325" s="1574">
        <v>0</v>
      </c>
      <c r="K325" s="1672">
        <f t="shared" si="24"/>
        <v>46638</v>
      </c>
      <c r="L325" s="1574">
        <v>144500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8716</v>
      </c>
      <c r="F327" s="1574">
        <v>0</v>
      </c>
      <c r="G327" s="1574">
        <v>0</v>
      </c>
      <c r="H327" s="1574">
        <v>0</v>
      </c>
      <c r="I327" s="1574">
        <v>0</v>
      </c>
      <c r="J327" s="1574">
        <v>0</v>
      </c>
      <c r="K327" s="1672">
        <f t="shared" si="24"/>
        <v>8716</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476000</v>
      </c>
      <c r="D330" s="1674">
        <f t="shared" ref="D330:J330" si="25">SUM(D319:D329)</f>
        <v>0</v>
      </c>
      <c r="E330" s="1674">
        <f t="shared" si="25"/>
        <v>453613</v>
      </c>
      <c r="F330" s="1674">
        <f t="shared" si="25"/>
        <v>0</v>
      </c>
      <c r="G330" s="1674">
        <f t="shared" si="25"/>
        <v>0</v>
      </c>
      <c r="H330" s="1674">
        <f t="shared" si="25"/>
        <v>0</v>
      </c>
      <c r="I330" s="1674">
        <f t="shared" si="25"/>
        <v>5745</v>
      </c>
      <c r="J330" s="1674">
        <f t="shared" si="25"/>
        <v>0</v>
      </c>
      <c r="K330" s="1674">
        <f>SUM(K319:K329)</f>
        <v>935358</v>
      </c>
      <c r="L330" s="1674">
        <f>SUM(L319:L329)</f>
        <v>589845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18297</v>
      </c>
      <c r="I333" s="1714"/>
      <c r="J333" s="1714"/>
      <c r="K333" s="1672">
        <f>H333</f>
        <v>18297</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18297</v>
      </c>
      <c r="I334" s="1714"/>
      <c r="J334" s="1714"/>
      <c r="K334" s="1674">
        <f>SUM(K332:K333)</f>
        <v>18297</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476000</v>
      </c>
      <c r="D342" s="1674">
        <f>SUM(D330)</f>
        <v>0</v>
      </c>
      <c r="E342" s="1674">
        <f>SUM(E330)</f>
        <v>453613</v>
      </c>
      <c r="F342" s="1674">
        <f>SUM(F330)</f>
        <v>0</v>
      </c>
      <c r="G342" s="1674">
        <f>SUM(G330)</f>
        <v>0</v>
      </c>
      <c r="H342" s="1674">
        <f>SUM(H330,H334,H340)</f>
        <v>18297</v>
      </c>
      <c r="I342" s="1674">
        <f>SUM(I330)</f>
        <v>5745</v>
      </c>
      <c r="J342" s="1674">
        <f>SUM(J330)</f>
        <v>0</v>
      </c>
      <c r="K342" s="1674">
        <f>SUM(K330,K334,K340)</f>
        <v>953655</v>
      </c>
      <c r="L342" s="1681">
        <f>SUM(L330,L334,L340,L341)</f>
        <v>589845</v>
      </c>
    </row>
    <row r="343" spans="1:14" ht="12.75" customHeight="1" thickTop="1" x14ac:dyDescent="0.2">
      <c r="A343" s="2394" t="s">
        <v>989</v>
      </c>
      <c r="B343" s="2395"/>
      <c r="C343" s="1673"/>
      <c r="D343" s="1673"/>
      <c r="E343" s="1673"/>
      <c r="F343" s="1673"/>
      <c r="G343" s="1673"/>
      <c r="H343" s="1673"/>
      <c r="I343" s="1673"/>
      <c r="J343" s="1673"/>
      <c r="K343" s="1689">
        <f>'Revenues 9-14'!J268-'Expenditures 15-22'!K342</f>
        <v>-23180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84" t="s">
        <v>960</v>
      </c>
      <c r="B345" s="238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1000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1000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1000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1000</v>
      </c>
    </row>
    <row r="368" spans="1:14" ht="13.5" thickTop="1" x14ac:dyDescent="0.2">
      <c r="A368" s="2381" t="s">
        <v>989</v>
      </c>
      <c r="B368" s="2382"/>
      <c r="C368" s="1694"/>
      <c r="D368" s="1694"/>
      <c r="E368" s="1677"/>
      <c r="F368" s="1677"/>
      <c r="G368" s="1677"/>
      <c r="H368" s="1677"/>
      <c r="I368" s="1677"/>
      <c r="J368" s="1676"/>
      <c r="K368" s="1672">
        <f>'Revenues 9-14'!K268-'Expenditures 15-22'!K367</f>
        <v>23257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openxmlformats.org/package/2006/metadata/core-properties"/>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6ce3111e-7420-4802-b50a-75d4e9a0b980"/>
    <ds:schemaRef ds:uri="d21dc803-237d-4c68-8692-8d731fd29118"/>
    <ds:schemaRef ds:uri="4d435f69-8686-490b-bd6d-b153bf22ab5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21</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 (2)</vt:lpstr>
      <vt:lpstr>SEFA NOTES</vt:lpstr>
      <vt:lpstr>SF&amp;QC Sec-1</vt:lpstr>
      <vt:lpstr>Finding 2020-001</vt:lpstr>
      <vt:lpstr>SF&amp;QC Sec-3</vt:lpstr>
      <vt:lpstr>SSPAF</vt:lpstr>
      <vt:lpstr>CAP 2020-001</vt:lpstr>
      <vt:lpstr>' SEFA'!Print_Area</vt:lpstr>
      <vt:lpstr>'SEFA NOTES'!Print_Area</vt:lpstr>
      <vt:lpstr>'SEFA NOTES (2)'!Print_Area</vt:lpstr>
      <vt:lpstr>'SEFA Reconcile'!Print_Area</vt:lpstr>
      <vt:lpstr>SEFA20!Print_Area</vt:lpstr>
      <vt:lpstr>'SF&amp;QC Sec-1'!Print_Area</vt:lpstr>
      <vt:lpstr>'SF&amp;QC Sec-3'!Print_Area</vt:lpstr>
      <vt:lpstr>'Shared Outsourced Services 31'!Print_Area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2021-01-04T18:44:37Z</cp:lastPrinted>
  <dcterms:created xsi:type="dcterms:W3CDTF">2003-10-29T19:06:34Z</dcterms:created>
  <dcterms:modified xsi:type="dcterms:W3CDTF">2021-01-15T13:34:25Z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