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5D122670-A714-425C-AA20-FBDB725F4B93}"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1" i="8" l="1"/>
  <c r="H5" i="12"/>
  <c r="B2864" i="106"/>
  <c r="D2864" i="106" s="1"/>
  <c r="B2894" i="106"/>
  <c r="D2894" i="106" s="1"/>
  <c r="B3655" i="106"/>
  <c r="D3655" i="106" s="1"/>
  <c r="B7227" i="106"/>
  <c r="D7227" i="106" s="1"/>
  <c r="B4816" i="106"/>
  <c r="D4816" i="106" s="1"/>
  <c r="B6379" i="106"/>
  <c r="D6379" i="106" s="1"/>
  <c r="B6374" i="106"/>
  <c r="D6374" i="106" s="1"/>
  <c r="B6348" i="106"/>
  <c r="D6348" i="106" s="1"/>
  <c r="B5990" i="106"/>
  <c r="D5990" i="106" s="1"/>
  <c r="B3581" i="106"/>
  <c r="D3581" i="106" s="1"/>
  <c r="B3566" i="106"/>
  <c r="D3566" i="106" s="1"/>
  <c r="B6132" i="106"/>
  <c r="L334" i="29"/>
  <c r="B7691" i="106"/>
  <c r="D7691" i="106" s="1"/>
  <c r="B7690" i="106"/>
  <c r="D7690" i="106" s="1"/>
  <c r="B7179" i="106"/>
  <c r="D7179" i="106" s="1"/>
  <c r="B7177" i="106"/>
  <c r="D7177" i="106" s="1"/>
  <c r="L330" i="29"/>
  <c r="L342" i="29" s="1"/>
  <c r="B7161" i="106"/>
  <c r="D7161" i="106" s="1"/>
  <c r="B7154" i="106"/>
  <c r="D7154" i="106" s="1"/>
  <c r="K322" i="29"/>
  <c r="B7153" i="106" s="1"/>
  <c r="D7153" i="106" s="1"/>
  <c r="B7143" i="106"/>
  <c r="D7143" i="106" s="1"/>
  <c r="B7138" i="106"/>
  <c r="D7138" i="106" s="1"/>
  <c r="B7129" i="106"/>
  <c r="D7129" i="106" s="1"/>
  <c r="B7122" i="106"/>
  <c r="D7122" i="106" s="1"/>
  <c r="F330" i="29"/>
  <c r="B7202" i="106" s="1"/>
  <c r="D7202" i="106" s="1"/>
  <c r="B6378" i="106"/>
  <c r="D6378" i="106" s="1"/>
  <c r="B6347" i="106"/>
  <c r="D6347" i="106" s="1"/>
  <c r="J108" i="5"/>
  <c r="B6351" i="106" s="1"/>
  <c r="D6351" i="106" s="1"/>
  <c r="B6304" i="106"/>
  <c r="D6304" i="106" s="1"/>
  <c r="B6237" i="106"/>
  <c r="D6237" i="106" s="1"/>
  <c r="B6214" i="106"/>
  <c r="D6214" i="106" s="1"/>
  <c r="B6131" i="106"/>
  <c r="D6131" i="106" s="1"/>
  <c r="I108" i="5"/>
  <c r="B5930" i="106" s="1"/>
  <c r="D5930" i="106" s="1"/>
  <c r="B5920" i="106"/>
  <c r="D5920" i="106" s="1"/>
  <c r="B2772" i="106"/>
  <c r="D2772" i="106" s="1"/>
  <c r="B2911" i="106"/>
  <c r="D2911" i="106" s="1"/>
  <c r="B6119" i="106"/>
  <c r="D6119" i="106" s="1"/>
  <c r="B7111" i="106"/>
  <c r="D7111" i="106" s="1"/>
  <c r="B6806" i="106"/>
  <c r="D6806" i="106" s="1"/>
  <c r="B6750" i="106"/>
  <c r="D6750" i="106" s="1"/>
  <c r="B6742" i="106"/>
  <c r="D6742" i="106" s="1"/>
  <c r="B6679" i="106"/>
  <c r="D6679" i="106" s="1"/>
  <c r="H252" i="5"/>
  <c r="B4814" i="106"/>
  <c r="D4814" i="106" s="1"/>
  <c r="H181" i="5"/>
  <c r="B5908" i="106" s="1"/>
  <c r="D5908" i="106" s="1"/>
  <c r="B6393" i="106"/>
  <c r="D6393" i="106" s="1"/>
  <c r="B4920" i="106"/>
  <c r="D4920" i="106" s="1"/>
  <c r="B5885" i="106"/>
  <c r="D5885" i="106" s="1"/>
  <c r="B5882" i="106"/>
  <c r="D5882" i="106" s="1"/>
  <c r="B6299" i="106"/>
  <c r="D6299" i="106" s="1"/>
  <c r="B3493" i="106"/>
  <c r="D3493" i="106" s="1"/>
  <c r="B7753" i="106"/>
  <c r="D7753" i="106" s="1"/>
  <c r="B6147" i="106"/>
  <c r="D6147" i="106" s="1"/>
  <c r="B3519" i="106"/>
  <c r="D3519" i="106" s="1"/>
  <c r="L293" i="29"/>
  <c r="L270" i="29"/>
  <c r="L261" i="29"/>
  <c r="L257" i="29"/>
  <c r="L238" i="29"/>
  <c r="B1407" i="106"/>
  <c r="D1407" i="106" s="1"/>
  <c r="L229" i="29"/>
  <c r="B4421" i="106"/>
  <c r="D4421" i="106" s="1"/>
  <c r="B5860" i="106"/>
  <c r="D5860" i="106" s="1"/>
  <c r="B6813" i="106"/>
  <c r="D6813" i="106" s="1"/>
  <c r="B6749" i="106"/>
  <c r="D6749" i="106" s="1"/>
  <c r="B6741" i="106"/>
  <c r="D6741" i="106" s="1"/>
  <c r="B6678" i="106"/>
  <c r="D6678" i="106" s="1"/>
  <c r="B5821" i="106"/>
  <c r="D5821" i="106" s="1"/>
  <c r="B5791" i="106"/>
  <c r="D5791" i="106" s="1"/>
  <c r="B6402" i="106"/>
  <c r="D6402" i="106" s="1"/>
  <c r="B5779" i="106"/>
  <c r="D5779" i="106" s="1"/>
  <c r="B4796" i="106"/>
  <c r="D4796" i="106" s="1"/>
  <c r="B6381" i="106"/>
  <c r="D6381" i="106" s="1"/>
  <c r="B6367" i="106"/>
  <c r="D6367" i="106" s="1"/>
  <c r="B5743" i="106"/>
  <c r="D5743" i="106" s="1"/>
  <c r="B5742" i="106"/>
  <c r="D5742" i="106" s="1"/>
  <c r="B6344" i="106"/>
  <c r="D6344" i="106" s="1"/>
  <c r="B5728" i="106"/>
  <c r="D5728" i="106" s="1"/>
  <c r="B5727" i="106"/>
  <c r="D5727" i="106" s="1"/>
  <c r="B2614" i="106"/>
  <c r="D2614" i="106" s="1"/>
  <c r="B3492" i="106"/>
  <c r="D3492" i="106" s="1"/>
  <c r="B6146" i="106"/>
  <c r="D6146" i="106" s="1"/>
  <c r="B177" i="106"/>
  <c r="D177" i="106" s="1"/>
  <c r="L204" i="29"/>
  <c r="L208" i="29" s="1"/>
  <c r="H204" i="29"/>
  <c r="B2994" i="106"/>
  <c r="D2994" i="106" s="1"/>
  <c r="B2991" i="106"/>
  <c r="D2991" i="106" s="1"/>
  <c r="L194" i="29"/>
  <c r="L196" i="29" s="1"/>
  <c r="B2820" i="106"/>
  <c r="D2820" i="106" s="1"/>
  <c r="B1338" i="106"/>
  <c r="D1338" i="106" s="1"/>
  <c r="L184" i="29"/>
  <c r="L210" i="29" s="1"/>
  <c r="B1347" i="106"/>
  <c r="D1347" i="106" s="1"/>
  <c r="B7811" i="106"/>
  <c r="D7811" i="106" s="1"/>
  <c r="B6828" i="106"/>
  <c r="D6828" i="106" s="1"/>
  <c r="B6820" i="106"/>
  <c r="D6820" i="106" s="1"/>
  <c r="B6764" i="106"/>
  <c r="D6764" i="106" s="1"/>
  <c r="B6756" i="106"/>
  <c r="D6756" i="106" s="1"/>
  <c r="B6699" i="106"/>
  <c r="D6699" i="106" s="1"/>
  <c r="B6692" i="106"/>
  <c r="D6692" i="106" s="1"/>
  <c r="B6637" i="106"/>
  <c r="D6637" i="106" s="1"/>
  <c r="F252" i="5"/>
  <c r="B6836" i="106" s="1"/>
  <c r="D6836" i="106" s="1"/>
  <c r="B5691" i="106"/>
  <c r="D5691" i="106" s="1"/>
  <c r="F204" i="5"/>
  <c r="B5677" i="106" s="1"/>
  <c r="D5677" i="106" s="1"/>
  <c r="B4393" i="106"/>
  <c r="D4393" i="106" s="1"/>
  <c r="F175" i="5"/>
  <c r="B5655" i="106" s="1"/>
  <c r="D5655" i="106" s="1"/>
  <c r="B5619" i="106"/>
  <c r="D5619" i="106" s="1"/>
  <c r="B5604" i="106"/>
  <c r="D5604" i="106" s="1"/>
  <c r="B5593" i="106"/>
  <c r="D5593" i="106" s="1"/>
  <c r="B5591" i="106"/>
  <c r="D5591" i="106" s="1"/>
  <c r="B6333" i="106"/>
  <c r="D6333" i="106" s="1"/>
  <c r="B5585" i="106"/>
  <c r="D5585" i="106" s="1"/>
  <c r="B5578" i="106"/>
  <c r="D5578" i="106" s="1"/>
  <c r="B5577" i="106"/>
  <c r="D5577" i="106" s="1"/>
  <c r="B5572" i="106"/>
  <c r="D5572" i="106" s="1"/>
  <c r="B5571" i="106"/>
  <c r="D5571" i="106" s="1"/>
  <c r="B5566" i="106"/>
  <c r="D5566" i="106" s="1"/>
  <c r="B5024" i="106"/>
  <c r="D5024" i="106" s="1"/>
  <c r="B3251" i="106"/>
  <c r="D3251" i="106" s="1"/>
  <c r="B6163" i="106"/>
  <c r="D6163" i="106" s="1"/>
  <c r="B6102" i="106"/>
  <c r="D6102" i="106" s="1"/>
  <c r="B1316" i="106"/>
  <c r="D1316" i="106" s="1"/>
  <c r="L160" i="29"/>
  <c r="L168" i="29"/>
  <c r="L172" i="29" s="1"/>
  <c r="L174" i="29" s="1"/>
  <c r="F145" i="34"/>
  <c r="E169" i="5"/>
  <c r="B5537" i="106" s="1"/>
  <c r="D5537" i="106" s="1"/>
  <c r="B6342" i="106"/>
  <c r="D6342" i="106" s="1"/>
  <c r="B5517" i="106"/>
  <c r="D5517" i="106" s="1"/>
  <c r="B3275" i="106"/>
  <c r="D3275" i="106" s="1"/>
  <c r="B3490" i="106"/>
  <c r="D3490" i="106" s="1"/>
  <c r="I47" i="4"/>
  <c r="B2105" i="106" s="1"/>
  <c r="D2105" i="106" s="1"/>
  <c r="B130" i="106"/>
  <c r="D130" i="106" s="1"/>
  <c r="B6101" i="106"/>
  <c r="D6101" i="106" s="1"/>
  <c r="L139" i="29"/>
  <c r="B7040" i="106"/>
  <c r="D7040" i="106" s="1"/>
  <c r="B7036" i="106"/>
  <c r="D7036" i="106" s="1"/>
  <c r="B3484" i="106"/>
  <c r="D3484" i="106" s="1"/>
  <c r="B1237" i="106"/>
  <c r="D1237" i="106" s="1"/>
  <c r="B1244" i="106"/>
  <c r="D1244" i="106" s="1"/>
  <c r="B4079" i="106"/>
  <c r="D4079" i="106" s="1"/>
  <c r="F170" i="34"/>
  <c r="B7875" i="106" s="1"/>
  <c r="D7875" i="106" s="1"/>
  <c r="B4359" i="106"/>
  <c r="D4359" i="106" s="1"/>
  <c r="F150" i="34"/>
  <c r="B6697" i="106"/>
  <c r="D6697" i="106" s="1"/>
  <c r="F138" i="34"/>
  <c r="D252" i="5"/>
  <c r="B5485" i="106"/>
  <c r="D5485" i="106" s="1"/>
  <c r="D217" i="5"/>
  <c r="B5470" i="106" s="1"/>
  <c r="D5470" i="106" s="1"/>
  <c r="B4408" i="106"/>
  <c r="D4408" i="106" s="1"/>
  <c r="B4376" i="106"/>
  <c r="D4376" i="106" s="1"/>
  <c r="B4327" i="106"/>
  <c r="D4327" i="106" s="1"/>
  <c r="D155" i="5"/>
  <c r="B5394" i="106" s="1"/>
  <c r="D5394" i="106" s="1"/>
  <c r="B6360" i="106"/>
  <c r="D6360" i="106" s="1"/>
  <c r="B5362" i="106"/>
  <c r="D5362" i="106" s="1"/>
  <c r="B6341" i="106"/>
  <c r="D6341" i="106" s="1"/>
  <c r="B5346" i="106"/>
  <c r="D5346" i="106" s="1"/>
  <c r="B5336" i="106"/>
  <c r="D5336" i="106" s="1"/>
  <c r="B2575" i="106"/>
  <c r="D2575" i="106" s="1"/>
  <c r="B3236" i="106"/>
  <c r="D3236" i="106" s="1"/>
  <c r="B7678" i="106"/>
  <c r="D7678" i="106" s="1"/>
  <c r="B7664" i="106"/>
  <c r="D7664" i="106" s="1"/>
  <c r="B5023" i="106"/>
  <c r="D5023" i="106" s="1"/>
  <c r="B3234" i="106"/>
  <c r="D3234" i="106" s="1"/>
  <c r="B3161" i="106"/>
  <c r="D3161" i="106" s="1"/>
  <c r="D72" i="36"/>
  <c r="B6170" i="106"/>
  <c r="D6170" i="106" s="1"/>
  <c r="B104" i="106"/>
  <c r="D104" i="106" s="1"/>
  <c r="B6100" i="106"/>
  <c r="D6100" i="106" s="1"/>
  <c r="L110" i="29"/>
  <c r="L112" i="29" s="1"/>
  <c r="K105" i="29"/>
  <c r="B1146" i="106" s="1"/>
  <c r="D1146" i="106" s="1"/>
  <c r="L100" i="29"/>
  <c r="B6985" i="106"/>
  <c r="D6985" i="106" s="1"/>
  <c r="L92" i="29"/>
  <c r="L84" i="29"/>
  <c r="L102" i="29" s="1"/>
  <c r="B930" i="106"/>
  <c r="D930" i="106" s="1"/>
  <c r="B986" i="106"/>
  <c r="D986" i="106" s="1"/>
  <c r="B6970" i="106"/>
  <c r="D6970" i="106" s="1"/>
  <c r="B6968" i="106"/>
  <c r="D6968" i="106" s="1"/>
  <c r="L72" i="29"/>
  <c r="B805" i="106"/>
  <c r="D805" i="106" s="1"/>
  <c r="B746" i="106"/>
  <c r="D746" i="106" s="1"/>
  <c r="B917" i="106"/>
  <c r="D917" i="106" s="1"/>
  <c r="B916" i="106"/>
  <c r="D916" i="106" s="1"/>
  <c r="B1031" i="106"/>
  <c r="D1031" i="106" s="1"/>
  <c r="B6953" i="106"/>
  <c r="D6953" i="106" s="1"/>
  <c r="L65" i="29"/>
  <c r="D65" i="29"/>
  <c r="B803" i="106" s="1"/>
  <c r="D803" i="106" s="1"/>
  <c r="B736" i="106"/>
  <c r="D736" i="106" s="1"/>
  <c r="B793" i="106"/>
  <c r="D793" i="106" s="1"/>
  <c r="L57" i="29"/>
  <c r="B6934" i="106"/>
  <c r="D6934" i="106" s="1"/>
  <c r="B6922" i="106"/>
  <c r="D6922" i="106" s="1"/>
  <c r="L47" i="29"/>
  <c r="B842" i="106"/>
  <c r="D842" i="106" s="1"/>
  <c r="B841" i="106"/>
  <c r="D841" i="106" s="1"/>
  <c r="B956" i="106"/>
  <c r="D956" i="106" s="1"/>
  <c r="B6906" i="106"/>
  <c r="D6906" i="106" s="1"/>
  <c r="B3371" i="106"/>
  <c r="D3371" i="106" s="1"/>
  <c r="B828" i="106"/>
  <c r="D828" i="106" s="1"/>
  <c r="B7268" i="106"/>
  <c r="D7268" i="106" s="1"/>
  <c r="K17" i="29"/>
  <c r="B6871" i="106" s="1"/>
  <c r="D6871" i="106" s="1"/>
  <c r="B996" i="106"/>
  <c r="D996" i="106" s="1"/>
  <c r="B1009" i="106"/>
  <c r="D1009" i="106" s="1"/>
  <c r="B6863" i="106"/>
  <c r="D6863" i="106" s="1"/>
  <c r="B6862" i="106"/>
  <c r="D6862" i="106" s="1"/>
  <c r="B717" i="106"/>
  <c r="D717" i="106" s="1"/>
  <c r="B774" i="106"/>
  <c r="D774" i="106" s="1"/>
  <c r="B7258" i="106"/>
  <c r="D7258" i="106" s="1"/>
  <c r="B3057" i="106"/>
  <c r="D3057" i="106" s="1"/>
  <c r="B3056" i="106"/>
  <c r="D3056" i="106" s="1"/>
  <c r="B7255" i="106"/>
  <c r="D7255" i="106" s="1"/>
  <c r="B3374" i="106"/>
  <c r="D3374" i="106" s="1"/>
  <c r="H33" i="29"/>
  <c r="B1010" i="106" s="1"/>
  <c r="D1010" i="106" s="1"/>
  <c r="L33" i="29"/>
  <c r="B763" i="106"/>
  <c r="D763" i="106" s="1"/>
  <c r="B6753" i="106"/>
  <c r="D6753" i="106" s="1"/>
  <c r="B6745" i="106"/>
  <c r="D6745" i="106" s="1"/>
  <c r="B6694" i="106"/>
  <c r="D6694" i="106" s="1"/>
  <c r="B4332" i="106"/>
  <c r="D4332" i="106" s="1"/>
  <c r="B5241" i="106"/>
  <c r="D5241" i="106" s="1"/>
  <c r="B4805" i="106"/>
  <c r="D4805" i="106" s="1"/>
  <c r="B4801" i="106"/>
  <c r="D4801" i="106" s="1"/>
  <c r="B4317" i="106"/>
  <c r="D4317" i="106" s="1"/>
  <c r="B5177" i="106"/>
  <c r="D5177" i="106" s="1"/>
  <c r="B5163" i="106"/>
  <c r="D5163" i="106" s="1"/>
  <c r="B4227" i="106"/>
  <c r="D4227" i="106" s="1"/>
  <c r="B4309" i="106"/>
  <c r="D4309" i="106" s="1"/>
  <c r="B7801" i="106"/>
  <c r="D7801" i="106" s="1"/>
  <c r="B5127" i="106"/>
  <c r="D5127" i="106" s="1"/>
  <c r="B5117" i="106"/>
  <c r="D5117" i="106" s="1"/>
  <c r="B5114" i="106"/>
  <c r="D5114" i="106" s="1"/>
  <c r="B5105" i="106"/>
  <c r="D5105" i="106" s="1"/>
  <c r="B5095" i="106"/>
  <c r="D5095" i="106" s="1"/>
  <c r="B6311" i="106"/>
  <c r="D6311" i="106" s="1"/>
  <c r="B5086" i="106"/>
  <c r="D5086" i="106" s="1"/>
  <c r="B6309" i="106"/>
  <c r="D6309" i="106" s="1"/>
  <c r="B5080" i="106"/>
  <c r="D5080" i="106" s="1"/>
  <c r="B6307" i="106"/>
  <c r="D6307" i="106" s="1"/>
  <c r="B5074" i="106"/>
  <c r="D5074" i="106" s="1"/>
  <c r="B5065" i="106"/>
  <c r="D5065" i="106" s="1"/>
  <c r="B7685" i="106"/>
  <c r="D7685" i="106" s="1"/>
  <c r="H41" i="4"/>
  <c r="B6289" i="106" s="1"/>
  <c r="D6289" i="106" s="1"/>
  <c r="B7673" i="106"/>
  <c r="D7673" i="106" s="1"/>
  <c r="B7657" i="106"/>
  <c r="D7657" i="106" s="1"/>
  <c r="B3530" i="106"/>
  <c r="D3530" i="106" s="1"/>
  <c r="B6142" i="106"/>
  <c r="D6142" i="106" s="1"/>
  <c r="B6081" i="106"/>
  <c r="D6081" i="106" s="1"/>
  <c r="B65" i="106"/>
  <c r="D65" i="106" s="1"/>
  <c r="J7" i="184"/>
  <c r="L53" i="184" s="1"/>
  <c r="J6" i="184"/>
  <c r="L52" i="184" s="1"/>
  <c r="M68" i="184"/>
  <c r="L68" i="184"/>
  <c r="K68" i="184"/>
  <c r="G16" i="184"/>
  <c r="J68" i="184"/>
  <c r="G15" i="184"/>
  <c r="I68" i="184"/>
  <c r="G14" i="184"/>
  <c r="H68" i="184"/>
  <c r="G13" i="184"/>
  <c r="G68" i="184"/>
  <c r="G12" i="184"/>
  <c r="K19" i="184"/>
  <c r="J19" i="184"/>
  <c r="I19" i="184"/>
  <c r="L18" i="184"/>
  <c r="H18" i="184"/>
  <c r="L17" i="184"/>
  <c r="G17" i="184"/>
  <c r="L16" i="184"/>
  <c r="L15" i="184"/>
  <c r="L14" i="184"/>
  <c r="L13" i="184"/>
  <c r="L12" i="184"/>
  <c r="L19" i="184"/>
  <c r="D84" i="36"/>
  <c r="G19" i="184"/>
  <c r="F145" i="183"/>
  <c r="F144" i="183"/>
  <c r="F143" i="183"/>
  <c r="F142" i="183"/>
  <c r="F141" i="183"/>
  <c r="F140" i="183"/>
  <c r="F139" i="183"/>
  <c r="F138" i="183"/>
  <c r="F137" i="183"/>
  <c r="F136" i="183"/>
  <c r="F135" i="183"/>
  <c r="F134" i="183"/>
  <c r="F133" i="183"/>
  <c r="F132"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5" i="183"/>
  <c r="E144" i="183"/>
  <c r="E143" i="183"/>
  <c r="E142" i="183"/>
  <c r="E141" i="183"/>
  <c r="E140" i="183"/>
  <c r="E139" i="183"/>
  <c r="E138" i="183"/>
  <c r="E137" i="183"/>
  <c r="E136" i="183"/>
  <c r="E135" i="183"/>
  <c r="E134" i="183"/>
  <c r="E133" i="183"/>
  <c r="E132"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c r="E17" i="183"/>
  <c r="F17" i="183"/>
  <c r="B7885" i="106"/>
  <c r="D7885" i="106" s="1"/>
  <c r="B7884" i="106"/>
  <c r="D7884" i="106" s="1"/>
  <c r="B7883" i="106"/>
  <c r="D7883" i="106"/>
  <c r="B7882" i="106"/>
  <c r="D7882" i="106" s="1"/>
  <c r="B11" i="7"/>
  <c r="D7836" i="106"/>
  <c r="J88" i="28"/>
  <c r="J85" i="28"/>
  <c r="J90" i="28"/>
  <c r="B7819" i="106"/>
  <c r="D7819" i="106"/>
  <c r="B7818" i="106"/>
  <c r="D7818" i="106"/>
  <c r="D146" i="183"/>
  <c r="A15" i="183"/>
  <c r="D82" i="36"/>
  <c r="F146" i="183"/>
  <c r="E146" i="183"/>
  <c r="D81" i="36"/>
  <c r="E40" i="108"/>
  <c r="B7820" i="106"/>
  <c r="D7820" i="106"/>
  <c r="G40" i="108"/>
  <c r="B7821" i="106"/>
  <c r="D7821" i="106"/>
  <c r="D80" i="36"/>
  <c r="D79" i="36"/>
  <c r="D79" i="34"/>
  <c r="D179" i="34"/>
  <c r="A46" i="24"/>
  <c r="F2" i="8"/>
  <c r="B2" i="24"/>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c r="A3" i="24"/>
  <c r="B7236" i="106"/>
  <c r="D7236" i="106" s="1"/>
  <c r="D168" i="34"/>
  <c r="D167" i="34"/>
  <c r="C168" i="34"/>
  <c r="C167" i="34"/>
  <c r="F168" i="34"/>
  <c r="B7812" i="106"/>
  <c r="D7812" i="106" s="1"/>
  <c r="B7810" i="106"/>
  <c r="D7810" i="106" s="1"/>
  <c r="B7809" i="106"/>
  <c r="D7809" i="106" s="1"/>
  <c r="B7816" i="106"/>
  <c r="D7816" i="106" s="1"/>
  <c r="B7815" i="106"/>
  <c r="D7815" i="106" s="1"/>
  <c r="B7814" i="106"/>
  <c r="D7814" i="106" s="1"/>
  <c r="B7813" i="106"/>
  <c r="D7813" i="106" s="1"/>
  <c r="B7808" i="106"/>
  <c r="D7808" i="106"/>
  <c r="B7807" i="106"/>
  <c r="D7807" i="106" s="1"/>
  <c r="B7806" i="106"/>
  <c r="D7806" i="106" s="1"/>
  <c r="B7805" i="106"/>
  <c r="D7805" i="106" s="1"/>
  <c r="B7804" i="106"/>
  <c r="D7804" i="106" s="1"/>
  <c r="B7803" i="106"/>
  <c r="D7803" i="106"/>
  <c r="B7802" i="106"/>
  <c r="D7802" i="106" s="1"/>
  <c r="B5196" i="106"/>
  <c r="F29" i="34"/>
  <c r="B7881" i="106" s="1"/>
  <c r="D7881" i="106" s="1"/>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c r="J34" i="182"/>
  <c r="H34" i="182"/>
  <c r="K34" i="182"/>
  <c r="D83" i="36"/>
  <c r="K356" i="29"/>
  <c r="B3673" i="106"/>
  <c r="K333" i="29"/>
  <c r="B7788" i="106" s="1"/>
  <c r="K282" i="29"/>
  <c r="B7784" i="106"/>
  <c r="H160" i="29"/>
  <c r="B7053" i="106" s="1"/>
  <c r="D7053" i="106" s="1"/>
  <c r="K159" i="29"/>
  <c r="B7782" i="106"/>
  <c r="K158" i="29"/>
  <c r="B7780" i="106" s="1"/>
  <c r="K157" i="29"/>
  <c r="B7778" i="106" s="1"/>
  <c r="B7795" i="106"/>
  <c r="K133" i="29"/>
  <c r="B7776" i="106" s="1"/>
  <c r="D7776" i="106" s="1"/>
  <c r="B7787" i="106"/>
  <c r="B7783" i="106"/>
  <c r="B7781" i="106"/>
  <c r="B7779" i="106"/>
  <c r="B7777" i="106"/>
  <c r="B7775" i="106"/>
  <c r="B7774" i="106"/>
  <c r="L357" i="29"/>
  <c r="D285" i="29"/>
  <c r="B3722" i="106" s="1"/>
  <c r="D3722" i="106" s="1"/>
  <c r="L137" i="29"/>
  <c r="B4" i="179"/>
  <c r="L27" i="179"/>
  <c r="L26" i="179"/>
  <c r="L25" i="179"/>
  <c r="L24" i="179"/>
  <c r="L23" i="179"/>
  <c r="L22" i="179"/>
  <c r="L21" i="179"/>
  <c r="L20" i="179"/>
  <c r="L19" i="179"/>
  <c r="L18" i="179"/>
  <c r="L17" i="179"/>
  <c r="L16" i="179"/>
  <c r="L15" i="179"/>
  <c r="L14" i="179"/>
  <c r="L13" i="179"/>
  <c r="L12" i="179"/>
  <c r="L11" i="179"/>
  <c r="D14" i="171"/>
  <c r="D12" i="171"/>
  <c r="A10" i="169"/>
  <c r="A16" i="169"/>
  <c r="A15" i="169"/>
  <c r="A14" i="169"/>
  <c r="K18" i="169"/>
  <c r="G18" i="169"/>
  <c r="G15" i="169"/>
  <c r="I13" i="169"/>
  <c r="G11" i="169"/>
  <c r="G10" i="169"/>
  <c r="G9" i="169"/>
  <c r="G7" i="169"/>
  <c r="E7" i="169"/>
  <c r="B2" i="179" s="1"/>
  <c r="A7" i="169"/>
  <c r="B4" i="177"/>
  <c r="B4" i="176"/>
  <c r="B4" i="175"/>
  <c r="G43" i="174"/>
  <c r="D47" i="174"/>
  <c r="B4" i="174"/>
  <c r="E34" i="173"/>
  <c r="A4" i="173"/>
  <c r="D47" i="171"/>
  <c r="A5" i="171"/>
  <c r="C110" i="170"/>
  <c r="C112" i="170"/>
  <c r="C115" i="170"/>
  <c r="C117" i="170"/>
  <c r="C119" i="170"/>
  <c r="C123" i="170"/>
  <c r="C44" i="170"/>
  <c r="C48" i="170"/>
  <c r="C50" i="170"/>
  <c r="C52" i="170"/>
  <c r="C54" i="170"/>
  <c r="C56" i="170"/>
  <c r="C72" i="170"/>
  <c r="C74" i="170"/>
  <c r="C76" i="170"/>
  <c r="C78" i="170"/>
  <c r="C80" i="170"/>
  <c r="C82" i="170"/>
  <c r="C85" i="170"/>
  <c r="C87" i="170"/>
  <c r="C89" i="170"/>
  <c r="C91" i="170"/>
  <c r="C96" i="170"/>
  <c r="C98" i="170"/>
  <c r="C100" i="170"/>
  <c r="C102" i="170"/>
  <c r="C106" i="170"/>
  <c r="C36" i="170"/>
  <c r="C39" i="170"/>
  <c r="C13" i="170"/>
  <c r="C15" i="170"/>
  <c r="C18" i="170"/>
  <c r="C21" i="170"/>
  <c r="C24" i="170"/>
  <c r="C28" i="170"/>
  <c r="B2" i="177"/>
  <c r="A2" i="170"/>
  <c r="B2" i="174"/>
  <c r="A2" i="173"/>
  <c r="A1" i="171"/>
  <c r="B1" i="179"/>
  <c r="B2" i="176"/>
  <c r="B1" i="175"/>
  <c r="B1" i="177"/>
  <c r="A1" i="170"/>
  <c r="A2" i="171"/>
  <c r="A1" i="173"/>
  <c r="B1" i="174"/>
  <c r="B2" i="175"/>
  <c r="B1" i="176"/>
  <c r="B7773" i="106"/>
  <c r="B61" i="106"/>
  <c r="B52" i="106"/>
  <c r="B51" i="106"/>
  <c r="B49" i="106"/>
  <c r="B48" i="106"/>
  <c r="B47" i="106"/>
  <c r="B46" i="106"/>
  <c r="B45" i="106"/>
  <c r="B44" i="106"/>
  <c r="B43" i="106"/>
  <c r="B42" i="106"/>
  <c r="B41" i="106"/>
  <c r="B50" i="106"/>
  <c r="B7769" i="106"/>
  <c r="D7769" i="106" s="1"/>
  <c r="B7768" i="106"/>
  <c r="B7765" i="106"/>
  <c r="D7765" i="106" s="1"/>
  <c r="B7764" i="106"/>
  <c r="D7764" i="106"/>
  <c r="B7758" i="106"/>
  <c r="D7758" i="106"/>
  <c r="K12" i="12"/>
  <c r="B7719" i="106"/>
  <c r="D7719" i="106"/>
  <c r="K23" i="12"/>
  <c r="B7800" i="106"/>
  <c r="J12" i="12"/>
  <c r="B7718" i="106"/>
  <c r="D7718" i="106"/>
  <c r="J21" i="12"/>
  <c r="J23" i="12"/>
  <c r="B7729" i="106"/>
  <c r="D7729" i="106"/>
  <c r="B7734" i="106"/>
  <c r="B7726" i="106"/>
  <c r="D7726" i="106"/>
  <c r="F159" i="34"/>
  <c r="B30" i="36"/>
  <c r="B33" i="36"/>
  <c r="B43" i="36"/>
  <c r="B56" i="36"/>
  <c r="B66" i="36"/>
  <c r="B70" i="36"/>
  <c r="B74" i="36"/>
  <c r="C188" i="5"/>
  <c r="B4395" i="106" s="1"/>
  <c r="D4395" i="106" s="1"/>
  <c r="C209" i="5"/>
  <c r="B4411" i="106" s="1"/>
  <c r="D4411" i="106" s="1"/>
  <c r="C221" i="5"/>
  <c r="B5304" i="106" s="1"/>
  <c r="D5304" i="106" s="1"/>
  <c r="B7761" i="106"/>
  <c r="D7761" i="106" s="1"/>
  <c r="L127" i="29"/>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2" i="106"/>
  <c r="D72" i="106" s="1"/>
  <c r="B73" i="106"/>
  <c r="D73" i="106" s="1"/>
  <c r="D74" i="106"/>
  <c r="D75" i="106"/>
  <c r="B76" i="106"/>
  <c r="D76" i="106" s="1"/>
  <c r="D78" i="106"/>
  <c r="D79" i="106"/>
  <c r="D80" i="106"/>
  <c r="D81" i="106"/>
  <c r="D82" i="106"/>
  <c r="D83" i="106"/>
  <c r="D84" i="106"/>
  <c r="D85" i="106"/>
  <c r="B86" i="106"/>
  <c r="D86" i="106" s="1"/>
  <c r="D87" i="106"/>
  <c r="B88" i="106"/>
  <c r="D88" i="106"/>
  <c r="D89" i="106"/>
  <c r="D90" i="106"/>
  <c r="D94" i="106"/>
  <c r="D95" i="106"/>
  <c r="D96" i="106"/>
  <c r="B97" i="106"/>
  <c r="D97" i="106" s="1"/>
  <c r="D98" i="106"/>
  <c r="D99" i="106"/>
  <c r="D100" i="106"/>
  <c r="D101" i="106"/>
  <c r="D102" i="106"/>
  <c r="D103" i="106"/>
  <c r="D106" i="106"/>
  <c r="D107" i="106"/>
  <c r="B108" i="106"/>
  <c r="D108" i="106" s="1"/>
  <c r="D110" i="106"/>
  <c r="D111" i="106"/>
  <c r="D112" i="106"/>
  <c r="D113" i="106"/>
  <c r="D114" i="106"/>
  <c r="D115" i="106"/>
  <c r="D116" i="106"/>
  <c r="B117" i="106"/>
  <c r="D117" i="106" s="1"/>
  <c r="D118" i="106"/>
  <c r="B119" i="106"/>
  <c r="D119" i="106" s="1"/>
  <c r="D120" i="106"/>
  <c r="D121" i="106"/>
  <c r="D125" i="106"/>
  <c r="B126" i="106"/>
  <c r="D126" i="106" s="1"/>
  <c r="D127" i="106"/>
  <c r="D128" i="106"/>
  <c r="B129" i="106"/>
  <c r="D129"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D158" i="106"/>
  <c r="D159" i="106"/>
  <c r="D160" i="106"/>
  <c r="D161" i="106"/>
  <c r="D162" i="106"/>
  <c r="D163" i="106"/>
  <c r="B164" i="106"/>
  <c r="D164" i="106" s="1"/>
  <c r="D165" i="106"/>
  <c r="B166" i="106"/>
  <c r="D166" i="106"/>
  <c r="D167" i="106"/>
  <c r="D168" i="106"/>
  <c r="D172" i="106"/>
  <c r="B173" i="106"/>
  <c r="D173" i="106"/>
  <c r="D174" i="106"/>
  <c r="D175" i="106"/>
  <c r="D176" i="106"/>
  <c r="D178" i="106"/>
  <c r="B179" i="106"/>
  <c r="D179" i="106" s="1"/>
  <c r="D181" i="106"/>
  <c r="D182" i="106"/>
  <c r="D183" i="106"/>
  <c r="B184" i="106"/>
  <c r="D184" i="106"/>
  <c r="B185" i="106"/>
  <c r="D185" i="106"/>
  <c r="D186" i="106"/>
  <c r="D187" i="106"/>
  <c r="D191" i="106"/>
  <c r="D192" i="106"/>
  <c r="D193" i="106"/>
  <c r="D194" i="106"/>
  <c r="D195" i="106"/>
  <c r="D196" i="106"/>
  <c r="D197" i="106"/>
  <c r="B198" i="106"/>
  <c r="D198" i="106"/>
  <c r="D200" i="106"/>
  <c r="D201" i="106"/>
  <c r="B202" i="106"/>
  <c r="D202" i="106" s="1"/>
  <c r="D204" i="106"/>
  <c r="D205" i="106"/>
  <c r="B206" i="106"/>
  <c r="D206" i="106" s="1"/>
  <c r="D207" i="106"/>
  <c r="B208" i="106"/>
  <c r="D208" i="106" s="1"/>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D277" i="106"/>
  <c r="D278" i="106"/>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c r="B321" i="106"/>
  <c r="D321" i="106" s="1"/>
  <c r="D322" i="106"/>
  <c r="B323" i="106"/>
  <c r="D323" i="106"/>
  <c r="B324" i="106"/>
  <c r="D324"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6" i="106"/>
  <c r="D706" i="106" s="1"/>
  <c r="D707" i="106"/>
  <c r="D708" i="106"/>
  <c r="D709" i="106"/>
  <c r="D710" i="106"/>
  <c r="D711" i="106"/>
  <c r="B712" i="106"/>
  <c r="D712" i="106" s="1"/>
  <c r="D713" i="106"/>
  <c r="D714" i="106"/>
  <c r="D715" i="106"/>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c r="B729" i="106"/>
  <c r="D729" i="106" s="1"/>
  <c r="B730" i="106"/>
  <c r="D730" i="106" s="1"/>
  <c r="B732" i="106"/>
  <c r="D732" i="106"/>
  <c r="B733" i="106"/>
  <c r="D733" i="106" s="1"/>
  <c r="B735" i="106"/>
  <c r="D735" i="106" s="1"/>
  <c r="B738" i="106"/>
  <c r="D738" i="106" s="1"/>
  <c r="B739" i="106"/>
  <c r="D739" i="106" s="1"/>
  <c r="B740" i="106"/>
  <c r="D740" i="106" s="1"/>
  <c r="B741" i="106"/>
  <c r="D741" i="106" s="1"/>
  <c r="B742" i="106"/>
  <c r="D742" i="106" s="1"/>
  <c r="B743" i="106"/>
  <c r="D743" i="106" s="1"/>
  <c r="D744" i="106"/>
  <c r="C65" i="29"/>
  <c r="B745" i="106"/>
  <c r="D745" i="106" s="1"/>
  <c r="B748" i="106"/>
  <c r="D748" i="106" s="1"/>
  <c r="B749" i="106"/>
  <c r="D749" i="106" s="1"/>
  <c r="D750" i="106"/>
  <c r="B751" i="106"/>
  <c r="D751" i="106" s="1"/>
  <c r="D752" i="106"/>
  <c r="B754" i="106"/>
  <c r="D754" i="106"/>
  <c r="B756" i="106"/>
  <c r="D756" i="106" s="1"/>
  <c r="D758" i="106"/>
  <c r="D759" i="106"/>
  <c r="D760" i="106"/>
  <c r="D761" i="106"/>
  <c r="D762" i="106"/>
  <c r="B764" i="106"/>
  <c r="D764" i="106" s="1"/>
  <c r="D765" i="106"/>
  <c r="D766" i="106"/>
  <c r="D767" i="106"/>
  <c r="D768" i="106"/>
  <c r="D769" i="106"/>
  <c r="D771" i="106"/>
  <c r="D772" i="106"/>
  <c r="D773" i="106"/>
  <c r="B775" i="106"/>
  <c r="D775" i="106" s="1"/>
  <c r="B776" i="106"/>
  <c r="D776" i="106" s="1"/>
  <c r="B777" i="106"/>
  <c r="D777" i="106" s="1"/>
  <c r="B779" i="106"/>
  <c r="D779" i="106" s="1"/>
  <c r="B780" i="106"/>
  <c r="D780" i="106" s="1"/>
  <c r="B781" i="106"/>
  <c r="D781" i="106" s="1"/>
  <c r="B782" i="106"/>
  <c r="D782" i="106" s="1"/>
  <c r="B786" i="106"/>
  <c r="D786" i="106"/>
  <c r="B787" i="106"/>
  <c r="D787" i="106" s="1"/>
  <c r="B788" i="106"/>
  <c r="D788" i="106" s="1"/>
  <c r="D47" i="29"/>
  <c r="B789" i="106"/>
  <c r="D789" i="106" s="1"/>
  <c r="B790" i="106"/>
  <c r="D790" i="106" s="1"/>
  <c r="B791" i="106"/>
  <c r="D791" i="106"/>
  <c r="B794" i="106"/>
  <c r="D794" i="106" s="1"/>
  <c r="B797" i="106"/>
  <c r="D797" i="106" s="1"/>
  <c r="B798" i="106"/>
  <c r="D798" i="106" s="1"/>
  <c r="B799" i="106"/>
  <c r="D799" i="106" s="1"/>
  <c r="B800" i="106"/>
  <c r="D800" i="106" s="1"/>
  <c r="B801" i="106"/>
  <c r="D801" i="106" s="1"/>
  <c r="D802" i="106"/>
  <c r="B806" i="106"/>
  <c r="D806" i="106" s="1"/>
  <c r="B807" i="106"/>
  <c r="D807" i="106" s="1"/>
  <c r="D808" i="106"/>
  <c r="B809" i="106"/>
  <c r="D809" i="106"/>
  <c r="D810" i="106"/>
  <c r="B812" i="106"/>
  <c r="D812" i="106"/>
  <c r="B814" i="106"/>
  <c r="D814" i="106" s="1"/>
  <c r="D816" i="106"/>
  <c r="D817" i="106"/>
  <c r="D818" i="106"/>
  <c r="D819" i="106"/>
  <c r="D820" i="106"/>
  <c r="B821" i="106"/>
  <c r="D821" i="106" s="1"/>
  <c r="B822" i="106"/>
  <c r="D822" i="106" s="1"/>
  <c r="D823" i="106"/>
  <c r="D824" i="106"/>
  <c r="D825" i="106"/>
  <c r="D826" i="106"/>
  <c r="D827" i="106"/>
  <c r="D829" i="106"/>
  <c r="D830" i="106"/>
  <c r="D831" i="106"/>
  <c r="B832" i="106"/>
  <c r="D832" i="106" s="1"/>
  <c r="B833" i="106"/>
  <c r="D833" i="106" s="1"/>
  <c r="B834" i="106"/>
  <c r="D834" i="106" s="1"/>
  <c r="B835" i="106"/>
  <c r="D835" i="106" s="1"/>
  <c r="B837" i="106"/>
  <c r="D837" i="106"/>
  <c r="B838" i="106"/>
  <c r="D838" i="106"/>
  <c r="B839" i="106"/>
  <c r="D839" i="106" s="1"/>
  <c r="B840" i="106"/>
  <c r="D840" i="106"/>
  <c r="B844" i="106"/>
  <c r="D844" i="106" s="1"/>
  <c r="B845" i="106"/>
  <c r="D845" i="106" s="1"/>
  <c r="B846" i="106"/>
  <c r="D846" i="106" s="1"/>
  <c r="E47" i="29"/>
  <c r="B847" i="106" s="1"/>
  <c r="D847" i="106" s="1"/>
  <c r="B848" i="106"/>
  <c r="D848" i="106" s="1"/>
  <c r="B849" i="106"/>
  <c r="D849" i="106" s="1"/>
  <c r="B851" i="106"/>
  <c r="D851" i="106" s="1"/>
  <c r="B852" i="106"/>
  <c r="D852" i="106" s="1"/>
  <c r="E57" i="29"/>
  <c r="B853" i="106" s="1"/>
  <c r="D853" i="106" s="1"/>
  <c r="B854" i="106"/>
  <c r="D854" i="106" s="1"/>
  <c r="B855" i="106"/>
  <c r="D855" i="106" s="1"/>
  <c r="B856" i="106"/>
  <c r="D856" i="106" s="1"/>
  <c r="B857" i="106"/>
  <c r="D857" i="106" s="1"/>
  <c r="D860" i="106"/>
  <c r="B862" i="106"/>
  <c r="D862" i="106" s="1"/>
  <c r="B863" i="106"/>
  <c r="D863" i="106" s="1"/>
  <c r="B864" i="106"/>
  <c r="D864" i="106" s="1"/>
  <c r="B865" i="106"/>
  <c r="D865" i="106"/>
  <c r="D866" i="106"/>
  <c r="B867" i="106"/>
  <c r="D867" i="106" s="1"/>
  <c r="D868" i="106"/>
  <c r="E72" i="29"/>
  <c r="B869" i="106" s="1"/>
  <c r="D869" i="106" s="1"/>
  <c r="B870" i="106"/>
  <c r="D870" i="106"/>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c r="B891" i="106"/>
  <c r="D891" i="106" s="1"/>
  <c r="B892" i="106"/>
  <c r="D892" i="106" s="1"/>
  <c r="B893" i="106"/>
  <c r="D893" i="106"/>
  <c r="B895" i="106"/>
  <c r="D895" i="106" s="1"/>
  <c r="B896" i="106"/>
  <c r="D896" i="106" s="1"/>
  <c r="B899" i="106"/>
  <c r="D899" i="106" s="1"/>
  <c r="B900" i="106"/>
  <c r="D900" i="106"/>
  <c r="B902" i="106"/>
  <c r="D902" i="106" s="1"/>
  <c r="B903" i="106"/>
  <c r="D903" i="106" s="1"/>
  <c r="B904" i="106"/>
  <c r="D904" i="106" s="1"/>
  <c r="F47" i="29"/>
  <c r="B906" i="106"/>
  <c r="D906" i="106" s="1"/>
  <c r="B909" i="106"/>
  <c r="D909" i="106" s="1"/>
  <c r="B910" i="106"/>
  <c r="D910" i="106" s="1"/>
  <c r="F57" i="29"/>
  <c r="B911" i="106" s="1"/>
  <c r="D911" i="106" s="1"/>
  <c r="B912" i="106"/>
  <c r="D912" i="106" s="1"/>
  <c r="B913" i="106"/>
  <c r="D913" i="106" s="1"/>
  <c r="B914" i="106"/>
  <c r="D914" i="106" s="1"/>
  <c r="B915" i="106"/>
  <c r="D915" i="106" s="1"/>
  <c r="D918" i="106"/>
  <c r="B920" i="106"/>
  <c r="D920" i="106" s="1"/>
  <c r="B921" i="106"/>
  <c r="D921" i="106" s="1"/>
  <c r="B922" i="106"/>
  <c r="D922" i="106" s="1"/>
  <c r="B923" i="106"/>
  <c r="D923" i="106"/>
  <c r="D924" i="106"/>
  <c r="B925" i="106"/>
  <c r="D925" i="106" s="1"/>
  <c r="D926" i="106"/>
  <c r="F72" i="29"/>
  <c r="B927" i="106"/>
  <c r="D927" i="106" s="1"/>
  <c r="D932" i="106"/>
  <c r="D933" i="106"/>
  <c r="D934" i="106"/>
  <c r="D935" i="106"/>
  <c r="D936" i="106"/>
  <c r="B937" i="106"/>
  <c r="D937" i="106" s="1"/>
  <c r="D939" i="106"/>
  <c r="D940" i="106"/>
  <c r="D941" i="106"/>
  <c r="D942" i="106"/>
  <c r="D943" i="106"/>
  <c r="B944" i="106"/>
  <c r="D944" i="106" s="1"/>
  <c r="D945" i="106"/>
  <c r="D946" i="106"/>
  <c r="D947" i="106"/>
  <c r="B948" i="106"/>
  <c r="D948" i="106" s="1"/>
  <c r="B949" i="106"/>
  <c r="D949" i="106" s="1"/>
  <c r="B950" i="106"/>
  <c r="D950" i="106" s="1"/>
  <c r="B953" i="106"/>
  <c r="D953" i="106" s="1"/>
  <c r="B954" i="106"/>
  <c r="D954" i="106" s="1"/>
  <c r="B957" i="106"/>
  <c r="D957" i="106"/>
  <c r="B958" i="106"/>
  <c r="D958" i="106" s="1"/>
  <c r="B960" i="106"/>
  <c r="D960" i="106" s="1"/>
  <c r="B961" i="106"/>
  <c r="D961" i="106" s="1"/>
  <c r="B962" i="106"/>
  <c r="D962" i="106" s="1"/>
  <c r="G47" i="29"/>
  <c r="B963" i="106" s="1"/>
  <c r="D963" i="106" s="1"/>
  <c r="B964" i="106"/>
  <c r="D964" i="106" s="1"/>
  <c r="B967" i="106"/>
  <c r="D967" i="106" s="1"/>
  <c r="B968" i="106"/>
  <c r="D968" i="106"/>
  <c r="G57" i="29"/>
  <c r="B969" i="106" s="1"/>
  <c r="D969" i="106" s="1"/>
  <c r="B970" i="106"/>
  <c r="D970" i="106"/>
  <c r="B971" i="106"/>
  <c r="D971" i="106" s="1"/>
  <c r="B974" i="106"/>
  <c r="D974" i="106" s="1"/>
  <c r="B975" i="106"/>
  <c r="D975" i="106" s="1"/>
  <c r="D976" i="106"/>
  <c r="B978" i="106"/>
  <c r="D978" i="106" s="1"/>
  <c r="B979" i="106"/>
  <c r="D979" i="106"/>
  <c r="B980" i="106"/>
  <c r="D980" i="106" s="1"/>
  <c r="B981" i="106"/>
  <c r="D981" i="106" s="1"/>
  <c r="D982" i="106"/>
  <c r="D984" i="106"/>
  <c r="B988" i="106"/>
  <c r="D988" i="106" s="1"/>
  <c r="D990" i="106"/>
  <c r="D991" i="106"/>
  <c r="D992" i="106"/>
  <c r="D993" i="106"/>
  <c r="D994" i="106"/>
  <c r="B995" i="106"/>
  <c r="D995" i="106" s="1"/>
  <c r="D997" i="106"/>
  <c r="D998" i="106"/>
  <c r="D999" i="106"/>
  <c r="D1000" i="106"/>
  <c r="D1001" i="106"/>
  <c r="B1002" i="106"/>
  <c r="D1002" i="106" s="1"/>
  <c r="D1003" i="106"/>
  <c r="D1004" i="106"/>
  <c r="D1005" i="106"/>
  <c r="B1006" i="106"/>
  <c r="D1006" i="106" s="1"/>
  <c r="B1007" i="106"/>
  <c r="D1007" i="106"/>
  <c r="B1013" i="106"/>
  <c r="D1013" i="106"/>
  <c r="B1014" i="106"/>
  <c r="D1014" i="106" s="1"/>
  <c r="B1015" i="106"/>
  <c r="D1015" i="106" s="1"/>
  <c r="B1016" i="106"/>
  <c r="D1016" i="106"/>
  <c r="B1018" i="106"/>
  <c r="D1018" i="106" s="1"/>
  <c r="B1019" i="106"/>
  <c r="D1019" i="106" s="1"/>
  <c r="B1023" i="106"/>
  <c r="D1023" i="106" s="1"/>
  <c r="B1025" i="106"/>
  <c r="D1025" i="106" s="1"/>
  <c r="B1026" i="106"/>
  <c r="D1026" i="106" s="1"/>
  <c r="H57" i="29"/>
  <c r="B1027" i="106" s="1"/>
  <c r="D1027" i="106" s="1"/>
  <c r="B1028" i="106"/>
  <c r="D1028" i="106" s="1"/>
  <c r="B1029" i="106"/>
  <c r="D1029" i="106" s="1"/>
  <c r="B1032" i="106"/>
  <c r="D1032" i="106"/>
  <c r="B1033" i="106"/>
  <c r="D1033" i="106" s="1"/>
  <c r="D1034" i="106"/>
  <c r="B1036" i="106"/>
  <c r="D1036" i="106"/>
  <c r="B1037" i="106"/>
  <c r="D1037" i="106" s="1"/>
  <c r="B1038" i="106"/>
  <c r="D1038" i="106"/>
  <c r="B1039" i="106"/>
  <c r="D1039" i="106"/>
  <c r="D1040" i="106"/>
  <c r="D1042" i="106"/>
  <c r="B1044" i="106"/>
  <c r="D1044" i="106" s="1"/>
  <c r="B1046" i="106"/>
  <c r="D1046" i="106" s="1"/>
  <c r="B1049" i="106"/>
  <c r="D1049" i="106" s="1"/>
  <c r="D1050" i="106"/>
  <c r="B1051" i="106"/>
  <c r="D1051" i="106" s="1"/>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K78" i="29"/>
  <c r="B2973" i="106" s="1"/>
  <c r="D2973" i="106" s="1"/>
  <c r="K79" i="29"/>
  <c r="B2974" i="106" s="1"/>
  <c r="D2974" i="106" s="1"/>
  <c r="K81" i="29"/>
  <c r="B2976" i="106" s="1"/>
  <c r="D2976" i="106" s="1"/>
  <c r="K82" i="29"/>
  <c r="B2977" i="106" s="1"/>
  <c r="D2977" i="106" s="1"/>
  <c r="K83" i="29"/>
  <c r="B2978" i="106"/>
  <c r="D2978" i="106" s="1"/>
  <c r="K93" i="29"/>
  <c r="K94" i="29"/>
  <c r="B6999" i="106" s="1"/>
  <c r="D6999" i="106" s="1"/>
  <c r="K97" i="29"/>
  <c r="B7005" i="106" s="1"/>
  <c r="D7005" i="106" s="1"/>
  <c r="K98" i="29"/>
  <c r="B7007" i="106" s="1"/>
  <c r="D7007" i="106" s="1"/>
  <c r="K99" i="29"/>
  <c r="B7010" i="106" s="1"/>
  <c r="D7010" i="106" s="1"/>
  <c r="K101" i="29"/>
  <c r="B7015" i="106"/>
  <c r="D7015" i="106" s="1"/>
  <c r="K106" i="29"/>
  <c r="B1147" i="106"/>
  <c r="D1147" i="106" s="1"/>
  <c r="D1148" i="106"/>
  <c r="K109" i="29"/>
  <c r="B1149" i="106" s="1"/>
  <c r="D1149" i="106" s="1"/>
  <c r="D1150" i="106"/>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c r="D1223" i="106" s="1"/>
  <c r="B1224" i="106"/>
  <c r="D1224" i="106" s="1"/>
  <c r="B1227" i="106"/>
  <c r="D1227" i="106" s="1"/>
  <c r="B1228" i="106"/>
  <c r="D1228" i="106" s="1"/>
  <c r="D1230" i="106"/>
  <c r="B1232" i="106"/>
  <c r="D1232" i="106" s="1"/>
  <c r="B1235" i="106"/>
  <c r="D1235" i="106" s="1"/>
  <c r="D1238" i="106"/>
  <c r="B1240" i="106"/>
  <c r="D1240" i="106" s="1"/>
  <c r="B1243" i="106"/>
  <c r="D1243" i="106" s="1"/>
  <c r="B1245" i="106"/>
  <c r="D1245" i="106" s="1"/>
  <c r="D1246" i="106"/>
  <c r="B1248" i="106"/>
  <c r="D1248" i="106" s="1"/>
  <c r="B1252" i="106"/>
  <c r="D1252" i="106" s="1"/>
  <c r="B1253" i="106"/>
  <c r="D1253" i="106" s="1"/>
  <c r="D1255" i="106"/>
  <c r="B1257" i="106"/>
  <c r="D1257" i="106" s="1"/>
  <c r="B1261" i="106"/>
  <c r="D1261" i="106" s="1"/>
  <c r="B1262" i="106"/>
  <c r="D1262" i="106" s="1"/>
  <c r="D1263" i="106"/>
  <c r="B1265" i="106"/>
  <c r="D1265" i="106" s="1"/>
  <c r="B1268" i="106"/>
  <c r="D1268" i="106" s="1"/>
  <c r="B1269" i="106"/>
  <c r="D1269" i="106" s="1"/>
  <c r="B1270" i="106"/>
  <c r="D1270" i="106" s="1"/>
  <c r="D1271" i="106"/>
  <c r="H147" i="29"/>
  <c r="H149" i="29" s="1"/>
  <c r="B1272" i="106" s="1"/>
  <c r="D1272" i="106" s="1"/>
  <c r="D1278" i="106"/>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10" i="106"/>
  <c r="D1310" i="106" s="1"/>
  <c r="B1311" i="106"/>
  <c r="D1311" i="106" s="1"/>
  <c r="B1312" i="106"/>
  <c r="D1312" i="106" s="1"/>
  <c r="B1313" i="106"/>
  <c r="D1313" i="106"/>
  <c r="H168" i="29"/>
  <c r="B1314" i="106" s="1"/>
  <c r="D1314" i="106" s="1"/>
  <c r="B1315" i="106"/>
  <c r="D1315" i="106" s="1"/>
  <c r="D1319" i="106"/>
  <c r="D1320" i="106"/>
  <c r="D1321" i="106"/>
  <c r="D1322"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D1334" i="106"/>
  <c r="B1335" i="106"/>
  <c r="D1335" i="106" s="1"/>
  <c r="D1336" i="106"/>
  <c r="D1337" i="106"/>
  <c r="D1342" i="106"/>
  <c r="D1343" i="106"/>
  <c r="B1344" i="106"/>
  <c r="D1344" i="106" s="1"/>
  <c r="D1348" i="106"/>
  <c r="D1349" i="106"/>
  <c r="B1350" i="106"/>
  <c r="D1350" i="106" s="1"/>
  <c r="B1354" i="106"/>
  <c r="D1354" i="106" s="1"/>
  <c r="D1355" i="106"/>
  <c r="D1356" i="106"/>
  <c r="B1357" i="106"/>
  <c r="D1357" i="106" s="1"/>
  <c r="F184" i="29"/>
  <c r="B1360" i="106"/>
  <c r="D1360" i="106" s="1"/>
  <c r="D1361" i="106"/>
  <c r="D1362" i="106"/>
  <c r="B1363" i="106"/>
  <c r="D1363" i="106" s="1"/>
  <c r="G184" i="29"/>
  <c r="B1366" i="106"/>
  <c r="D1366" i="106" s="1"/>
  <c r="D1367" i="106"/>
  <c r="D1368" i="106"/>
  <c r="B1369" i="106"/>
  <c r="D1369" i="106" s="1"/>
  <c r="H184" i="29"/>
  <c r="B1370" i="106" s="1"/>
  <c r="D1370" i="106" s="1"/>
  <c r="B1373" i="106"/>
  <c r="D1373" i="106" s="1"/>
  <c r="D1374" i="106"/>
  <c r="D1378" i="106"/>
  <c r="D1379" i="106"/>
  <c r="K188" i="29"/>
  <c r="B3007" i="106" s="1"/>
  <c r="D3007" i="106" s="1"/>
  <c r="K189" i="29"/>
  <c r="B3008" i="106" s="1"/>
  <c r="D3008" i="106" s="1"/>
  <c r="K191" i="29"/>
  <c r="B3010" i="106" s="1"/>
  <c r="D3010" i="106" s="1"/>
  <c r="K195" i="29"/>
  <c r="B2839" i="106" s="1"/>
  <c r="D2839" i="106" s="1"/>
  <c r="K203" i="29"/>
  <c r="B1385" i="106"/>
  <c r="D1385" i="106" s="1"/>
  <c r="D1386" i="106"/>
  <c r="K201" i="29"/>
  <c r="B2841" i="106" s="1"/>
  <c r="D2841" i="106" s="1"/>
  <c r="K202" i="29"/>
  <c r="K206" i="29"/>
  <c r="B4211" i="106" s="1"/>
  <c r="D4211" i="106" s="1"/>
  <c r="K207" i="29"/>
  <c r="B7070" i="106"/>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c r="B1409" i="106"/>
  <c r="D1409" i="106" s="1"/>
  <c r="B1411" i="106"/>
  <c r="D1411" i="106" s="1"/>
  <c r="B1412" i="106"/>
  <c r="D1412" i="106" s="1"/>
  <c r="B1413" i="106"/>
  <c r="D1413" i="106" s="1"/>
  <c r="B1414" i="106"/>
  <c r="D1414" i="106" s="1"/>
  <c r="B1415" i="106"/>
  <c r="D1415" i="106" s="1"/>
  <c r="B1416" i="106"/>
  <c r="D1416" i="106" s="1"/>
  <c r="D238" i="29"/>
  <c r="B1420" i="106"/>
  <c r="D1420" i="106" s="1"/>
  <c r="B1422" i="106"/>
  <c r="D1422" i="106" s="1"/>
  <c r="B1423" i="106"/>
  <c r="D1423" i="106" s="1"/>
  <c r="B1425" i="106"/>
  <c r="D1425" i="106" s="1"/>
  <c r="B1426" i="106"/>
  <c r="D1426" i="106" s="1"/>
  <c r="D261" i="29"/>
  <c r="B1427" i="106" s="1"/>
  <c r="D1427" i="106" s="1"/>
  <c r="B1429" i="106"/>
  <c r="D1429" i="106" s="1"/>
  <c r="B1430" i="106"/>
  <c r="D1430" i="106" s="1"/>
  <c r="B1431" i="106"/>
  <c r="D1431" i="106" s="1"/>
  <c r="B1432" i="106"/>
  <c r="D1432" i="106" s="1"/>
  <c r="B1433" i="106"/>
  <c r="D1433" i="106" s="1"/>
  <c r="B1434" i="106"/>
  <c r="D1434" i="106" s="1"/>
  <c r="D1435" i="106"/>
  <c r="B1439" i="106"/>
  <c r="D1439" i="106" s="1"/>
  <c r="B1440" i="106"/>
  <c r="D1440" i="106" s="1"/>
  <c r="D1441" i="106"/>
  <c r="B1442" i="106"/>
  <c r="D1442" i="106"/>
  <c r="D1443" i="106"/>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F70" i="34" s="1"/>
  <c r="B1470" i="106"/>
  <c r="D1470" i="106" s="1"/>
  <c r="K224" i="29"/>
  <c r="B1473" i="106" s="1"/>
  <c r="D1473" i="106" s="1"/>
  <c r="K216" i="29"/>
  <c r="F67" i="34"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2" i="29"/>
  <c r="B1484" i="106" s="1"/>
  <c r="D1484" i="106" s="1"/>
  <c r="K245" i="29"/>
  <c r="B1486" i="106" s="1"/>
  <c r="D1486" i="106" s="1"/>
  <c r="K246" i="29"/>
  <c r="B1487" i="106"/>
  <c r="D1487" i="106" s="1"/>
  <c r="K247" i="29"/>
  <c r="B2726" i="106" s="1"/>
  <c r="D2726" i="106"/>
  <c r="K248" i="29"/>
  <c r="B7082" i="106" s="1"/>
  <c r="D7082" i="106" s="1"/>
  <c r="K249" i="29"/>
  <c r="B7084" i="106"/>
  <c r="D7084" i="106" s="1"/>
  <c r="K250" i="29"/>
  <c r="B7086" i="106"/>
  <c r="D7086" i="106" s="1"/>
  <c r="K253" i="29"/>
  <c r="B7092" i="106" s="1"/>
  <c r="D7092" i="106" s="1"/>
  <c r="K254" i="29"/>
  <c r="B7094" i="106"/>
  <c r="D7094" i="106" s="1"/>
  <c r="K255" i="29"/>
  <c r="B7096" i="106" s="1"/>
  <c r="D7096" i="106" s="1"/>
  <c r="K256" i="29"/>
  <c r="B7098" i="106" s="1"/>
  <c r="D7098" i="106" s="1"/>
  <c r="K259" i="29"/>
  <c r="B1489" i="106" s="1"/>
  <c r="D1489" i="106" s="1"/>
  <c r="K260" i="29"/>
  <c r="B1490" i="106" s="1"/>
  <c r="D1490" i="106" s="1"/>
  <c r="K264" i="29"/>
  <c r="B1493" i="106" s="1"/>
  <c r="D1493" i="106" s="1"/>
  <c r="K265" i="29"/>
  <c r="B1494" i="106" s="1"/>
  <c r="D1494" i="106" s="1"/>
  <c r="K266" i="29"/>
  <c r="B1495" i="106" s="1"/>
  <c r="D1495" i="106" s="1"/>
  <c r="K267" i="29"/>
  <c r="B1496" i="106" s="1"/>
  <c r="D1496" i="106" s="1"/>
  <c r="K268" i="29"/>
  <c r="B1497" i="106"/>
  <c r="D1497" i="106" s="1"/>
  <c r="K269" i="29"/>
  <c r="B1498" i="106" s="1"/>
  <c r="D1498" i="106" s="1"/>
  <c r="D1499" i="106"/>
  <c r="K274" i="29"/>
  <c r="B1503" i="106" s="1"/>
  <c r="D1503" i="106" s="1"/>
  <c r="K275" i="29"/>
  <c r="B1504" i="106"/>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K285" i="29" s="1"/>
  <c r="B3724" i="106" s="1"/>
  <c r="D3724" i="106" s="1"/>
  <c r="B1519" i="106"/>
  <c r="D1519" i="106" s="1"/>
  <c r="D1520" i="106"/>
  <c r="D1521" i="106"/>
  <c r="B1522" i="106"/>
  <c r="D1522" i="106"/>
  <c r="C303" i="29"/>
  <c r="B1525" i="106"/>
  <c r="D1525" i="106" s="1"/>
  <c r="D1526" i="106"/>
  <c r="D1527" i="106"/>
  <c r="B1531" i="106"/>
  <c r="D1531" i="106"/>
  <c r="D1532" i="106"/>
  <c r="D1533" i="106"/>
  <c r="D1538" i="106"/>
  <c r="D1539" i="106"/>
  <c r="B1540" i="106"/>
  <c r="D1540" i="106" s="1"/>
  <c r="D1544" i="106"/>
  <c r="D1545" i="106"/>
  <c r="B1546" i="106"/>
  <c r="D1546" i="106" s="1"/>
  <c r="B1549" i="106"/>
  <c r="D1549" i="106" s="1"/>
  <c r="D1550" i="106"/>
  <c r="D1551" i="106"/>
  <c r="B1552" i="106"/>
  <c r="D1552" i="106" s="1"/>
  <c r="H303" i="29"/>
  <c r="B1553" i="106" s="1"/>
  <c r="D1553" i="106" s="1"/>
  <c r="D1556" i="106"/>
  <c r="D1557" i="106"/>
  <c r="K307"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c r="B1777" i="106"/>
  <c r="D1777" i="106"/>
  <c r="B1778" i="106"/>
  <c r="D1778" i="106"/>
  <c r="B1779" i="106"/>
  <c r="D1779" i="106"/>
  <c r="B1780" i="106"/>
  <c r="D1780" i="106"/>
  <c r="B1781" i="106"/>
  <c r="D1781" i="106"/>
  <c r="D1782" i="106"/>
  <c r="B1783" i="106"/>
  <c r="D1783" i="106"/>
  <c r="B1784" i="106"/>
  <c r="D1784" i="106"/>
  <c r="B1785" i="106"/>
  <c r="D1785" i="106"/>
  <c r="B1786" i="106"/>
  <c r="D1786" i="106"/>
  <c r="D1787" i="106"/>
  <c r="B1788" i="106"/>
  <c r="D1788" i="106"/>
  <c r="D1789" i="106"/>
  <c r="D1790" i="106"/>
  <c r="C19" i="7"/>
  <c r="B1791" i="106"/>
  <c r="D1791" i="106"/>
  <c r="F4" i="7"/>
  <c r="B1792" i="106"/>
  <c r="D1792" i="106"/>
  <c r="F5" i="7"/>
  <c r="B1793" i="106"/>
  <c r="D1793" i="106"/>
  <c r="F6" i="7"/>
  <c r="B1794" i="106"/>
  <c r="D1794" i="106"/>
  <c r="F7" i="7"/>
  <c r="B1795" i="106"/>
  <c r="D1795" i="106"/>
  <c r="F8" i="7"/>
  <c r="B1796" i="106"/>
  <c r="D1796" i="106"/>
  <c r="F10" i="7"/>
  <c r="B1797" i="106"/>
  <c r="D1797" i="106"/>
  <c r="D1798" i="106"/>
  <c r="F9" i="7"/>
  <c r="B1799" i="106"/>
  <c r="D1799" i="106"/>
  <c r="F11" i="7"/>
  <c r="B1800" i="106"/>
  <c r="D1800" i="106"/>
  <c r="F12" i="7"/>
  <c r="B1801" i="106"/>
  <c r="D1801" i="106"/>
  <c r="F14" i="7"/>
  <c r="B1802" i="106"/>
  <c r="D1802" i="106"/>
  <c r="D1803" i="106"/>
  <c r="F15" i="7"/>
  <c r="B1804" i="106"/>
  <c r="D1804" i="106"/>
  <c r="D1805" i="106"/>
  <c r="D1806" i="106"/>
  <c r="B1808" i="106"/>
  <c r="D1808" i="106"/>
  <c r="B1809" i="106"/>
  <c r="D1809" i="106"/>
  <c r="B1810" i="106"/>
  <c r="D1810" i="106"/>
  <c r="B1811" i="106"/>
  <c r="D1811" i="106"/>
  <c r="B1812" i="106"/>
  <c r="D1812" i="106"/>
  <c r="B1813" i="106"/>
  <c r="D1813" i="106"/>
  <c r="D1814" i="106"/>
  <c r="B1815" i="106"/>
  <c r="D1815" i="106"/>
  <c r="B1816" i="106"/>
  <c r="D1816" i="106"/>
  <c r="B1817" i="106"/>
  <c r="D1817" i="106"/>
  <c r="B1818" i="106"/>
  <c r="D1818" i="106"/>
  <c r="D1819" i="106"/>
  <c r="B1820" i="106"/>
  <c r="D1820" i="106"/>
  <c r="D1821" i="106"/>
  <c r="D1822" i="106"/>
  <c r="E19" i="7"/>
  <c r="B1823" i="106"/>
  <c r="D1823" i="106"/>
  <c r="D1824" i="106"/>
  <c r="B1825" i="106"/>
  <c r="D1825" i="106"/>
  <c r="B1826" i="106"/>
  <c r="D1826" i="106"/>
  <c r="B1827" i="106"/>
  <c r="D1827" i="106"/>
  <c r="B1828" i="106"/>
  <c r="D1828" i="106"/>
  <c r="B1829" i="106"/>
  <c r="D1829" i="106"/>
  <c r="B1830" i="106"/>
  <c r="D1830" i="106"/>
  <c r="B1831" i="106"/>
  <c r="D1831" i="106"/>
  <c r="B1832" i="106"/>
  <c r="D1832" i="106"/>
  <c r="C15" i="8"/>
  <c r="B1833" i="106"/>
  <c r="D1833" i="106"/>
  <c r="B1834" i="106"/>
  <c r="D1834" i="106"/>
  <c r="B1835" i="106"/>
  <c r="D1835" i="106"/>
  <c r="B1836" i="106"/>
  <c r="D1836" i="106"/>
  <c r="C21" i="8"/>
  <c r="B1837" i="106"/>
  <c r="D1837" i="106"/>
  <c r="B1838" i="106"/>
  <c r="D1838" i="106"/>
  <c r="B1839" i="106"/>
  <c r="D1839" i="106"/>
  <c r="B1840" i="106"/>
  <c r="D1840" i="106"/>
  <c r="B1841" i="106"/>
  <c r="D1841" i="106"/>
  <c r="B1842" i="106"/>
  <c r="D1842" i="106"/>
  <c r="B1843" i="106"/>
  <c r="D1843" i="106"/>
  <c r="B1844" i="106"/>
  <c r="D1844" i="106"/>
  <c r="B1845" i="106"/>
  <c r="D1845" i="106"/>
  <c r="B1846" i="106"/>
  <c r="D1846" i="106"/>
  <c r="D15" i="8"/>
  <c r="B1847" i="106"/>
  <c r="D1847" i="106"/>
  <c r="B1848" i="106"/>
  <c r="D1848" i="106"/>
  <c r="B1849" i="106"/>
  <c r="D1849" i="106"/>
  <c r="B1850" i="106"/>
  <c r="D1850" i="106"/>
  <c r="D21" i="8"/>
  <c r="B1851" i="106"/>
  <c r="D1851" i="106"/>
  <c r="B1852" i="106"/>
  <c r="D1852" i="106"/>
  <c r="B1853" i="106"/>
  <c r="D1853" i="106"/>
  <c r="B1854" i="106"/>
  <c r="D1854" i="106"/>
  <c r="B1855" i="106"/>
  <c r="D1855" i="106"/>
  <c r="B1856" i="106"/>
  <c r="D1856" i="106"/>
  <c r="B1857" i="106"/>
  <c r="D1857" i="106"/>
  <c r="B1858" i="106"/>
  <c r="D1858" i="106"/>
  <c r="B1859" i="106"/>
  <c r="D1859" i="106"/>
  <c r="B1860" i="106"/>
  <c r="D1860" i="106"/>
  <c r="E15" i="8"/>
  <c r="B1861" i="106"/>
  <c r="D1861" i="106"/>
  <c r="B1862" i="106"/>
  <c r="D1862" i="106"/>
  <c r="B1863" i="106"/>
  <c r="D1863" i="106"/>
  <c r="B1864" i="106"/>
  <c r="D1864" i="106"/>
  <c r="E21" i="8"/>
  <c r="B1865" i="106"/>
  <c r="D1865" i="106"/>
  <c r="B1866" i="106"/>
  <c r="D1866" i="106"/>
  <c r="F6" i="8"/>
  <c r="F7" i="8"/>
  <c r="B1868" i="106"/>
  <c r="D1868" i="106"/>
  <c r="F12" i="8"/>
  <c r="B1869" i="106"/>
  <c r="D1869" i="106"/>
  <c r="F11" i="8"/>
  <c r="B1870" i="106"/>
  <c r="D1870" i="106"/>
  <c r="F8" i="8"/>
  <c r="B1871" i="106"/>
  <c r="D1871" i="106"/>
  <c r="F9" i="8"/>
  <c r="B1872" i="106"/>
  <c r="D1872" i="106"/>
  <c r="F10" i="8"/>
  <c r="B1873" i="106"/>
  <c r="D1873" i="106"/>
  <c r="F14" i="8"/>
  <c r="B1874" i="106"/>
  <c r="D1874" i="106"/>
  <c r="F13" i="8"/>
  <c r="B3688" i="106"/>
  <c r="D3688" i="106"/>
  <c r="F17" i="8"/>
  <c r="B1876" i="106"/>
  <c r="D1876" i="106"/>
  <c r="F18" i="8"/>
  <c r="B1877" i="106"/>
  <c r="D1877" i="106"/>
  <c r="F20" i="8"/>
  <c r="B1878" i="106"/>
  <c r="D1878" i="106"/>
  <c r="F19" i="8"/>
  <c r="B3689" i="106"/>
  <c r="D3689" i="106"/>
  <c r="F23" i="8"/>
  <c r="B1880" i="106"/>
  <c r="D1880" i="106"/>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c r="D1939" i="106"/>
  <c r="F49" i="8"/>
  <c r="B1940" i="106"/>
  <c r="D1940" i="106"/>
  <c r="D1941" i="106"/>
  <c r="D1942" i="106"/>
  <c r="D1943" i="106"/>
  <c r="D1944" i="106"/>
  <c r="D1945" i="106"/>
  <c r="D1946" i="106"/>
  <c r="D1947" i="106"/>
  <c r="B1948" i="106"/>
  <c r="D1948" i="106"/>
  <c r="D1949" i="106"/>
  <c r="B1950" i="106"/>
  <c r="D1950" i="106"/>
  <c r="D1951" i="106"/>
  <c r="D1952" i="106"/>
  <c r="G12" i="12"/>
  <c r="B1953" i="106"/>
  <c r="D1953" i="106"/>
  <c r="D1954" i="106"/>
  <c r="B1955" i="106"/>
  <c r="D1955" i="106"/>
  <c r="D1956" i="106"/>
  <c r="G23" i="12"/>
  <c r="B1957" i="106"/>
  <c r="D1957" i="106"/>
  <c r="D1959" i="106"/>
  <c r="D1960" i="106"/>
  <c r="D1961" i="106"/>
  <c r="D1962" i="106"/>
  <c r="D1963" i="106"/>
  <c r="D1964" i="106"/>
  <c r="D1965" i="106"/>
  <c r="D1966" i="106"/>
  <c r="D1967" i="106"/>
  <c r="D1968" i="106"/>
  <c r="D1969" i="106"/>
  <c r="D1970" i="106"/>
  <c r="B1971" i="106"/>
  <c r="D1971" i="106"/>
  <c r="B1972" i="106"/>
  <c r="D1972" i="106"/>
  <c r="B1973" i="106"/>
  <c r="D1973" i="106"/>
  <c r="B1974" i="106"/>
  <c r="D1974" i="106"/>
  <c r="D1975" i="106"/>
  <c r="D1976" i="106"/>
  <c r="H12" i="12"/>
  <c r="D1978" i="106"/>
  <c r="B1979" i="106"/>
  <c r="D1979" i="106"/>
  <c r="B1980" i="106"/>
  <c r="D1980" i="106"/>
  <c r="D1981" i="106"/>
  <c r="H23" i="12"/>
  <c r="B1982" i="106"/>
  <c r="D1982" i="106"/>
  <c r="B1984" i="106"/>
  <c r="D1984" i="106"/>
  <c r="B1985" i="106"/>
  <c r="D1985" i="106"/>
  <c r="B1986" i="106"/>
  <c r="D1986" i="106"/>
  <c r="B1987" i="106"/>
  <c r="D1987" i="106"/>
  <c r="B1988" i="106"/>
  <c r="D1988" i="106"/>
  <c r="D1989" i="106"/>
  <c r="I12" i="12"/>
  <c r="B1990" i="106"/>
  <c r="D1990" i="106"/>
  <c r="D1991" i="106"/>
  <c r="B1992" i="106"/>
  <c r="D1992" i="106"/>
  <c r="B1993" i="106"/>
  <c r="D1993" i="106"/>
  <c r="D1994" i="106"/>
  <c r="I23" i="12"/>
  <c r="B1995" i="106"/>
  <c r="D1995" i="106"/>
  <c r="D1997" i="106"/>
  <c r="D1998" i="106"/>
  <c r="D1999" i="106"/>
  <c r="D2000" i="106"/>
  <c r="D2001" i="106"/>
  <c r="D2002" i="106"/>
  <c r="D2003" i="106"/>
  <c r="D2004" i="106"/>
  <c r="D2005" i="106"/>
  <c r="D2006" i="106"/>
  <c r="D2007" i="106"/>
  <c r="B2008" i="106"/>
  <c r="D2008" i="106"/>
  <c r="B2009" i="106"/>
  <c r="D2009" i="106"/>
  <c r="B2010" i="106"/>
  <c r="D2010" i="106"/>
  <c r="B2011" i="106"/>
  <c r="D2011" i="106"/>
  <c r="B2012" i="106"/>
  <c r="D2012" i="106"/>
  <c r="B2014" i="106"/>
  <c r="D2014" i="106"/>
  <c r="B2015" i="106"/>
  <c r="D2015" i="106"/>
  <c r="B2016" i="106"/>
  <c r="D2016" i="106"/>
  <c r="B2017" i="106"/>
  <c r="D2017" i="106"/>
  <c r="B2018" i="106"/>
  <c r="D2018" i="106"/>
  <c r="D16" i="11"/>
  <c r="B2019" i="106"/>
  <c r="D2019" i="106"/>
  <c r="B2020" i="106"/>
  <c r="D2020" i="106"/>
  <c r="B2021" i="106"/>
  <c r="D2021" i="106"/>
  <c r="B2022" i="106"/>
  <c r="D2022" i="106"/>
  <c r="B2023" i="106"/>
  <c r="D2023" i="106"/>
  <c r="B2024" i="106"/>
  <c r="D2024" i="106"/>
  <c r="E16" i="11"/>
  <c r="B2025" i="106"/>
  <c r="D2025" i="106"/>
  <c r="F8" i="11"/>
  <c r="B2027" i="106"/>
  <c r="D2027" i="106"/>
  <c r="F10" i="11"/>
  <c r="B2028" i="106"/>
  <c r="D2028" i="106"/>
  <c r="F12" i="11"/>
  <c r="B2029" i="106"/>
  <c r="D2029" i="106"/>
  <c r="F13" i="11"/>
  <c r="B2030" i="106"/>
  <c r="D2030" i="106"/>
  <c r="D2032" i="106"/>
  <c r="B2033" i="106"/>
  <c r="D2033" i="106"/>
  <c r="B2034" i="106"/>
  <c r="D2034" i="106"/>
  <c r="B2035" i="106"/>
  <c r="D2035" i="106"/>
  <c r="B2036" i="106"/>
  <c r="D2036" i="106"/>
  <c r="H16" i="11"/>
  <c r="B2037" i="106"/>
  <c r="D2037" i="106"/>
  <c r="D2038" i="106"/>
  <c r="B2039" i="106"/>
  <c r="D2039" i="106"/>
  <c r="B2040" i="106"/>
  <c r="D2040" i="106"/>
  <c r="B2041" i="106"/>
  <c r="D2041" i="106"/>
  <c r="B2042" i="106"/>
  <c r="D2042" i="106"/>
  <c r="I16" i="11"/>
  <c r="B2043" i="106"/>
  <c r="D2043" i="106"/>
  <c r="D2044" i="106"/>
  <c r="B2045" i="106"/>
  <c r="D2045" i="106"/>
  <c r="B2046" i="106"/>
  <c r="D2046" i="106"/>
  <c r="B2047" i="106"/>
  <c r="D2047" i="106"/>
  <c r="B2048" i="106"/>
  <c r="D2048" i="106"/>
  <c r="J16" i="11"/>
  <c r="B2049" i="106"/>
  <c r="D2049" i="106"/>
  <c r="D2050" i="106"/>
  <c r="K8" i="11"/>
  <c r="B2051" i="106"/>
  <c r="D2051" i="106"/>
  <c r="K10" i="11"/>
  <c r="B2052" i="106"/>
  <c r="D2052" i="106"/>
  <c r="K12" i="11"/>
  <c r="B2053" i="106"/>
  <c r="D2053" i="106"/>
  <c r="K13" i="11"/>
  <c r="B2054" i="106"/>
  <c r="D2054"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2" i="106"/>
  <c r="D2092" i="106" s="1"/>
  <c r="D2095" i="106"/>
  <c r="D2096" i="106"/>
  <c r="D2097" i="106"/>
  <c r="D2098" i="106"/>
  <c r="D2099" i="106"/>
  <c r="D2100" i="106"/>
  <c r="D2101" i="106"/>
  <c r="D2103" i="106"/>
  <c r="D2104" i="106"/>
  <c r="B2107" i="106"/>
  <c r="D2107" i="106"/>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c r="D2565" i="106"/>
  <c r="D2576" i="106"/>
  <c r="D2577" i="106"/>
  <c r="D2578" i="106"/>
  <c r="D2579" i="106"/>
  <c r="D2580" i="106"/>
  <c r="D2581" i="106"/>
  <c r="D2582" i="106"/>
  <c r="D2583" i="106"/>
  <c r="D2584" i="106"/>
  <c r="D2585" i="106"/>
  <c r="D2586" i="106"/>
  <c r="D2587" i="106"/>
  <c r="D2588" i="106"/>
  <c r="D2589" i="106"/>
  <c r="D2590" i="106"/>
  <c r="D2592" i="106"/>
  <c r="B2602" i="106"/>
  <c r="D2602" i="106" s="1"/>
  <c r="D2610" i="106"/>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21" i="106"/>
  <c r="D2721" i="106" s="1"/>
  <c r="B2722" i="106"/>
  <c r="D2722" i="106"/>
  <c r="B2723" i="106"/>
  <c r="D2723" i="106"/>
  <c r="B2725" i="106"/>
  <c r="D2725" i="106" s="1"/>
  <c r="B2727" i="106"/>
  <c r="D2727" i="106"/>
  <c r="B2728" i="106"/>
  <c r="D2728" i="106"/>
  <c r="B2729" i="106"/>
  <c r="D2729" i="106"/>
  <c r="B2730" i="106"/>
  <c r="D2730" i="106"/>
  <c r="B2731" i="106"/>
  <c r="D2731" i="106"/>
  <c r="B2732" i="106"/>
  <c r="D2732" i="106"/>
  <c r="F4" i="8"/>
  <c r="B2733" i="106"/>
  <c r="D2733" i="106"/>
  <c r="F25" i="8"/>
  <c r="B2734" i="106"/>
  <c r="D2734" i="106"/>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D2759" i="106"/>
  <c r="B2760" i="106"/>
  <c r="D2760" i="106" s="1"/>
  <c r="D2761" i="106"/>
  <c r="B2763" i="106"/>
  <c r="D2763" i="106" s="1"/>
  <c r="D2764" i="106"/>
  <c r="D2765" i="106"/>
  <c r="B2766" i="106"/>
  <c r="D2766" i="106" s="1"/>
  <c r="D2767" i="106"/>
  <c r="D2768" i="106"/>
  <c r="B2769" i="106"/>
  <c r="D2769" i="106" s="1"/>
  <c r="D2770" i="106"/>
  <c r="D2771" i="106"/>
  <c r="D2773" i="106"/>
  <c r="D2774" i="106"/>
  <c r="D2775" i="106"/>
  <c r="D2776" i="106"/>
  <c r="D2777" i="106"/>
  <c r="D2778" i="106"/>
  <c r="D2779" i="106"/>
  <c r="D2780" i="106"/>
  <c r="D2781" i="106"/>
  <c r="D2782" i="106"/>
  <c r="D2783" i="106"/>
  <c r="D2784" i="106"/>
  <c r="D2785" i="106"/>
  <c r="D2786" i="106"/>
  <c r="D2787" i="106"/>
  <c r="D2788" i="106"/>
  <c r="B2792" i="106"/>
  <c r="D2792" i="106" s="1"/>
  <c r="D2793" i="106"/>
  <c r="B2794" i="106"/>
  <c r="D2794" i="106" s="1"/>
  <c r="B2797" i="106"/>
  <c r="D2797" i="106" s="1"/>
  <c r="B2798" i="106"/>
  <c r="D2798" i="106" s="1"/>
  <c r="B2799" i="106"/>
  <c r="D2799" i="106" s="1"/>
  <c r="B2800" i="106"/>
  <c r="D2800" i="106" s="1"/>
  <c r="B2801" i="106"/>
  <c r="D2801" i="106"/>
  <c r="B2802" i="106"/>
  <c r="D2802" i="106" s="1"/>
  <c r="D2803" i="106"/>
  <c r="D2804" i="106"/>
  <c r="B2806" i="106"/>
  <c r="D2806" i="106" s="1"/>
  <c r="B2807" i="106"/>
  <c r="D2807" i="106"/>
  <c r="B2808" i="106"/>
  <c r="D2808" i="106" s="1"/>
  <c r="D2809" i="106"/>
  <c r="B2812" i="106"/>
  <c r="D2812" i="106" s="1"/>
  <c r="B2813" i="106"/>
  <c r="D2813" i="106" s="1"/>
  <c r="D2814" i="106"/>
  <c r="D2815" i="106"/>
  <c r="D2816" i="106"/>
  <c r="B2821" i="106"/>
  <c r="D2821" i="106" s="1"/>
  <c r="B2822" i="106"/>
  <c r="D2822" i="106" s="1"/>
  <c r="B2824" i="106"/>
  <c r="D2824" i="106" s="1"/>
  <c r="B2825" i="106"/>
  <c r="D2825" i="106" s="1"/>
  <c r="B2826" i="106"/>
  <c r="D2826" i="106"/>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D2849" i="106"/>
  <c r="D2850" i="106"/>
  <c r="D2851" i="106"/>
  <c r="D2852" i="106"/>
  <c r="D2853" i="106"/>
  <c r="B2854" i="106"/>
  <c r="D2854" i="106"/>
  <c r="B2855" i="106"/>
  <c r="D2855" i="106"/>
  <c r="B2856" i="106"/>
  <c r="D2856" i="106"/>
  <c r="D2857" i="106"/>
  <c r="B2858" i="106"/>
  <c r="D2858" i="106"/>
  <c r="D2859" i="106"/>
  <c r="B2860" i="106"/>
  <c r="D2860" i="106"/>
  <c r="D2861" i="106"/>
  <c r="B2862" i="106"/>
  <c r="D2862" i="106"/>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c r="D2886" i="106"/>
  <c r="B2887" i="106"/>
  <c r="D2887" i="106" s="1"/>
  <c r="D2889" i="106"/>
  <c r="D2890" i="106"/>
  <c r="B2891" i="106"/>
  <c r="D2891" i="106" s="1"/>
  <c r="B2892" i="106"/>
  <c r="D2892" i="106" s="1"/>
  <c r="D2893" i="106"/>
  <c r="D2896" i="106"/>
  <c r="D2897" i="106"/>
  <c r="D2898" i="106"/>
  <c r="D2899" i="106"/>
  <c r="D2900" i="106"/>
  <c r="D2901" i="106"/>
  <c r="D2902" i="106"/>
  <c r="D2903" i="106"/>
  <c r="D2904" i="106"/>
  <c r="D2905" i="106"/>
  <c r="D2906" i="106"/>
  <c r="D2907" i="106"/>
  <c r="B2908" i="106"/>
  <c r="D2908" i="106" s="1"/>
  <c r="D2909" i="106"/>
  <c r="I34" i="3"/>
  <c r="B2910" i="106" s="1"/>
  <c r="D2910"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2" i="106"/>
  <c r="D2952" i="106" s="1"/>
  <c r="B2953" i="106"/>
  <c r="D2953" i="106"/>
  <c r="B2954" i="106"/>
  <c r="D2954" i="106" s="1"/>
  <c r="B2955" i="106"/>
  <c r="D2955" i="106" s="1"/>
  <c r="B2956" i="106"/>
  <c r="D2956" i="106" s="1"/>
  <c r="B2958" i="106"/>
  <c r="D2958" i="106" s="1"/>
  <c r="B2959" i="106"/>
  <c r="D2959" i="106" s="1"/>
  <c r="B2960" i="106"/>
  <c r="D2960" i="106" s="1"/>
  <c r="D2961" i="106"/>
  <c r="D2962" i="106"/>
  <c r="D2963" i="106"/>
  <c r="D2964" i="106"/>
  <c r="D2965" i="106"/>
  <c r="D2966" i="106"/>
  <c r="D2967" i="106"/>
  <c r="D2968" i="106"/>
  <c r="D2969" i="106"/>
  <c r="D2970" i="106"/>
  <c r="D2971" i="106"/>
  <c r="D2972" i="106"/>
  <c r="B2980" i="106"/>
  <c r="D2980" i="106" s="1"/>
  <c r="B2981" i="106"/>
  <c r="D2981" i="106"/>
  <c r="D2982" i="106"/>
  <c r="D2983" i="106"/>
  <c r="D2984" i="106"/>
  <c r="D2985" i="106"/>
  <c r="B2989" i="106"/>
  <c r="D2989" i="106" s="1"/>
  <c r="B2990" i="106"/>
  <c r="D2990" i="106" s="1"/>
  <c r="B2992" i="106"/>
  <c r="D2992" i="106" s="1"/>
  <c r="B2993" i="106"/>
  <c r="D2993" i="106" s="1"/>
  <c r="B2995" i="106"/>
  <c r="D2995" i="106" s="1"/>
  <c r="B2996" i="106"/>
  <c r="D2996" i="106" s="1"/>
  <c r="B2997" i="106"/>
  <c r="D2997" i="106" s="1"/>
  <c r="B2998" i="106"/>
  <c r="D2998"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B3230" i="106"/>
  <c r="D3230" i="106" s="1"/>
  <c r="D3240" i="106"/>
  <c r="D3241" i="106"/>
  <c r="D3242" i="106"/>
  <c r="D3243" i="106"/>
  <c r="D3244" i="106"/>
  <c r="D3245" i="106"/>
  <c r="D3246" i="106"/>
  <c r="D3247" i="106"/>
  <c r="D3248" i="106"/>
  <c r="D3249" i="106"/>
  <c r="D3250" i="106"/>
  <c r="B3253" i="106"/>
  <c r="D3253" i="106"/>
  <c r="B3257" i="106"/>
  <c r="D3257" i="106" s="1"/>
  <c r="B3259" i="106"/>
  <c r="D3259" i="106" s="1"/>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70" i="106"/>
  <c r="D3370" i="106" s="1"/>
  <c r="B3373" i="106"/>
  <c r="D3373" i="106" s="1"/>
  <c r="B3375" i="106"/>
  <c r="D3375" i="106" s="1"/>
  <c r="B3376" i="106"/>
  <c r="D3376" i="106" s="1"/>
  <c r="B3377" i="106"/>
  <c r="D3377" i="106" s="1"/>
  <c r="D3378" i="106"/>
  <c r="D3379" i="106"/>
  <c r="D3382" i="106"/>
  <c r="D3383" i="106"/>
  <c r="D3384" i="106"/>
  <c r="D3385" i="106"/>
  <c r="D3386" i="106"/>
  <c r="B3388" i="106"/>
  <c r="D3388" i="106" s="1"/>
  <c r="B3389" i="106"/>
  <c r="D3389" i="106"/>
  <c r="D3393" i="106"/>
  <c r="D3394" i="106"/>
  <c r="D3395" i="106"/>
  <c r="D3396" i="106"/>
  <c r="D3397" i="106"/>
  <c r="D3398" i="106"/>
  <c r="D3399" i="106"/>
  <c r="D3400" i="106"/>
  <c r="D3401" i="106"/>
  <c r="D3402" i="106"/>
  <c r="D3403" i="106"/>
  <c r="D3404" i="106"/>
  <c r="D3407" i="106"/>
  <c r="D3410" i="106"/>
  <c r="D3412" i="106"/>
  <c r="D3413" i="106"/>
  <c r="D3415" i="106"/>
  <c r="D3416" i="106"/>
  <c r="D3418" i="106"/>
  <c r="B3419" i="106"/>
  <c r="D3419" i="106" s="1"/>
  <c r="D3420" i="106"/>
  <c r="D3421" i="106"/>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c r="F16" i="7"/>
  <c r="B3449" i="106"/>
  <c r="D3449" i="106"/>
  <c r="B3450" i="106"/>
  <c r="D3450" i="106"/>
  <c r="B3451" i="106"/>
  <c r="D3451" i="106"/>
  <c r="B3452" i="106"/>
  <c r="D3452" i="106"/>
  <c r="B3453" i="106"/>
  <c r="D3453" i="106"/>
  <c r="F15" i="11"/>
  <c r="B3454" i="106"/>
  <c r="D3454" i="106"/>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5" i="106"/>
  <c r="D3485" i="106" s="1"/>
  <c r="B3486" i="106"/>
  <c r="D3486" i="106" s="1"/>
  <c r="B3487" i="106"/>
  <c r="D3487" i="106" s="1"/>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c r="D3547" i="106"/>
  <c r="B3548" i="106"/>
  <c r="D3548" i="106" s="1"/>
  <c r="B3549" i="106"/>
  <c r="D3549" i="106" s="1"/>
  <c r="B3550" i="106"/>
  <c r="D3550" i="106" s="1"/>
  <c r="D3553" i="106"/>
  <c r="D3554" i="106"/>
  <c r="D3555" i="106"/>
  <c r="D3556" i="106"/>
  <c r="D3557" i="106"/>
  <c r="D3558" i="106"/>
  <c r="D3559" i="106"/>
  <c r="D3560" i="106"/>
  <c r="B3561" i="106"/>
  <c r="D3561" i="106" s="1"/>
  <c r="D3563" i="106"/>
  <c r="D3564" i="106"/>
  <c r="B3577" i="106"/>
  <c r="D3577" i="106" s="1"/>
  <c r="B3578" i="106"/>
  <c r="D3578" i="106" s="1"/>
  <c r="B3579" i="106"/>
  <c r="D3579" i="106" s="1"/>
  <c r="B3582" i="106"/>
  <c r="D3582" i="106" s="1"/>
  <c r="B3583" i="106"/>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E352" i="29" s="1"/>
  <c r="B3634" i="106"/>
  <c r="D3634" i="106" s="1"/>
  <c r="D3637" i="106"/>
  <c r="B3638" i="106"/>
  <c r="D3638" i="106" s="1"/>
  <c r="B3639" i="106"/>
  <c r="D3639" i="106" s="1"/>
  <c r="F350" i="29"/>
  <c r="B3641" i="106"/>
  <c r="D3641" i="106"/>
  <c r="D3644" i="106"/>
  <c r="B3645" i="106"/>
  <c r="D3645" i="106" s="1"/>
  <c r="D3651" i="106"/>
  <c r="B3652" i="106"/>
  <c r="D3652" i="106" s="1"/>
  <c r="B3657" i="106"/>
  <c r="D3657" i="106"/>
  <c r="H362" i="29"/>
  <c r="D3659" i="106"/>
  <c r="D3661" i="106"/>
  <c r="D3662" i="106"/>
  <c r="D3663" i="106"/>
  <c r="D3664" i="106"/>
  <c r="D3665" i="106"/>
  <c r="D3666" i="106"/>
  <c r="D3667" i="106"/>
  <c r="D3673" i="106"/>
  <c r="K360" i="29"/>
  <c r="B3675" i="106"/>
  <c r="D3675" i="106" s="1"/>
  <c r="K361" i="29"/>
  <c r="B7239" i="106" s="1"/>
  <c r="D7239" i="106" s="1"/>
  <c r="D3677" i="106"/>
  <c r="K364" i="29"/>
  <c r="B7746" i="106" s="1"/>
  <c r="D7746" i="106" s="1"/>
  <c r="D3679" i="106"/>
  <c r="D3680" i="106"/>
  <c r="B3682" i="106"/>
  <c r="D3682" i="106"/>
  <c r="B3683" i="106"/>
  <c r="D3683" i="106"/>
  <c r="B3684" i="106"/>
  <c r="D3684" i="106"/>
  <c r="B3685" i="106"/>
  <c r="D3685" i="106"/>
  <c r="B3686" i="106"/>
  <c r="D3686" i="106"/>
  <c r="B3687" i="106"/>
  <c r="D3687" i="106"/>
  <c r="D3690" i="106"/>
  <c r="D3691" i="106"/>
  <c r="D3692" i="106"/>
  <c r="D3693" i="106"/>
  <c r="D3694" i="106"/>
  <c r="D3695" i="106"/>
  <c r="D3696" i="106"/>
  <c r="D3697" i="106"/>
  <c r="B3698" i="106"/>
  <c r="D3698" i="106" s="1"/>
  <c r="B3699" i="106"/>
  <c r="D3699" i="106"/>
  <c r="D3700" i="106"/>
  <c r="D3701" i="106"/>
  <c r="D3704" i="106"/>
  <c r="D3705" i="106"/>
  <c r="D3706" i="106"/>
  <c r="D3707" i="106"/>
  <c r="D3708" i="106"/>
  <c r="D3709" i="106"/>
  <c r="D3710" i="106"/>
  <c r="D3711" i="106"/>
  <c r="D3712" i="106"/>
  <c r="D3713" i="106"/>
  <c r="D3714" i="106"/>
  <c r="D3715" i="106"/>
  <c r="D3716" i="106"/>
  <c r="D3719" i="106"/>
  <c r="D3720" i="106"/>
  <c r="B3721" i="106"/>
  <c r="D3721" i="106" s="1"/>
  <c r="B3727" i="106"/>
  <c r="D3727" i="106"/>
  <c r="F13" i="7"/>
  <c r="B3728" i="106"/>
  <c r="D3728" i="106"/>
  <c r="B3729" i="106"/>
  <c r="D3729" i="106"/>
  <c r="B3730" i="106"/>
  <c r="D3730" i="106"/>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81" i="106"/>
  <c r="D4081" i="106"/>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c r="B4107" i="106"/>
  <c r="D4107" i="106"/>
  <c r="F17" i="7"/>
  <c r="B4108" i="106"/>
  <c r="D4108" i="106"/>
  <c r="F18" i="7"/>
  <c r="B4109" i="106"/>
  <c r="D4109" i="106"/>
  <c r="B4110" i="106"/>
  <c r="D4110" i="106"/>
  <c r="B4111" i="106"/>
  <c r="D4111" i="106"/>
  <c r="D4112" i="106"/>
  <c r="B4114" i="106"/>
  <c r="D4114" i="106"/>
  <c r="B4115" i="106"/>
  <c r="D4115" i="106"/>
  <c r="B4116" i="106"/>
  <c r="D4116" i="106"/>
  <c r="B4117" i="106"/>
  <c r="D4117" i="106"/>
  <c r="B4118" i="106"/>
  <c r="D4118" i="106"/>
  <c r="D4119" i="106"/>
  <c r="D4120" i="106"/>
  <c r="B4121" i="106"/>
  <c r="D4121" i="106"/>
  <c r="D4129" i="106"/>
  <c r="D18" i="4"/>
  <c r="B4132" i="106"/>
  <c r="D4132" i="106"/>
  <c r="F18" i="4"/>
  <c r="B4133" i="106"/>
  <c r="D4133" i="106"/>
  <c r="H18" i="4"/>
  <c r="B4134" i="106"/>
  <c r="D4134" i="106"/>
  <c r="K18" i="4"/>
  <c r="B4135" i="106"/>
  <c r="D4135"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c r="D4172" i="106"/>
  <c r="H49" i="8"/>
  <c r="B4173" i="106"/>
  <c r="D4173" i="106"/>
  <c r="D4174" i="106"/>
  <c r="E18" i="4"/>
  <c r="B4175" i="106"/>
  <c r="D4175" i="106"/>
  <c r="G18" i="4"/>
  <c r="B4176" i="106"/>
  <c r="D4176" i="106"/>
  <c r="G49" i="8"/>
  <c r="B4177" i="106"/>
  <c r="D4177" i="106"/>
  <c r="D4178" i="106"/>
  <c r="B4179" i="106"/>
  <c r="D4179" i="106"/>
  <c r="B4180" i="106"/>
  <c r="D4180" i="106"/>
  <c r="B4181" i="106"/>
  <c r="D4181" i="106"/>
  <c r="D4182" i="106"/>
  <c r="D4183" i="106"/>
  <c r="D4184" i="106"/>
  <c r="D4185" i="106"/>
  <c r="D4186" i="106"/>
  <c r="D4187" i="106"/>
  <c r="D4188" i="106"/>
  <c r="B4189" i="106"/>
  <c r="D4189" i="106" s="1"/>
  <c r="B4190" i="106"/>
  <c r="D4190" i="106" s="1"/>
  <c r="B4192" i="106"/>
  <c r="D4192" i="106" s="1"/>
  <c r="D4193" i="106"/>
  <c r="D4194" i="106"/>
  <c r="D4195" i="106"/>
  <c r="D4196" i="106"/>
  <c r="D4197" i="106"/>
  <c r="D4198" i="106"/>
  <c r="B4200" i="106"/>
  <c r="D4200" i="106" s="1"/>
  <c r="B4201" i="106"/>
  <c r="D4201"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c r="B4267" i="106"/>
  <c r="D4267" i="106"/>
  <c r="J10" i="37"/>
  <c r="B4268" i="106"/>
  <c r="D4268" i="106"/>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c r="B4299" i="106"/>
  <c r="D4299" i="106"/>
  <c r="B4300" i="106"/>
  <c r="D4300" i="106"/>
  <c r="B4301" i="106"/>
  <c r="D4301" i="106"/>
  <c r="B4302" i="106"/>
  <c r="D4302" i="106"/>
  <c r="B4303" i="106"/>
  <c r="D4303" i="106"/>
  <c r="B4304" i="106"/>
  <c r="D4304" i="106"/>
  <c r="B4305" i="106"/>
  <c r="D4305" i="106"/>
  <c r="B4306" i="106"/>
  <c r="D4306" i="106"/>
  <c r="B4307" i="106"/>
  <c r="D4307" i="106"/>
  <c r="B4308" i="106"/>
  <c r="D4308" i="106"/>
  <c r="B4310" i="106"/>
  <c r="D4310" i="106" s="1"/>
  <c r="B4311" i="106"/>
  <c r="D4311" i="106" s="1"/>
  <c r="B4312" i="106"/>
  <c r="D4312" i="106" s="1"/>
  <c r="B4314" i="106"/>
  <c r="D4314" i="106" s="1"/>
  <c r="B4315" i="106"/>
  <c r="D4315" i="106" s="1"/>
  <c r="B4318" i="106"/>
  <c r="D4318" i="106" s="1"/>
  <c r="D4319" i="106"/>
  <c r="D4320" i="106"/>
  <c r="B4321" i="106"/>
  <c r="D4321" i="106" s="1"/>
  <c r="B4322" i="106"/>
  <c r="D4322" i="106" s="1"/>
  <c r="D4323" i="106"/>
  <c r="D4324" i="106"/>
  <c r="D4325" i="106"/>
  <c r="D4326" i="106"/>
  <c r="B4328" i="106"/>
  <c r="D4328" i="106" s="1"/>
  <c r="B4330" i="106"/>
  <c r="D4330" i="106"/>
  <c r="B4331" i="106"/>
  <c r="D4331" i="106" s="1"/>
  <c r="B4333" i="106"/>
  <c r="D4333" i="106" s="1"/>
  <c r="B4334" i="106"/>
  <c r="D4334" i="106" s="1"/>
  <c r="B4335" i="106"/>
  <c r="D4335" i="106" s="1"/>
  <c r="B4336" i="106"/>
  <c r="D4336" i="106" s="1"/>
  <c r="B4337" i="106"/>
  <c r="D4337" i="106" s="1"/>
  <c r="B4338" i="106"/>
  <c r="D4338" i="106" s="1"/>
  <c r="B4339" i="106"/>
  <c r="D4339" i="106" s="1"/>
  <c r="B4340" i="106"/>
  <c r="D4340" i="106" s="1"/>
  <c r="B4342" i="106"/>
  <c r="D4342" i="106"/>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c r="B4355" i="106"/>
  <c r="D4355" i="106" s="1"/>
  <c r="B4356" i="106"/>
  <c r="D4356" i="106" s="1"/>
  <c r="B4358" i="106"/>
  <c r="D4358" i="106" s="1"/>
  <c r="B4360" i="106"/>
  <c r="D4360" i="106" s="1"/>
  <c r="B4361" i="106"/>
  <c r="D4361" i="106" s="1"/>
  <c r="B4362" i="106"/>
  <c r="D4362" i="106" s="1"/>
  <c r="B4364" i="106"/>
  <c r="D4364" i="106" s="1"/>
  <c r="B4365" i="106"/>
  <c r="D4365" i="106" s="1"/>
  <c r="B4366" i="106"/>
  <c r="D4366" i="106"/>
  <c r="D4367" i="106"/>
  <c r="B4368" i="106"/>
  <c r="D4368" i="106" s="1"/>
  <c r="B4369" i="106"/>
  <c r="D4369" i="106" s="1"/>
  <c r="B4370" i="106"/>
  <c r="D4370" i="106"/>
  <c r="D4371" i="106"/>
  <c r="D4374" i="106"/>
  <c r="B4375" i="106"/>
  <c r="D4375"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D4399" i="106"/>
  <c r="D4400" i="106"/>
  <c r="D4401" i="106"/>
  <c r="D4402" i="106"/>
  <c r="D4403" i="106"/>
  <c r="D4404" i="106"/>
  <c r="D4405" i="106"/>
  <c r="D4406" i="106"/>
  <c r="B4407" i="106"/>
  <c r="D4407" i="106" s="1"/>
  <c r="B4409" i="106"/>
  <c r="D4409" i="106" s="1"/>
  <c r="B4410" i="106"/>
  <c r="D4410" i="106" s="1"/>
  <c r="B4415" i="106"/>
  <c r="D4415" i="106" s="1"/>
  <c r="B4416" i="106"/>
  <c r="D4416" i="106" s="1"/>
  <c r="B4417" i="106"/>
  <c r="D4417" i="106" s="1"/>
  <c r="B4419" i="106"/>
  <c r="D4419" i="106" s="1"/>
  <c r="B4420" i="106"/>
  <c r="D4420"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B4771" i="106"/>
  <c r="D4771"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7" i="106"/>
  <c r="D4797" i="106" s="1"/>
  <c r="D4798" i="106"/>
  <c r="B4799" i="106"/>
  <c r="D4799" i="106"/>
  <c r="D4800" i="106"/>
  <c r="B4802" i="106"/>
  <c r="D4802" i="106" s="1"/>
  <c r="D4803" i="106"/>
  <c r="B4804" i="106"/>
  <c r="D4804" i="106"/>
  <c r="B4806" i="106"/>
  <c r="D4806" i="106" s="1"/>
  <c r="D4807" i="106"/>
  <c r="B4808" i="106"/>
  <c r="D4808" i="106" s="1"/>
  <c r="D4809" i="106"/>
  <c r="B4810" i="106"/>
  <c r="D4810" i="106" s="1"/>
  <c r="D4812" i="106"/>
  <c r="B4813" i="106"/>
  <c r="D4813" i="106" s="1"/>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c r="B4865" i="106"/>
  <c r="D4865" i="106" s="1"/>
  <c r="D4866" i="106"/>
  <c r="D4867" i="106"/>
  <c r="D4869" i="106"/>
  <c r="D4870" i="106"/>
  <c r="D4871" i="106"/>
  <c r="D4872" i="106"/>
  <c r="D4873" i="106"/>
  <c r="B4874" i="106"/>
  <c r="D4874" i="106"/>
  <c r="B4875" i="106"/>
  <c r="D4875" i="106"/>
  <c r="B4876" i="106"/>
  <c r="D4876" i="106"/>
  <c r="B4877" i="106"/>
  <c r="D4877" i="106"/>
  <c r="B4878" i="106"/>
  <c r="D4878" i="106"/>
  <c r="D4879" i="106"/>
  <c r="D4880" i="106"/>
  <c r="B4881" i="106"/>
  <c r="D4881" i="106"/>
  <c r="B4882" i="106"/>
  <c r="D4882" i="106" s="1"/>
  <c r="B4883" i="106"/>
  <c r="D4883"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c r="B4917" i="106"/>
  <c r="D4917" i="106" s="1"/>
  <c r="B4918" i="106"/>
  <c r="D4918" i="106" s="1"/>
  <c r="B4919" i="106"/>
  <c r="D4919"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c r="B4946" i="106"/>
  <c r="D4946" i="106" s="1"/>
  <c r="B4947" i="106"/>
  <c r="D4947" i="106" s="1"/>
  <c r="B4948" i="106"/>
  <c r="D4948" i="106" s="1"/>
  <c r="B4949" i="106"/>
  <c r="D4949"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c r="H31" i="37"/>
  <c r="B4996" i="106" s="1"/>
  <c r="D4996" i="106" s="1"/>
  <c r="D4998" i="106"/>
  <c r="D4999" i="106"/>
  <c r="D5001" i="106"/>
  <c r="D5002" i="106"/>
  <c r="D5003" i="106"/>
  <c r="D5004" i="106"/>
  <c r="D5005" i="106"/>
  <c r="D5006" i="106"/>
  <c r="D5007" i="106"/>
  <c r="D5008" i="106"/>
  <c r="D5009" i="106"/>
  <c r="D5010" i="106"/>
  <c r="B5012" i="106"/>
  <c r="D5012" i="106" s="1"/>
  <c r="B5013" i="106"/>
  <c r="D5013" i="106" s="1"/>
  <c r="D5015" i="106"/>
  <c r="D5016" i="106"/>
  <c r="D5017" i="106"/>
  <c r="D5018" i="106"/>
  <c r="D5019" i="106"/>
  <c r="D5020" i="106"/>
  <c r="D5021" i="106"/>
  <c r="B5022" i="106"/>
  <c r="D5022" i="106" s="1"/>
  <c r="D5025" i="106"/>
  <c r="B5026" i="106"/>
  <c r="D5026" i="106" s="1"/>
  <c r="B5027" i="106"/>
  <c r="D5027"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c r="B5057" i="106"/>
  <c r="D5057" i="106"/>
  <c r="B5058" i="106"/>
  <c r="D5058" i="106"/>
  <c r="B5059" i="106"/>
  <c r="D5059" i="106"/>
  <c r="B5060" i="106"/>
  <c r="D5060" i="106"/>
  <c r="B5061" i="106"/>
  <c r="D5061" i="106"/>
  <c r="D5062" i="106"/>
  <c r="B5063" i="106"/>
  <c r="D5063" i="106" s="1"/>
  <c r="B5067" i="106"/>
  <c r="D5067" i="106" s="1"/>
  <c r="B5068" i="106"/>
  <c r="D5068" i="106" s="1"/>
  <c r="B5069" i="106"/>
  <c r="D5069" i="106" s="1"/>
  <c r="B5070" i="106"/>
  <c r="D5070" i="106" s="1"/>
  <c r="B5072" i="106"/>
  <c r="D5072" i="106" s="1"/>
  <c r="B5073" i="106"/>
  <c r="D5073" i="106" s="1"/>
  <c r="B5075" i="106"/>
  <c r="D5075" i="106" s="1"/>
  <c r="B5076" i="106"/>
  <c r="D5076" i="106" s="1"/>
  <c r="B5077" i="106"/>
  <c r="D5077" i="106" s="1"/>
  <c r="B5078" i="106"/>
  <c r="D5078" i="106" s="1"/>
  <c r="B5079" i="106"/>
  <c r="D5079" i="106" s="1"/>
  <c r="B5081" i="106"/>
  <c r="D5081" i="106" s="1"/>
  <c r="B5082" i="106"/>
  <c r="D5082" i="106" s="1"/>
  <c r="B5083" i="106"/>
  <c r="D5083" i="106" s="1"/>
  <c r="B5084" i="106"/>
  <c r="D5084" i="106" s="1"/>
  <c r="B5085" i="106"/>
  <c r="D5085" i="106" s="1"/>
  <c r="B5088" i="106"/>
  <c r="D5088" i="106" s="1"/>
  <c r="B5089" i="106"/>
  <c r="D5089" i="106"/>
  <c r="B5091" i="106"/>
  <c r="D5091" i="106" s="1"/>
  <c r="B5092" i="106"/>
  <c r="D5092" i="106" s="1"/>
  <c r="B5093" i="106"/>
  <c r="D5093" i="106" s="1"/>
  <c r="B5097" i="106"/>
  <c r="D5097" i="106"/>
  <c r="B5098" i="106"/>
  <c r="D5098" i="106" s="1"/>
  <c r="B5099" i="106"/>
  <c r="D5099" i="106" s="1"/>
  <c r="B5100" i="106"/>
  <c r="D5100" i="106" s="1"/>
  <c r="B5101" i="106"/>
  <c r="D5101" i="106" s="1"/>
  <c r="B5103" i="106"/>
  <c r="D5103" i="106" s="1"/>
  <c r="B5106" i="106"/>
  <c r="D5106" i="106"/>
  <c r="B5107" i="106"/>
  <c r="D5107" i="106" s="1"/>
  <c r="B5108" i="106"/>
  <c r="D5108" i="106" s="1"/>
  <c r="B5109" i="106"/>
  <c r="D5109" i="106" s="1"/>
  <c r="B5110" i="106"/>
  <c r="D5110" i="106" s="1"/>
  <c r="B5111" i="106"/>
  <c r="D5111" i="106" s="1"/>
  <c r="B5115" i="106"/>
  <c r="D5115" i="106" s="1"/>
  <c r="B5116" i="106"/>
  <c r="D5116" i="106" s="1"/>
  <c r="B5118" i="106"/>
  <c r="D5118" i="106" s="1"/>
  <c r="B5119" i="106"/>
  <c r="D5119" i="106" s="1"/>
  <c r="B5122" i="106"/>
  <c r="D5122" i="106" s="1"/>
  <c r="B5123" i="106"/>
  <c r="D5123" i="106" s="1"/>
  <c r="B5124" i="106"/>
  <c r="D5124" i="106" s="1"/>
  <c r="B5126" i="106"/>
  <c r="D5126" i="106"/>
  <c r="D5128" i="106"/>
  <c r="D5129" i="106"/>
  <c r="D5130" i="106"/>
  <c r="D5131" i="106"/>
  <c r="B5133" i="106"/>
  <c r="D5133" i="106" s="1"/>
  <c r="B5134" i="106"/>
  <c r="D5134" i="106" s="1"/>
  <c r="B5135" i="106"/>
  <c r="D5135" i="106" s="1"/>
  <c r="D5136" i="106"/>
  <c r="B5137" i="106"/>
  <c r="D5137" i="106" s="1"/>
  <c r="D5138" i="106"/>
  <c r="B5139" i="106"/>
  <c r="D5139" i="106" s="1"/>
  <c r="D5140" i="106"/>
  <c r="D5141" i="106"/>
  <c r="D5143" i="106"/>
  <c r="D5144" i="106"/>
  <c r="D5145" i="106"/>
  <c r="D5146" i="106"/>
  <c r="B5148" i="106"/>
  <c r="D5148" i="106" s="1"/>
  <c r="D5149" i="106"/>
  <c r="D5150" i="106"/>
  <c r="D5151" i="106"/>
  <c r="B5152" i="106"/>
  <c r="D5152" i="106"/>
  <c r="B5153" i="106"/>
  <c r="D5153" i="106" s="1"/>
  <c r="D5154" i="106"/>
  <c r="D5155" i="106"/>
  <c r="D5156" i="106"/>
  <c r="D5157" i="106"/>
  <c r="D5158" i="106"/>
  <c r="D5159" i="106"/>
  <c r="D5160" i="106"/>
  <c r="D5162" i="106"/>
  <c r="B5164" i="106"/>
  <c r="D5164" i="106" s="1"/>
  <c r="D5166" i="106"/>
  <c r="B5167" i="106"/>
  <c r="D5167" i="106" s="1"/>
  <c r="B5168" i="106"/>
  <c r="D5168" i="106" s="1"/>
  <c r="D5169" i="106"/>
  <c r="D5170" i="106"/>
  <c r="B5171" i="106"/>
  <c r="D5171" i="106" s="1"/>
  <c r="D5172" i="106"/>
  <c r="D5173" i="106"/>
  <c r="D5174" i="106"/>
  <c r="D5176" i="106"/>
  <c r="D5179" i="106"/>
  <c r="D5180" i="106"/>
  <c r="B5181" i="106"/>
  <c r="D5181" i="106" s="1"/>
  <c r="D5182" i="106"/>
  <c r="D5183" i="106"/>
  <c r="D5184" i="106"/>
  <c r="D5185" i="106"/>
  <c r="D5186" i="106"/>
  <c r="B5187" i="106"/>
  <c r="D5187" i="106"/>
  <c r="D5188" i="106"/>
  <c r="D5189" i="106"/>
  <c r="D5190" i="106"/>
  <c r="D5191" i="106"/>
  <c r="D5192" i="106"/>
  <c r="D5193" i="106"/>
  <c r="B5194" i="106"/>
  <c r="D5194" i="106"/>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2" i="106"/>
  <c r="D5242" i="106" s="1"/>
  <c r="B5243" i="106"/>
  <c r="D5243" i="106" s="1"/>
  <c r="D5244" i="106"/>
  <c r="D5245" i="106"/>
  <c r="B5247" i="106"/>
  <c r="D5247" i="106" s="1"/>
  <c r="B5248" i="106"/>
  <c r="D5248" i="106" s="1"/>
  <c r="D5249" i="106"/>
  <c r="D5250" i="106"/>
  <c r="D5251" i="106"/>
  <c r="D5252" i="106"/>
  <c r="D5253" i="106"/>
  <c r="D5254" i="106"/>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D5318" i="106"/>
  <c r="D5319" i="106"/>
  <c r="D5321" i="106"/>
  <c r="D5322" i="106"/>
  <c r="D5323" i="106"/>
  <c r="D5324" i="106"/>
  <c r="D5325" i="106"/>
  <c r="B5328" i="106"/>
  <c r="D5328" i="106" s="1"/>
  <c r="D5329" i="106"/>
  <c r="B5330" i="106"/>
  <c r="D5330" i="106" s="1"/>
  <c r="B5331" i="106"/>
  <c r="D5331" i="106"/>
  <c r="B5332" i="106"/>
  <c r="D5332" i="106" s="1"/>
  <c r="B5333" i="106"/>
  <c r="D5333" i="106" s="1"/>
  <c r="B5337" i="106"/>
  <c r="D5337" i="106" s="1"/>
  <c r="B5338" i="106"/>
  <c r="D5338" i="106"/>
  <c r="B5340" i="106"/>
  <c r="D5340" i="106" s="1"/>
  <c r="B5341" i="106"/>
  <c r="D5341" i="106" s="1"/>
  <c r="B5343" i="106"/>
  <c r="D5343" i="106" s="1"/>
  <c r="B5344" i="106"/>
  <c r="D5344" i="106" s="1"/>
  <c r="B5347" i="106"/>
  <c r="D5347" i="106" s="1"/>
  <c r="B5349" i="106"/>
  <c r="D5349" i="106" s="1"/>
  <c r="B5350" i="106"/>
  <c r="D5350" i="106" s="1"/>
  <c r="B5351" i="106"/>
  <c r="D5351" i="106" s="1"/>
  <c r="B5352" i="106"/>
  <c r="D5352" i="106" s="1"/>
  <c r="B5353" i="106"/>
  <c r="D5353" i="106" s="1"/>
  <c r="B5354" i="106"/>
  <c r="D5354" i="106"/>
  <c r="B5357" i="106"/>
  <c r="D5357" i="106" s="1"/>
  <c r="B5358" i="106"/>
  <c r="D5358" i="106" s="1"/>
  <c r="B5359" i="106"/>
  <c r="D5359" i="106" s="1"/>
  <c r="D5363" i="106"/>
  <c r="D5364" i="106"/>
  <c r="D5365" i="106"/>
  <c r="D5366" i="106"/>
  <c r="B5368" i="106"/>
  <c r="D5368" i="106" s="1"/>
  <c r="B5370" i="106"/>
  <c r="D5370" i="106"/>
  <c r="D5371" i="106"/>
  <c r="D5372" i="106"/>
  <c r="D5373" i="106"/>
  <c r="B5374" i="106"/>
  <c r="D5374" i="106" s="1"/>
  <c r="D5376" i="106"/>
  <c r="D5377" i="106"/>
  <c r="D5378" i="106"/>
  <c r="D5379" i="106"/>
  <c r="D5380" i="106"/>
  <c r="D5381" i="106"/>
  <c r="D5382" i="106"/>
  <c r="B5384" i="106"/>
  <c r="D5384" i="106"/>
  <c r="D5385" i="106"/>
  <c r="D5386" i="106"/>
  <c r="B5387" i="106"/>
  <c r="D5387" i="106" s="1"/>
  <c r="D5388" i="106"/>
  <c r="D5389" i="106"/>
  <c r="D5390" i="106"/>
  <c r="D5392" i="106"/>
  <c r="B5393" i="106"/>
  <c r="D5393" i="106"/>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D5427" i="106"/>
  <c r="D5428" i="106"/>
  <c r="D5429" i="106"/>
  <c r="D5430" i="106"/>
  <c r="B5431" i="106"/>
  <c r="D5431" i="106" s="1"/>
  <c r="B5432" i="106"/>
  <c r="D5432" i="106" s="1"/>
  <c r="D5433" i="106"/>
  <c r="D5434" i="106"/>
  <c r="D5435" i="106"/>
  <c r="D5436" i="106"/>
  <c r="D5437" i="106"/>
  <c r="D5438" i="106"/>
  <c r="B5439" i="106"/>
  <c r="D5439"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9" i="106"/>
  <c r="D5519" i="106" s="1"/>
  <c r="B5520" i="106"/>
  <c r="D5520" i="106" s="1"/>
  <c r="B5522" i="106"/>
  <c r="D5522" i="106" s="1"/>
  <c r="B5523" i="106"/>
  <c r="D5523" i="106" s="1"/>
  <c r="B5524" i="106"/>
  <c r="D5524" i="106" s="1"/>
  <c r="B5525" i="106"/>
  <c r="D5525" i="106" s="1"/>
  <c r="B5528" i="106"/>
  <c r="D5528" i="106" s="1"/>
  <c r="B5529" i="106"/>
  <c r="D5529" i="106"/>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8" i="106"/>
  <c r="D5558" i="106" s="1"/>
  <c r="B5559" i="106"/>
  <c r="D5559" i="106" s="1"/>
  <c r="B5560" i="106"/>
  <c r="D5560" i="106" s="1"/>
  <c r="B5561" i="106"/>
  <c r="D5561" i="106" s="1"/>
  <c r="B5563" i="106"/>
  <c r="D5563" i="106" s="1"/>
  <c r="B5564" i="106"/>
  <c r="D5564" i="106" s="1"/>
  <c r="B5567" i="106"/>
  <c r="D5567" i="106" s="1"/>
  <c r="B5568" i="106"/>
  <c r="D5568" i="106" s="1"/>
  <c r="B5569" i="106"/>
  <c r="D5569" i="106" s="1"/>
  <c r="B5570" i="106"/>
  <c r="D5570" i="106" s="1"/>
  <c r="B5573" i="106"/>
  <c r="D5573" i="106" s="1"/>
  <c r="B5574" i="106"/>
  <c r="D5574" i="106"/>
  <c r="B5575" i="106"/>
  <c r="D5575" i="106" s="1"/>
  <c r="B5576" i="106"/>
  <c r="D5576" i="106" s="1"/>
  <c r="B5580" i="106"/>
  <c r="D5580" i="106" s="1"/>
  <c r="B5581" i="106"/>
  <c r="D5581" i="106"/>
  <c r="B5583" i="106"/>
  <c r="D5583" i="106" s="1"/>
  <c r="B5584" i="106"/>
  <c r="D5584" i="106"/>
  <c r="B5586" i="106"/>
  <c r="D5586" i="106" s="1"/>
  <c r="B5589" i="106"/>
  <c r="D5589" i="106" s="1"/>
  <c r="B5590" i="106"/>
  <c r="D5590" i="106" s="1"/>
  <c r="B5594" i="106"/>
  <c r="D5594" i="106" s="1"/>
  <c r="D5595" i="106"/>
  <c r="D5596" i="106"/>
  <c r="D5597" i="106"/>
  <c r="D5598" i="106"/>
  <c r="B5600" i="106"/>
  <c r="D5600" i="106" s="1"/>
  <c r="B5601" i="106"/>
  <c r="D5601" i="106" s="1"/>
  <c r="B5602" i="106"/>
  <c r="D5602" i="106" s="1"/>
  <c r="D5603" i="106"/>
  <c r="D5605" i="106"/>
  <c r="B5606" i="106"/>
  <c r="D5606" i="106" s="1"/>
  <c r="D5607" i="106"/>
  <c r="D5608" i="106"/>
  <c r="B5609" i="106"/>
  <c r="D5609" i="106" s="1"/>
  <c r="D5610" i="106"/>
  <c r="D5611" i="106"/>
  <c r="D5612" i="106"/>
  <c r="D5613" i="106"/>
  <c r="B5615" i="106"/>
  <c r="D5615" i="106" s="1"/>
  <c r="D5616" i="106"/>
  <c r="B5617" i="106"/>
  <c r="D5617" i="106" s="1"/>
  <c r="D5620" i="106"/>
  <c r="D5621" i="106"/>
  <c r="D5622" i="106"/>
  <c r="D5623" i="106"/>
  <c r="D5624" i="106"/>
  <c r="B5625" i="106"/>
  <c r="D5625" i="106"/>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B5659" i="106"/>
  <c r="D5659" i="106" s="1"/>
  <c r="D5660" i="106"/>
  <c r="D5661" i="106"/>
  <c r="D5662" i="106"/>
  <c r="D5663" i="106"/>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c r="B5724" i="106"/>
  <c r="D5724" i="106" s="1"/>
  <c r="B5726" i="106"/>
  <c r="D5726" i="106" s="1"/>
  <c r="B5729" i="106"/>
  <c r="D5729" i="106" s="1"/>
  <c r="B5731" i="106"/>
  <c r="D5731" i="106" s="1"/>
  <c r="B5732" i="106"/>
  <c r="D5732" i="106" s="1"/>
  <c r="B5734" i="106"/>
  <c r="D5734" i="106"/>
  <c r="B5735" i="106"/>
  <c r="D5735" i="106" s="1"/>
  <c r="B5736" i="106"/>
  <c r="D5736" i="106" s="1"/>
  <c r="B5738" i="106"/>
  <c r="D5738" i="106" s="1"/>
  <c r="B5739" i="106"/>
  <c r="D5739" i="106"/>
  <c r="B5740" i="106"/>
  <c r="D5740"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D5781" i="106"/>
  <c r="D5782" i="106"/>
  <c r="D5783" i="106"/>
  <c r="B5785" i="106"/>
  <c r="D5785" i="106" s="1"/>
  <c r="D5786" i="106"/>
  <c r="D5787" i="106"/>
  <c r="D5788" i="106"/>
  <c r="D5789" i="106"/>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D5819" i="106"/>
  <c r="D5820" i="106"/>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D5861" i="106"/>
  <c r="D5862" i="106"/>
  <c r="D5864" i="106"/>
  <c r="D5865" i="106"/>
  <c r="D5866" i="106"/>
  <c r="D5867" i="106"/>
  <c r="D5868" i="106"/>
  <c r="B5871" i="106"/>
  <c r="D5871" i="106" s="1"/>
  <c r="B5872" i="106"/>
  <c r="D5872" i="106"/>
  <c r="B5874" i="106"/>
  <c r="D5874" i="106" s="1"/>
  <c r="B5875" i="106"/>
  <c r="D5875" i="106" s="1"/>
  <c r="B5876" i="106"/>
  <c r="D5876" i="106" s="1"/>
  <c r="B5877" i="106"/>
  <c r="D5877" i="106" s="1"/>
  <c r="B5879" i="106"/>
  <c r="D5879" i="106" s="1"/>
  <c r="B5883" i="106"/>
  <c r="D5883" i="106" s="1"/>
  <c r="B5884" i="106"/>
  <c r="D5884"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21" i="106"/>
  <c r="D5921" i="106"/>
  <c r="B5922" i="106"/>
  <c r="D5922" i="106" s="1"/>
  <c r="B5924" i="106"/>
  <c r="D5924" i="106" s="1"/>
  <c r="B5925" i="106"/>
  <c r="D5925" i="106" s="1"/>
  <c r="B5927" i="106"/>
  <c r="D5927" i="106" s="1"/>
  <c r="D5928" i="106"/>
  <c r="B5929" i="106"/>
  <c r="D5929"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c r="D6075" i="106"/>
  <c r="B6076" i="106"/>
  <c r="D6076" i="106"/>
  <c r="B6077" i="106"/>
  <c r="D6077" i="106"/>
  <c r="B6078" i="106"/>
  <c r="D6078" i="106"/>
  <c r="F27" i="8"/>
  <c r="B6079" i="106"/>
  <c r="D6079" i="106"/>
  <c r="D6080" i="106"/>
  <c r="B6082" i="106"/>
  <c r="D6082" i="106" s="1"/>
  <c r="B6083" i="106"/>
  <c r="D6083" i="106"/>
  <c r="B6084" i="106"/>
  <c r="D6084" i="106" s="1"/>
  <c r="B6085" i="106"/>
  <c r="D6085" i="106"/>
  <c r="B6086" i="106"/>
  <c r="D6086" i="106"/>
  <c r="B6087" i="106"/>
  <c r="D6087" i="106" s="1"/>
  <c r="B6088" i="106"/>
  <c r="D6088" i="106"/>
  <c r="B6089" i="106"/>
  <c r="D6089" i="106"/>
  <c r="B6090" i="106"/>
  <c r="D6090" i="106" s="1"/>
  <c r="B6091" i="106"/>
  <c r="D6091" i="106"/>
  <c r="B6092" i="106"/>
  <c r="D6092" i="106"/>
  <c r="B6094" i="106"/>
  <c r="D6094" i="106" s="1"/>
  <c r="B6095" i="106"/>
  <c r="D6095" i="106" s="1"/>
  <c r="B6096" i="106"/>
  <c r="D6096" i="106"/>
  <c r="B6097" i="106"/>
  <c r="D6097" i="106"/>
  <c r="B6098" i="106"/>
  <c r="D6098" i="106"/>
  <c r="B6099" i="106"/>
  <c r="D6099" i="106" s="1"/>
  <c r="A6103" i="106"/>
  <c r="B6103" i="106"/>
  <c r="B6104" i="106"/>
  <c r="D6104" i="106" s="1"/>
  <c r="B6107" i="106"/>
  <c r="D6107" i="106" s="1"/>
  <c r="B6108" i="106"/>
  <c r="D6108" i="106" s="1"/>
  <c r="B6109" i="106"/>
  <c r="D6109" i="106"/>
  <c r="B6110" i="106"/>
  <c r="D6110" i="106"/>
  <c r="B6111" i="106"/>
  <c r="D6111" i="106"/>
  <c r="B6112" i="106"/>
  <c r="D6112" i="106"/>
  <c r="B6113" i="106"/>
  <c r="D6113" i="106" s="1"/>
  <c r="B6114" i="106"/>
  <c r="D6114" i="106" s="1"/>
  <c r="B6115" i="106"/>
  <c r="D6115" i="106"/>
  <c r="B6116" i="106"/>
  <c r="D6116" i="106" s="1"/>
  <c r="B6117" i="106"/>
  <c r="D6117" i="106" s="1"/>
  <c r="B6118" i="106"/>
  <c r="D6118" i="106" s="1"/>
  <c r="B6120" i="106"/>
  <c r="D6120" i="106"/>
  <c r="B6121" i="106"/>
  <c r="D6121" i="106" s="1"/>
  <c r="B6123" i="106"/>
  <c r="D6123" i="106"/>
  <c r="B6125" i="106"/>
  <c r="D6125" i="106" s="1"/>
  <c r="B6126" i="106"/>
  <c r="D6126" i="106" s="1"/>
  <c r="B6127" i="106"/>
  <c r="D6127" i="106" s="1"/>
  <c r="B6128" i="106"/>
  <c r="D6128" i="106" s="1"/>
  <c r="B6129" i="106"/>
  <c r="D6129" i="106"/>
  <c r="B6130" i="106"/>
  <c r="D6130" i="106" s="1"/>
  <c r="D6132" i="106"/>
  <c r="B6134" i="106"/>
  <c r="D6134" i="106" s="1"/>
  <c r="B6135" i="106"/>
  <c r="D6135" i="106" s="1"/>
  <c r="B6136" i="106"/>
  <c r="D6136" i="106"/>
  <c r="B6139" i="106"/>
  <c r="D6139" i="106" s="1"/>
  <c r="B6140" i="106"/>
  <c r="D6140" i="106" s="1"/>
  <c r="B6141" i="106"/>
  <c r="D6141" i="106" s="1"/>
  <c r="B6143" i="106"/>
  <c r="D6143" i="106" s="1"/>
  <c r="B6144" i="106"/>
  <c r="D6144" i="106" s="1"/>
  <c r="B6145" i="106"/>
  <c r="D6145" i="106" s="1"/>
  <c r="B6148" i="106"/>
  <c r="D6148" i="106" s="1"/>
  <c r="B6149" i="106"/>
  <c r="D6149" i="106" s="1"/>
  <c r="B6150" i="106"/>
  <c r="D6150" i="106" s="1"/>
  <c r="B6151" i="106"/>
  <c r="D6151" i="106" s="1"/>
  <c r="B6152" i="106"/>
  <c r="D6152" i="106" s="1"/>
  <c r="B6153" i="106"/>
  <c r="D6153" i="106" s="1"/>
  <c r="B6155" i="106"/>
  <c r="D6155" i="106" s="1"/>
  <c r="B6156" i="106"/>
  <c r="D6156" i="106" s="1"/>
  <c r="B6157" i="106"/>
  <c r="D6157" i="106" s="1"/>
  <c r="B6158" i="106"/>
  <c r="D6158" i="106" s="1"/>
  <c r="B6159" i="106"/>
  <c r="D6159" i="106" s="1"/>
  <c r="B6160" i="106"/>
  <c r="D6160" i="106" s="1"/>
  <c r="B6162" i="106"/>
  <c r="D6162" i="106" s="1"/>
  <c r="B6164" i="106"/>
  <c r="D6164" i="106" s="1"/>
  <c r="B6165" i="106"/>
  <c r="D6165" i="106" s="1"/>
  <c r="B6166" i="106"/>
  <c r="D6166" i="106" s="1"/>
  <c r="B6167" i="106"/>
  <c r="D6167" i="106" s="1"/>
  <c r="B6168" i="106"/>
  <c r="D6168" i="106" s="1"/>
  <c r="B6169" i="106"/>
  <c r="D6169" i="106" s="1"/>
  <c r="B6171" i="106"/>
  <c r="D6171" i="106"/>
  <c r="B6172" i="106"/>
  <c r="D6172" i="106" s="1"/>
  <c r="B6173" i="106"/>
  <c r="D6173" i="106" s="1"/>
  <c r="B6174" i="106"/>
  <c r="D6174" i="106" s="1"/>
  <c r="B6175" i="106"/>
  <c r="D6175" i="106"/>
  <c r="B6176" i="106"/>
  <c r="D6176" i="106"/>
  <c r="B6177" i="106"/>
  <c r="D6177" i="106" s="1"/>
  <c r="B6178" i="106"/>
  <c r="D6178" i="106"/>
  <c r="B6179" i="106"/>
  <c r="D6179" i="106"/>
  <c r="B6180" i="106"/>
  <c r="D6180" i="106" s="1"/>
  <c r="B6182" i="106"/>
  <c r="D6182" i="106" s="1"/>
  <c r="B6183" i="106"/>
  <c r="D6183" i="106"/>
  <c r="B6184" i="106"/>
  <c r="D6184" i="106"/>
  <c r="B6185" i="106"/>
  <c r="D6185" i="106"/>
  <c r="B6186" i="106"/>
  <c r="D6186" i="106"/>
  <c r="B6187" i="106"/>
  <c r="D6187" i="106"/>
  <c r="B6188" i="106"/>
  <c r="D6188" i="106"/>
  <c r="B6189" i="106"/>
  <c r="D6189" i="106"/>
  <c r="B6190" i="106"/>
  <c r="D6190" i="106"/>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7" i="106"/>
  <c r="D6217" i="106" s="1"/>
  <c r="B6218" i="106"/>
  <c r="D6218" i="106" s="1"/>
  <c r="B6219" i="106"/>
  <c r="D6219" i="106" s="1"/>
  <c r="B6224" i="106"/>
  <c r="D6224" i="106"/>
  <c r="J18" i="4"/>
  <c r="B6228" i="106"/>
  <c r="D6228" i="106"/>
  <c r="B6231" i="106"/>
  <c r="D6231" i="106" s="1"/>
  <c r="B6232" i="106"/>
  <c r="D6232" i="106" s="1"/>
  <c r="B6233" i="106"/>
  <c r="D6233" i="106" s="1"/>
  <c r="B6234" i="106"/>
  <c r="D6234" i="106" s="1"/>
  <c r="B6235" i="106"/>
  <c r="D6235" i="106" s="1"/>
  <c r="B6239" i="106"/>
  <c r="D6239" i="106" s="1"/>
  <c r="B6240" i="106"/>
  <c r="D6240" i="106" s="1"/>
  <c r="B6241" i="106"/>
  <c r="D6241" i="106" s="1"/>
  <c r="B6243" i="106"/>
  <c r="D6243" i="106" s="1"/>
  <c r="B6244" i="106"/>
  <c r="D6244" i="106" s="1"/>
  <c r="B6246" i="106"/>
  <c r="D6246" i="106" s="1"/>
  <c r="B6247" i="106"/>
  <c r="D6247" i="106" s="1"/>
  <c r="B6248" i="106"/>
  <c r="D6248" i="106"/>
  <c r="B6249" i="106"/>
  <c r="D6249" i="106" s="1"/>
  <c r="B6250" i="106"/>
  <c r="D6250" i="106" s="1"/>
  <c r="B6251" i="106"/>
  <c r="D6251" i="106" s="1"/>
  <c r="B6252" i="106"/>
  <c r="D6252" i="106" s="1"/>
  <c r="B6253" i="106"/>
  <c r="D6253" i="106" s="1"/>
  <c r="B6254" i="106"/>
  <c r="D6254" i="106" s="1"/>
  <c r="B6255" i="106"/>
  <c r="D6255" i="106" s="1"/>
  <c r="B6260" i="106"/>
  <c r="D6260" i="106"/>
  <c r="J76" i="4"/>
  <c r="B6261" i="106" s="1"/>
  <c r="D6261" i="106" s="1"/>
  <c r="B6265" i="106"/>
  <c r="D6265" i="106"/>
  <c r="B6290" i="106"/>
  <c r="D6290" i="106" s="1"/>
  <c r="B6291" i="106"/>
  <c r="D6291" i="106" s="1"/>
  <c r="B6293" i="106"/>
  <c r="D6293" i="106" s="1"/>
  <c r="B6294" i="106"/>
  <c r="D6294" i="106" s="1"/>
  <c r="B6296" i="106"/>
  <c r="D6296" i="106" s="1"/>
  <c r="B6297" i="106"/>
  <c r="D6297" i="106" s="1"/>
  <c r="B6298" i="106"/>
  <c r="D6298" i="106"/>
  <c r="B6300" i="106"/>
  <c r="D6300" i="106" s="1"/>
  <c r="B6302" i="106"/>
  <c r="D6302" i="106" s="1"/>
  <c r="B6305" i="106"/>
  <c r="D6305" i="106" s="1"/>
  <c r="B6308" i="106"/>
  <c r="D6308" i="106" s="1"/>
  <c r="B6310" i="106"/>
  <c r="D6310" i="106" s="1"/>
  <c r="B6312" i="106"/>
  <c r="D6312" i="106"/>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c r="B6326" i="106"/>
  <c r="D6326" i="106" s="1"/>
  <c r="B6327" i="106"/>
  <c r="D6327" i="106" s="1"/>
  <c r="B6328" i="106"/>
  <c r="D6328" i="106" s="1"/>
  <c r="B6329" i="106"/>
  <c r="D6329" i="106"/>
  <c r="B6330" i="106"/>
  <c r="D6330" i="106" s="1"/>
  <c r="B6332" i="106"/>
  <c r="D6332" i="106"/>
  <c r="B6335" i="106"/>
  <c r="D6335" i="106" s="1"/>
  <c r="B6339" i="106"/>
  <c r="D6339" i="106" s="1"/>
  <c r="B6340" i="106"/>
  <c r="D6340" i="106" s="1"/>
  <c r="B6343" i="106"/>
  <c r="D6343" i="106" s="1"/>
  <c r="B6345" i="106"/>
  <c r="D6345" i="106" s="1"/>
  <c r="B6346" i="106"/>
  <c r="D6346" i="106" s="1"/>
  <c r="B6349" i="106"/>
  <c r="D6349" i="106" s="1"/>
  <c r="B6350" i="106"/>
  <c r="D6350" i="106"/>
  <c r="B6353" i="106"/>
  <c r="D6353" i="106" s="1"/>
  <c r="B6354" i="106"/>
  <c r="D6354" i="106"/>
  <c r="B6355" i="106"/>
  <c r="D6355" i="106" s="1"/>
  <c r="B6356" i="106"/>
  <c r="D6356" i="106" s="1"/>
  <c r="B6358" i="106"/>
  <c r="D6358" i="106" s="1"/>
  <c r="B6359" i="106"/>
  <c r="D6359" i="106" s="1"/>
  <c r="B6361" i="106"/>
  <c r="D6361" i="106" s="1"/>
  <c r="B6362" i="106"/>
  <c r="D6362" i="106" s="1"/>
  <c r="B6363" i="106"/>
  <c r="D6363" i="106" s="1"/>
  <c r="B6365" i="106"/>
  <c r="D6365" i="106"/>
  <c r="B6366" i="106"/>
  <c r="D6366" i="106" s="1"/>
  <c r="B6369" i="106"/>
  <c r="D6369" i="106" s="1"/>
  <c r="B6370" i="106"/>
  <c r="D6370" i="106"/>
  <c r="B6371" i="106"/>
  <c r="D6371" i="106" s="1"/>
  <c r="B6372" i="106"/>
  <c r="D6372" i="106"/>
  <c r="B6375" i="106"/>
  <c r="D6375" i="106"/>
  <c r="B6376" i="106"/>
  <c r="D6376" i="106" s="1"/>
  <c r="B6377" i="106"/>
  <c r="D6377" i="106"/>
  <c r="D6382" i="106"/>
  <c r="D6383" i="106"/>
  <c r="D6384" i="106"/>
  <c r="D6385" i="106"/>
  <c r="D6386" i="106"/>
  <c r="D6387" i="106"/>
  <c r="B6389" i="106"/>
  <c r="D6389" i="106" s="1"/>
  <c r="B6390" i="106"/>
  <c r="D6390" i="106" s="1"/>
  <c r="B6391" i="106"/>
  <c r="D6391" i="106"/>
  <c r="B6392" i="106"/>
  <c r="D6392" i="106" s="1"/>
  <c r="B6394" i="106"/>
  <c r="D6394" i="106" s="1"/>
  <c r="B6395" i="106"/>
  <c r="D6395" i="106" s="1"/>
  <c r="B6398" i="106"/>
  <c r="D6398" i="106" s="1"/>
  <c r="B6399" i="106"/>
  <c r="D6399" i="106" s="1"/>
  <c r="B6401" i="106"/>
  <c r="D6401" i="106"/>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c r="B6617" i="106"/>
  <c r="D6617" i="106" s="1"/>
  <c r="B6619" i="106"/>
  <c r="D6619" i="106" s="1"/>
  <c r="B6620" i="106"/>
  <c r="D6620" i="106"/>
  <c r="B6621" i="106"/>
  <c r="D6621" i="106"/>
  <c r="B6622" i="106"/>
  <c r="D6622" i="106" s="1"/>
  <c r="B6623" i="106"/>
  <c r="D6623" i="106" s="1"/>
  <c r="B6624" i="106"/>
  <c r="D6624" i="106"/>
  <c r="B6627" i="106"/>
  <c r="D6627" i="106" s="1"/>
  <c r="B6628" i="106"/>
  <c r="D6628" i="106"/>
  <c r="B6630" i="106"/>
  <c r="D6630" i="106"/>
  <c r="B6631" i="106"/>
  <c r="D6631" i="106" s="1"/>
  <c r="B6632" i="106"/>
  <c r="D6632" i="106"/>
  <c r="B6633" i="106"/>
  <c r="D6633" i="106"/>
  <c r="B6635" i="106"/>
  <c r="D6635" i="106" s="1"/>
  <c r="B6636" i="106"/>
  <c r="D6636" i="106"/>
  <c r="B6638" i="106"/>
  <c r="D6638" i="106" s="1"/>
  <c r="B6639" i="106"/>
  <c r="D6639" i="106"/>
  <c r="B6640" i="106"/>
  <c r="D6640" i="106"/>
  <c r="B6641" i="106"/>
  <c r="D6641" i="106"/>
  <c r="B6642" i="106"/>
  <c r="D6642" i="106" s="1"/>
  <c r="B6644" i="106"/>
  <c r="D6644" i="106"/>
  <c r="B6645" i="106"/>
  <c r="D6645" i="106" s="1"/>
  <c r="B6646" i="106"/>
  <c r="D6646" i="106" s="1"/>
  <c r="B6647" i="106"/>
  <c r="D6647" i="106" s="1"/>
  <c r="B6648" i="106"/>
  <c r="D6648" i="106"/>
  <c r="B6649" i="106"/>
  <c r="D6649" i="106"/>
  <c r="B6650" i="106"/>
  <c r="D6650" i="106" s="1"/>
  <c r="B6652" i="106"/>
  <c r="D6652" i="106"/>
  <c r="B6653" i="106"/>
  <c r="D6653" i="106" s="1"/>
  <c r="B6654" i="106"/>
  <c r="D6654" i="106" s="1"/>
  <c r="B6655" i="106"/>
  <c r="D6655" i="106" s="1"/>
  <c r="B6656" i="106"/>
  <c r="D6656" i="106"/>
  <c r="B6657" i="106"/>
  <c r="D6657" i="106"/>
  <c r="B6658" i="106"/>
  <c r="D6658" i="106" s="1"/>
  <c r="B6659" i="106"/>
  <c r="D6659" i="106"/>
  <c r="B6660" i="106"/>
  <c r="D6660" i="106"/>
  <c r="B6661" i="106"/>
  <c r="D6661" i="106" s="1"/>
  <c r="B6662" i="106"/>
  <c r="D6662" i="106" s="1"/>
  <c r="B6663" i="106"/>
  <c r="D6663" i="106"/>
  <c r="B6664" i="106"/>
  <c r="D6664" i="106"/>
  <c r="B6665" i="106"/>
  <c r="D6665" i="106"/>
  <c r="B6666" i="106"/>
  <c r="D6666" i="106" s="1"/>
  <c r="B6667" i="106"/>
  <c r="D6667" i="106" s="1"/>
  <c r="B6668" i="106"/>
  <c r="D6668" i="106"/>
  <c r="B6669" i="106"/>
  <c r="D6669" i="106" s="1"/>
  <c r="B6670" i="106"/>
  <c r="D6670" i="106" s="1"/>
  <c r="B6672" i="106"/>
  <c r="D6672" i="106"/>
  <c r="B6673" i="106"/>
  <c r="D6673" i="106"/>
  <c r="B6674" i="106"/>
  <c r="D6674" i="106" s="1"/>
  <c r="B6675" i="106"/>
  <c r="D6675" i="106"/>
  <c r="B6676" i="106"/>
  <c r="D6676" i="106"/>
  <c r="B6677" i="106"/>
  <c r="D6677" i="106" s="1"/>
  <c r="B6680" i="106"/>
  <c r="D6680" i="106"/>
  <c r="B6681" i="106"/>
  <c r="D6681" i="106"/>
  <c r="B6682" i="106"/>
  <c r="D6682" i="106" s="1"/>
  <c r="B6683" i="106"/>
  <c r="D6683" i="106" s="1"/>
  <c r="B6684" i="106"/>
  <c r="D6684" i="106"/>
  <c r="B6685" i="106"/>
  <c r="D6685" i="106" s="1"/>
  <c r="B6687" i="106"/>
  <c r="D6687" i="106"/>
  <c r="B6688" i="106"/>
  <c r="D6688" i="106"/>
  <c r="B6689" i="106"/>
  <c r="D6689" i="106"/>
  <c r="B6691" i="106"/>
  <c r="D6691" i="106" s="1"/>
  <c r="B6693" i="106"/>
  <c r="D6693" i="106" s="1"/>
  <c r="B6695" i="106"/>
  <c r="D6695" i="106" s="1"/>
  <c r="B6696" i="106"/>
  <c r="D6696" i="106" s="1"/>
  <c r="B6698" i="106"/>
  <c r="D6698" i="106"/>
  <c r="B6700" i="106"/>
  <c r="D6700" i="106" s="1"/>
  <c r="B6701" i="106"/>
  <c r="D6701" i="106" s="1"/>
  <c r="B6702" i="106"/>
  <c r="D6702" i="106"/>
  <c r="B6703" i="106"/>
  <c r="D6703" i="106"/>
  <c r="B6704" i="106"/>
  <c r="D6704" i="106" s="1"/>
  <c r="B6705" i="106"/>
  <c r="D6705" i="106" s="1"/>
  <c r="B6706" i="106"/>
  <c r="D6706" i="106"/>
  <c r="B6707" i="106"/>
  <c r="D6707" i="106"/>
  <c r="B6708" i="106"/>
  <c r="D6708" i="106" s="1"/>
  <c r="B6709" i="106"/>
  <c r="D6709" i="106" s="1"/>
  <c r="B6710" i="106"/>
  <c r="D6710" i="106"/>
  <c r="B6711" i="106"/>
  <c r="D6711" i="106"/>
  <c r="B6712" i="106"/>
  <c r="D6712" i="106"/>
  <c r="B6713" i="106"/>
  <c r="D6713" i="106" s="1"/>
  <c r="B6715" i="106"/>
  <c r="D6715" i="106" s="1"/>
  <c r="B6716" i="106"/>
  <c r="D6716" i="106"/>
  <c r="B6717" i="106"/>
  <c r="D6717" i="106" s="1"/>
  <c r="B6718" i="106"/>
  <c r="D6718" i="106"/>
  <c r="B6719" i="106"/>
  <c r="D6719" i="106"/>
  <c r="B6720" i="106"/>
  <c r="D6720" i="106" s="1"/>
  <c r="B6721" i="106"/>
  <c r="D6721" i="106" s="1"/>
  <c r="B6722" i="106"/>
  <c r="D6722" i="106" s="1"/>
  <c r="B6723" i="106"/>
  <c r="D6723" i="106" s="1"/>
  <c r="B6724" i="106"/>
  <c r="D6724" i="106" s="1"/>
  <c r="B6725" i="106"/>
  <c r="D6725" i="106" s="1"/>
  <c r="B6726" i="106"/>
  <c r="D6726" i="106"/>
  <c r="B6727" i="106"/>
  <c r="D6727" i="106"/>
  <c r="B6728" i="106"/>
  <c r="D6728" i="106"/>
  <c r="B6729" i="106"/>
  <c r="D6729" i="106" s="1"/>
  <c r="B6730" i="106"/>
  <c r="D6730" i="106" s="1"/>
  <c r="B6731" i="106"/>
  <c r="D6731" i="106" s="1"/>
  <c r="B6732" i="106"/>
  <c r="D6732" i="106"/>
  <c r="B6733" i="106"/>
  <c r="D6733" i="106" s="1"/>
  <c r="B6734" i="106"/>
  <c r="D6734" i="106" s="1"/>
  <c r="B6735" i="106"/>
  <c r="D6735" i="106"/>
  <c r="B6736" i="106"/>
  <c r="D6736" i="106"/>
  <c r="B6737" i="106"/>
  <c r="D6737" i="106" s="1"/>
  <c r="B6738" i="106"/>
  <c r="D6738" i="106" s="1"/>
  <c r="B6739" i="106"/>
  <c r="D6739" i="106" s="1"/>
  <c r="B6740" i="106"/>
  <c r="D6740" i="106" s="1"/>
  <c r="B6743" i="106"/>
  <c r="D6743" i="106"/>
  <c r="B6744" i="106"/>
  <c r="D6744" i="106"/>
  <c r="B6746" i="106"/>
  <c r="D6746" i="106" s="1"/>
  <c r="B6747" i="106"/>
  <c r="D6747" i="106"/>
  <c r="B6748" i="106"/>
  <c r="D6748" i="106"/>
  <c r="B6751" i="106"/>
  <c r="D6751" i="106"/>
  <c r="B6752" i="106"/>
  <c r="D6752" i="106"/>
  <c r="B6754" i="106"/>
  <c r="D6754" i="106" s="1"/>
  <c r="B6755" i="106"/>
  <c r="D6755" i="106"/>
  <c r="B6757" i="106"/>
  <c r="D6757" i="106" s="1"/>
  <c r="B6758" i="106"/>
  <c r="D6758" i="106" s="1"/>
  <c r="B6759" i="106"/>
  <c r="D6759" i="106"/>
  <c r="B6760" i="106"/>
  <c r="D6760" i="106"/>
  <c r="B6761" i="106"/>
  <c r="D6761" i="106" s="1"/>
  <c r="B6763" i="106"/>
  <c r="D6763" i="106"/>
  <c r="B6765" i="106"/>
  <c r="D6765" i="106" s="1"/>
  <c r="B6766" i="106"/>
  <c r="D6766" i="106" s="1"/>
  <c r="B6767" i="106"/>
  <c r="D6767" i="106"/>
  <c r="B6768" i="106"/>
  <c r="D6768" i="106"/>
  <c r="B6769" i="106"/>
  <c r="D6769" i="106" s="1"/>
  <c r="B6771" i="106"/>
  <c r="D6771" i="106"/>
  <c r="B6772" i="106"/>
  <c r="D6772" i="106"/>
  <c r="B6773" i="106"/>
  <c r="D6773" i="106" s="1"/>
  <c r="B6774" i="106"/>
  <c r="D6774" i="106" s="1"/>
  <c r="B6775" i="106"/>
  <c r="D6775" i="106"/>
  <c r="B6776" i="106"/>
  <c r="D6776" i="106"/>
  <c r="B6777" i="106"/>
  <c r="D6777" i="106" s="1"/>
  <c r="B6778" i="106"/>
  <c r="D6778" i="106" s="1"/>
  <c r="B6779" i="106"/>
  <c r="D6779" i="106"/>
  <c r="B6780" i="106"/>
  <c r="D6780" i="106" s="1"/>
  <c r="B6781" i="106"/>
  <c r="D6781" i="106" s="1"/>
  <c r="B6782" i="106"/>
  <c r="D6782" i="106"/>
  <c r="B6783" i="106"/>
  <c r="D6783" i="106"/>
  <c r="B6784" i="106"/>
  <c r="D6784" i="106"/>
  <c r="B6785" i="106"/>
  <c r="D6785" i="106" s="1"/>
  <c r="B6786" i="106"/>
  <c r="D6786" i="106" s="1"/>
  <c r="B6787" i="106"/>
  <c r="D6787" i="106"/>
  <c r="B6788" i="106"/>
  <c r="D6788" i="106" s="1"/>
  <c r="B6789" i="106"/>
  <c r="D6789" i="106" s="1"/>
  <c r="B6790" i="106"/>
  <c r="D6790" i="106" s="1"/>
  <c r="B6791" i="106"/>
  <c r="D6791" i="106"/>
  <c r="B6792" i="106"/>
  <c r="D6792" i="106"/>
  <c r="B6793" i="106"/>
  <c r="D6793" i="106" s="1"/>
  <c r="B6794" i="106"/>
  <c r="D6794" i="106" s="1"/>
  <c r="B6795" i="106"/>
  <c r="D6795" i="106"/>
  <c r="B6796" i="106"/>
  <c r="D6796" i="106" s="1"/>
  <c r="B6797" i="106"/>
  <c r="D6797" i="106" s="1"/>
  <c r="B6798" i="106"/>
  <c r="D6798" i="106" s="1"/>
  <c r="B6799" i="106"/>
  <c r="D6799" i="106"/>
  <c r="B6800" i="106"/>
  <c r="D6800" i="106"/>
  <c r="B6801" i="106"/>
  <c r="D6801" i="106" s="1"/>
  <c r="B6802" i="106"/>
  <c r="D6802" i="106" s="1"/>
  <c r="B6803" i="106"/>
  <c r="D6803" i="106"/>
  <c r="B6804" i="106"/>
  <c r="D6804" i="106"/>
  <c r="B6807" i="106"/>
  <c r="D6807" i="106"/>
  <c r="B6808" i="106"/>
  <c r="D6808" i="106"/>
  <c r="B6810" i="106"/>
  <c r="D6810" i="106" s="1"/>
  <c r="B6811" i="106"/>
  <c r="D6811" i="106"/>
  <c r="B6812" i="106"/>
  <c r="D6812" i="106" s="1"/>
  <c r="B6814" i="106"/>
  <c r="D6814" i="106" s="1"/>
  <c r="B6815" i="106"/>
  <c r="D6815" i="106"/>
  <c r="B6816" i="106"/>
  <c r="D6816" i="106"/>
  <c r="B6818" i="106"/>
  <c r="D6818" i="106" s="1"/>
  <c r="B6819" i="106"/>
  <c r="D6819" i="106"/>
  <c r="B6821" i="106"/>
  <c r="D6821" i="106" s="1"/>
  <c r="B6822" i="106"/>
  <c r="D6822" i="106" s="1"/>
  <c r="B6823" i="106"/>
  <c r="D6823" i="106"/>
  <c r="B6824" i="106"/>
  <c r="D6824" i="106"/>
  <c r="B6825" i="106"/>
  <c r="D6825" i="106" s="1"/>
  <c r="B6827" i="106"/>
  <c r="D6827" i="106"/>
  <c r="B6829" i="106"/>
  <c r="D6829" i="106" s="1"/>
  <c r="B6830" i="106"/>
  <c r="D6830" i="106" s="1"/>
  <c r="B6831" i="106"/>
  <c r="D6831" i="106"/>
  <c r="B6832" i="106"/>
  <c r="D6832" i="106"/>
  <c r="D6841" i="106"/>
  <c r="D6842" i="106"/>
  <c r="D6843" i="106"/>
  <c r="B6844" i="106"/>
  <c r="D6844" i="106" s="1"/>
  <c r="B6845" i="106"/>
  <c r="D6845" i="106" s="1"/>
  <c r="B6847" i="106"/>
  <c r="D6847" i="106" s="1"/>
  <c r="B6849" i="106"/>
  <c r="D6849" i="106" s="1"/>
  <c r="B6850" i="106"/>
  <c r="D6850" i="106" s="1"/>
  <c r="B6851" i="106"/>
  <c r="D6851" i="106" s="1"/>
  <c r="B6852" i="106"/>
  <c r="D6852" i="106" s="1"/>
  <c r="B6854" i="106"/>
  <c r="D6854" i="106" s="1"/>
  <c r="B6855" i="106"/>
  <c r="D6855" i="106" s="1"/>
  <c r="B6856" i="106"/>
  <c r="D6856" i="106" s="1"/>
  <c r="B6857" i="106"/>
  <c r="D6857" i="106" s="1"/>
  <c r="B6859" i="106"/>
  <c r="D6859" i="106"/>
  <c r="B6860" i="106"/>
  <c r="D6860" i="106"/>
  <c r="B6861" i="106"/>
  <c r="D6861" i="106" s="1"/>
  <c r="B6864" i="106"/>
  <c r="D6864" i="106" s="1"/>
  <c r="B6865" i="106"/>
  <c r="D6865" i="106" s="1"/>
  <c r="B6866" i="106"/>
  <c r="D6866" i="106" s="1"/>
  <c r="B6867" i="106"/>
  <c r="D6867" i="106" s="1"/>
  <c r="B6868" i="106"/>
  <c r="D6868" i="106" s="1"/>
  <c r="B6869" i="106"/>
  <c r="D6869" i="106" s="1"/>
  <c r="B6870" i="106"/>
  <c r="D6870"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6" i="106"/>
  <c r="D6886" i="106"/>
  <c r="K25" i="29"/>
  <c r="B6887" i="106" s="1"/>
  <c r="D6887" i="106" s="1"/>
  <c r="B6888" i="106"/>
  <c r="D6888" i="106" s="1"/>
  <c r="K26" i="29"/>
  <c r="B6889" i="106" s="1"/>
  <c r="D6889" i="106" s="1"/>
  <c r="B6890" i="106"/>
  <c r="D6890" i="106"/>
  <c r="K27" i="29"/>
  <c r="B6891" i="106"/>
  <c r="D6891" i="106" s="1"/>
  <c r="B6892" i="106"/>
  <c r="D6892" i="106" s="1"/>
  <c r="K28" i="29"/>
  <c r="B6893" i="106" s="1"/>
  <c r="D6893" i="106" s="1"/>
  <c r="B6894" i="106"/>
  <c r="D6894" i="106" s="1"/>
  <c r="K29" i="29"/>
  <c r="B6895" i="106" s="1"/>
  <c r="D6895" i="106" s="1"/>
  <c r="B6896" i="106"/>
  <c r="D6896" i="106" s="1"/>
  <c r="K30" i="29"/>
  <c r="B6897" i="106" s="1"/>
  <c r="D6897" i="106"/>
  <c r="B6905" i="106"/>
  <c r="D6905" i="106" s="1"/>
  <c r="B6907" i="106"/>
  <c r="D6907" i="106" s="1"/>
  <c r="B6908" i="106"/>
  <c r="D6908" i="106" s="1"/>
  <c r="B6909" i="106"/>
  <c r="D6909" i="106" s="1"/>
  <c r="B6910" i="106"/>
  <c r="D6910" i="106" s="1"/>
  <c r="B6911" i="106"/>
  <c r="D6911" i="106"/>
  <c r="B6912" i="106"/>
  <c r="D6912" i="106" s="1"/>
  <c r="B6913" i="106"/>
  <c r="D6913" i="106" s="1"/>
  <c r="B6914" i="106"/>
  <c r="D6914" i="106" s="1"/>
  <c r="B6915" i="106"/>
  <c r="D6915" i="106" s="1"/>
  <c r="J42" i="29"/>
  <c r="B6921" i="106"/>
  <c r="D6921" i="106" s="1"/>
  <c r="B6923" i="106"/>
  <c r="D6923" i="106" s="1"/>
  <c r="B6927" i="106"/>
  <c r="D6927" i="106"/>
  <c r="B6928" i="106"/>
  <c r="D6928" i="106" s="1"/>
  <c r="B6929" i="106"/>
  <c r="D6929" i="106" s="1"/>
  <c r="B6930" i="106"/>
  <c r="D6930" i="106" s="1"/>
  <c r="B6931" i="106"/>
  <c r="D6931" i="106" s="1"/>
  <c r="B6932" i="106"/>
  <c r="D6932" i="106" s="1"/>
  <c r="B6935" i="106"/>
  <c r="D6935" i="106" s="1"/>
  <c r="B6936" i="106"/>
  <c r="D6936" i="106" s="1"/>
  <c r="B6937" i="106"/>
  <c r="D6937" i="106" s="1"/>
  <c r="B6938" i="106"/>
  <c r="D6938" i="106" s="1"/>
  <c r="B6939" i="106"/>
  <c r="D6939" i="106" s="1"/>
  <c r="D6941" i="106"/>
  <c r="J53" i="29"/>
  <c r="B6943" i="106"/>
  <c r="D6943" i="106" s="1"/>
  <c r="B6944" i="106"/>
  <c r="D6944" i="106"/>
  <c r="B6946" i="106"/>
  <c r="D6946" i="106" s="1"/>
  <c r="I57" i="29"/>
  <c r="B6948" i="106" s="1"/>
  <c r="D6948" i="106" s="1"/>
  <c r="B6950" i="106"/>
  <c r="D6950" i="106" s="1"/>
  <c r="B6954" i="106"/>
  <c r="D6954" i="106" s="1"/>
  <c r="B6955" i="106"/>
  <c r="D6955" i="106" s="1"/>
  <c r="B6956" i="106"/>
  <c r="D6956" i="106" s="1"/>
  <c r="B6957" i="106"/>
  <c r="D6957" i="106" s="1"/>
  <c r="B6958" i="106"/>
  <c r="D6958" i="106" s="1"/>
  <c r="B6959" i="106"/>
  <c r="D6959" i="106"/>
  <c r="B6960" i="106"/>
  <c r="D6960" i="106" s="1"/>
  <c r="B6963" i="106"/>
  <c r="D6963" i="106" s="1"/>
  <c r="B6964" i="106"/>
  <c r="D6964" i="106" s="1"/>
  <c r="B6965" i="106"/>
  <c r="D6965" i="106" s="1"/>
  <c r="B6966" i="106"/>
  <c r="D6966" i="106" s="1"/>
  <c r="B6971" i="106"/>
  <c r="D6971" i="106" s="1"/>
  <c r="B6972" i="106"/>
  <c r="D6972" i="106" s="1"/>
  <c r="B6975" i="106"/>
  <c r="D6975" i="106" s="1"/>
  <c r="B6976" i="106"/>
  <c r="D6976" i="106" s="1"/>
  <c r="B6979" i="106"/>
  <c r="D6979" i="106"/>
  <c r="B6980" i="106"/>
  <c r="D6980" i="106" s="1"/>
  <c r="B6987" i="106"/>
  <c r="D6987" i="106" s="1"/>
  <c r="K88" i="29"/>
  <c r="B6988" i="106" s="1"/>
  <c r="D6988" i="106" s="1"/>
  <c r="B6989" i="106"/>
  <c r="D6989" i="106"/>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c r="B7026" i="106"/>
  <c r="D7026" i="106" s="1"/>
  <c r="B7027" i="106"/>
  <c r="D7027" i="106" s="1"/>
  <c r="B7028" i="106"/>
  <c r="D7028" i="106" s="1"/>
  <c r="B7029" i="106"/>
  <c r="D7029" i="106" s="1"/>
  <c r="B7030" i="106"/>
  <c r="D7030" i="106" s="1"/>
  <c r="B7031" i="106"/>
  <c r="D7031" i="106" s="1"/>
  <c r="B7032" i="106"/>
  <c r="D7032" i="106" s="1"/>
  <c r="I127" i="29"/>
  <c r="J127" i="29"/>
  <c r="B7034" i="106" s="1"/>
  <c r="D7034" i="106" s="1"/>
  <c r="B7044" i="106"/>
  <c r="D7044" i="106" s="1"/>
  <c r="B7045" i="106"/>
  <c r="D7045" i="106" s="1"/>
  <c r="B7046" i="106"/>
  <c r="D7046" i="106" s="1"/>
  <c r="B7049" i="106"/>
  <c r="D7049" i="106" s="1"/>
  <c r="D7056" i="106"/>
  <c r="B7057" i="106"/>
  <c r="D7057" i="106"/>
  <c r="B7058" i="106"/>
  <c r="D7058" i="106" s="1"/>
  <c r="B7059" i="106"/>
  <c r="D7059" i="106"/>
  <c r="B7060" i="106"/>
  <c r="D7060" i="106" s="1"/>
  <c r="B7061" i="106"/>
  <c r="D7061" i="106" s="1"/>
  <c r="I184" i="29"/>
  <c r="I210" i="29" s="1"/>
  <c r="B7065" i="106"/>
  <c r="D7065" i="106" s="1"/>
  <c r="B7069" i="106"/>
  <c r="D7069" i="106" s="1"/>
  <c r="B7073" i="106"/>
  <c r="D7073" i="106" s="1"/>
  <c r="B7075" i="106"/>
  <c r="D7075" i="106" s="1"/>
  <c r="B7077" i="106"/>
  <c r="D7077" i="106" s="1"/>
  <c r="B7079" i="106"/>
  <c r="D7079" i="106"/>
  <c r="B7081" i="106"/>
  <c r="D7081" i="106" s="1"/>
  <c r="B7083" i="106"/>
  <c r="D7083" i="106"/>
  <c r="B7085" i="106"/>
  <c r="D7085" i="106" s="1"/>
  <c r="B7091" i="106"/>
  <c r="D7091" i="106" s="1"/>
  <c r="B7093" i="106"/>
  <c r="D7093" i="106"/>
  <c r="B7095" i="106"/>
  <c r="D7095" i="106"/>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8" i="106"/>
  <c r="D7108" i="106" s="1"/>
  <c r="B7109" i="106"/>
  <c r="D7109" i="106" s="1"/>
  <c r="B7112" i="106"/>
  <c r="D7112" i="106"/>
  <c r="B7113" i="106"/>
  <c r="D7113" i="106" s="1"/>
  <c r="B7118" i="106"/>
  <c r="D7118" i="106" s="1"/>
  <c r="B7119" i="106"/>
  <c r="D7119" i="106" s="1"/>
  <c r="B7120" i="106"/>
  <c r="D7120" i="106"/>
  <c r="B7123" i="106"/>
  <c r="D7123" i="106" s="1"/>
  <c r="B7124" i="106"/>
  <c r="D7124" i="106" s="1"/>
  <c r="B7125" i="106"/>
  <c r="D7125" i="106" s="1"/>
  <c r="B7127" i="106"/>
  <c r="D7127" i="106" s="1"/>
  <c r="B7130" i="106"/>
  <c r="D7130" i="106" s="1"/>
  <c r="B7131" i="106"/>
  <c r="D7131" i="106" s="1"/>
  <c r="B7132" i="106"/>
  <c r="D7132" i="106" s="1"/>
  <c r="B7133" i="106"/>
  <c r="D7133" i="106" s="1"/>
  <c r="B7134" i="106"/>
  <c r="D7134" i="106" s="1"/>
  <c r="B7136" i="106"/>
  <c r="D7136" i="106" s="1"/>
  <c r="B7139" i="106"/>
  <c r="D7139" i="106" s="1"/>
  <c r="B7140" i="106"/>
  <c r="D7140" i="106" s="1"/>
  <c r="B7141" i="106"/>
  <c r="D7141" i="106" s="1"/>
  <c r="B7142" i="106"/>
  <c r="D7142" i="106" s="1"/>
  <c r="B7146" i="106"/>
  <c r="D7146" i="106" s="1"/>
  <c r="B7147" i="106"/>
  <c r="D7147" i="106" s="1"/>
  <c r="B7148" i="106"/>
  <c r="D7148" i="106" s="1"/>
  <c r="B7149" i="106"/>
  <c r="D7149" i="106" s="1"/>
  <c r="B7150" i="106"/>
  <c r="D7150" i="106"/>
  <c r="B7151" i="106"/>
  <c r="D7151" i="106" s="1"/>
  <c r="B7155" i="106"/>
  <c r="D7155" i="106" s="1"/>
  <c r="B7156" i="106"/>
  <c r="D7156" i="106"/>
  <c r="B7157" i="106"/>
  <c r="D7157" i="106" s="1"/>
  <c r="B7158" i="106"/>
  <c r="D7158" i="106" s="1"/>
  <c r="B7159" i="106"/>
  <c r="D7159" i="106" s="1"/>
  <c r="B7160" i="106"/>
  <c r="D7160" i="106" s="1"/>
  <c r="B7163" i="106"/>
  <c r="D7163" i="106" s="1"/>
  <c r="B7164" i="106"/>
  <c r="D7164" i="106" s="1"/>
  <c r="B7165" i="106"/>
  <c r="D7165" i="106" s="1"/>
  <c r="B7166" i="106"/>
  <c r="D7166" i="106" s="1"/>
  <c r="B7167" i="106"/>
  <c r="D7167" i="106" s="1"/>
  <c r="B7170" i="106"/>
  <c r="D7170" i="106" s="1"/>
  <c r="B7172" i="106"/>
  <c r="D7172" i="106" s="1"/>
  <c r="B7173" i="106"/>
  <c r="D7173" i="106"/>
  <c r="B7174" i="106"/>
  <c r="D7174" i="106" s="1"/>
  <c r="B7175" i="106"/>
  <c r="D7175" i="106" s="1"/>
  <c r="B7176" i="106"/>
  <c r="D7176" i="106" s="1"/>
  <c r="B7178" i="106"/>
  <c r="D7178" i="106" s="1"/>
  <c r="B7181" i="106"/>
  <c r="D7181" i="106" s="1"/>
  <c r="B7182" i="106"/>
  <c r="D7182" i="106" s="1"/>
  <c r="B7183" i="106"/>
  <c r="D7183" i="106" s="1"/>
  <c r="B7184" i="106"/>
  <c r="D7184" i="106"/>
  <c r="B7186" i="106"/>
  <c r="D7186" i="106" s="1"/>
  <c r="B7187" i="106"/>
  <c r="D7187" i="106" s="1"/>
  <c r="B7188" i="106"/>
  <c r="D7188" i="106" s="1"/>
  <c r="B7190" i="106"/>
  <c r="D7190" i="106"/>
  <c r="B7191" i="106"/>
  <c r="D7191" i="106" s="1"/>
  <c r="B7192" i="106"/>
  <c r="D7192" i="106" s="1"/>
  <c r="B7193" i="106"/>
  <c r="D7193" i="106" s="1"/>
  <c r="B7195" i="106"/>
  <c r="D7195" i="106" s="1"/>
  <c r="B7196" i="106"/>
  <c r="D7196" i="106" s="1"/>
  <c r="B7197" i="106"/>
  <c r="D7197" i="106" s="1"/>
  <c r="B7208" i="106"/>
  <c r="D7208" i="106" s="1"/>
  <c r="K337" i="29"/>
  <c r="B7209" i="106" s="1"/>
  <c r="D7209" i="106" s="1"/>
  <c r="B7212" i="106"/>
  <c r="D7212" i="106" s="1"/>
  <c r="K339" i="29"/>
  <c r="B7228" i="106"/>
  <c r="D7228" i="106" s="1"/>
  <c r="B7229" i="106"/>
  <c r="D7229" i="106" s="1"/>
  <c r="J350" i="29"/>
  <c r="B7232" i="106"/>
  <c r="D7232" i="106" s="1"/>
  <c r="B7233" i="106"/>
  <c r="D7233" i="106" s="1"/>
  <c r="B7238" i="106"/>
  <c r="D7238" i="106" s="1"/>
  <c r="A7245" i="106"/>
  <c r="A7246" i="106"/>
  <c r="A7247" i="106"/>
  <c r="A7248" i="106"/>
  <c r="A7249" i="106"/>
  <c r="B7246" i="106"/>
  <c r="B7247" i="106"/>
  <c r="D7247" i="106" s="1"/>
  <c r="B7248" i="106"/>
  <c r="B7249" i="106"/>
  <c r="B7251" i="106"/>
  <c r="B7252" i="106"/>
  <c r="B7253" i="106"/>
  <c r="B7256" i="106"/>
  <c r="B7259" i="106"/>
  <c r="B7260" i="106"/>
  <c r="B7261" i="106"/>
  <c r="D7261" i="106" s="1"/>
  <c r="B7262" i="106"/>
  <c r="B7263" i="106"/>
  <c r="D7263" i="106" s="1"/>
  <c r="B7264" i="106"/>
  <c r="B7265" i="106"/>
  <c r="D7265" i="106" s="1"/>
  <c r="B7266" i="106"/>
  <c r="B7590" i="106"/>
  <c r="B7592" i="106"/>
  <c r="B7593" i="106"/>
  <c r="B7594" i="106"/>
  <c r="K3" i="11"/>
  <c r="B7595" i="106"/>
  <c r="B7597" i="106"/>
  <c r="B7598" i="106"/>
  <c r="B7599" i="106"/>
  <c r="F6" i="11"/>
  <c r="B7601" i="106"/>
  <c r="B7602" i="106"/>
  <c r="B7603" i="106"/>
  <c r="K6" i="11"/>
  <c r="B7604" i="106"/>
  <c r="B7606" i="106"/>
  <c r="B7607" i="106"/>
  <c r="B7608" i="106"/>
  <c r="F9" i="11"/>
  <c r="B7609" i="106"/>
  <c r="B7610" i="106"/>
  <c r="B7611" i="106"/>
  <c r="B7612" i="106"/>
  <c r="K9" i="11"/>
  <c r="B7613" i="106"/>
  <c r="B7615" i="106"/>
  <c r="B7616" i="106"/>
  <c r="B7617" i="106"/>
  <c r="F14" i="11"/>
  <c r="B7619" i="106"/>
  <c r="B7620" i="106"/>
  <c r="B7621" i="106"/>
  <c r="K14" i="11"/>
  <c r="B7622" i="106"/>
  <c r="D7626" i="106"/>
  <c r="D7627" i="106"/>
  <c r="D7628" i="106"/>
  <c r="D7629" i="106"/>
  <c r="D7630" i="106"/>
  <c r="D7632" i="106"/>
  <c r="D7633" i="106"/>
  <c r="D7634" i="106"/>
  <c r="B7636" i="106"/>
  <c r="B7638" i="106"/>
  <c r="D7638" i="106" s="1"/>
  <c r="B7639" i="106"/>
  <c r="B7651" i="106"/>
  <c r="D7651" i="106" s="1"/>
  <c r="B7652" i="106"/>
  <c r="D7652" i="106" s="1"/>
  <c r="B7655" i="106"/>
  <c r="D7655" i="106" s="1"/>
  <c r="B7658" i="106"/>
  <c r="D7658" i="106" s="1"/>
  <c r="B7660" i="106"/>
  <c r="D7660" i="106" s="1"/>
  <c r="B7663" i="106"/>
  <c r="D7663" i="106" s="1"/>
  <c r="B7666" i="106"/>
  <c r="D7666" i="106" s="1"/>
  <c r="B7667" i="106"/>
  <c r="D7667" i="106" s="1"/>
  <c r="B7669" i="106"/>
  <c r="D7669" i="106" s="1"/>
  <c r="B7670" i="106"/>
  <c r="D7670" i="106" s="1"/>
  <c r="B7672" i="106"/>
  <c r="D7672" i="106" s="1"/>
  <c r="B7674" i="106"/>
  <c r="D7674" i="106" s="1"/>
  <c r="B7675" i="106"/>
  <c r="D7675" i="106" s="1"/>
  <c r="B7677" i="106"/>
  <c r="D7677" i="106" s="1"/>
  <c r="B7679" i="106"/>
  <c r="D7679" i="106" s="1"/>
  <c r="B7680" i="106"/>
  <c r="D7680" i="106" s="1"/>
  <c r="B7681" i="106"/>
  <c r="D7681" i="106" s="1"/>
  <c r="B7682" i="106"/>
  <c r="D7682" i="106" s="1"/>
  <c r="B7684" i="106"/>
  <c r="D7684" i="106" s="1"/>
  <c r="B7686" i="106"/>
  <c r="D7686" i="106"/>
  <c r="B7687" i="106"/>
  <c r="D7687" i="106" s="1"/>
  <c r="B7688" i="106"/>
  <c r="D7688" i="106" s="1"/>
  <c r="B7689" i="106"/>
  <c r="D7689" i="106" s="1"/>
  <c r="B7692" i="106"/>
  <c r="D7692" i="106" s="1"/>
  <c r="B7693" i="106"/>
  <c r="D7693" i="106" s="1"/>
  <c r="B7694" i="106"/>
  <c r="D7694" i="106"/>
  <c r="B7695" i="106"/>
  <c r="D7695" i="106" s="1"/>
  <c r="B7697" i="106"/>
  <c r="D7697"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c r="B7709" i="106"/>
  <c r="D7709" i="106"/>
  <c r="B7710" i="106"/>
  <c r="D7710" i="106"/>
  <c r="B7711" i="106"/>
  <c r="D7711" i="106"/>
  <c r="B7712" i="106"/>
  <c r="D7712" i="106"/>
  <c r="B7713" i="106"/>
  <c r="D7713" i="106"/>
  <c r="B7714" i="106"/>
  <c r="D7714" i="106"/>
  <c r="B7715" i="106"/>
  <c r="D7715" i="106"/>
  <c r="B7716" i="106"/>
  <c r="D7716" i="106"/>
  <c r="B7717" i="106"/>
  <c r="D7717" i="106"/>
  <c r="B7720" i="106"/>
  <c r="D7720" i="106"/>
  <c r="B7721" i="106"/>
  <c r="D7721" i="106"/>
  <c r="B7722" i="106"/>
  <c r="D7722" i="106"/>
  <c r="B7723" i="106"/>
  <c r="D7723" i="106"/>
  <c r="B7724" i="106"/>
  <c r="D7724" i="106"/>
  <c r="B7725" i="106"/>
  <c r="D7725" i="106"/>
  <c r="B7728" i="106"/>
  <c r="D7728" i="106" s="1"/>
  <c r="B7731" i="106"/>
  <c r="D7731" i="106" s="1"/>
  <c r="D7734" i="106"/>
  <c r="B7735" i="106"/>
  <c r="D7735" i="106"/>
  <c r="B7736" i="106"/>
  <c r="D7736" i="106"/>
  <c r="B7737" i="106"/>
  <c r="D7737" i="106"/>
  <c r="B7738" i="106"/>
  <c r="D7738" i="106"/>
  <c r="D7744" i="106"/>
  <c r="B7745" i="106"/>
  <c r="D7745" i="106" s="1"/>
  <c r="B7748" i="106"/>
  <c r="D7748" i="106" s="1"/>
  <c r="B7749" i="106"/>
  <c r="D7749" i="106" s="1"/>
  <c r="B7751" i="106"/>
  <c r="D7751" i="106" s="1"/>
  <c r="B7754" i="106"/>
  <c r="D7754" i="106" s="1"/>
  <c r="B7755" i="106"/>
  <c r="D7755" i="106" s="1"/>
  <c r="D7756" i="106"/>
  <c r="D7757" i="106"/>
  <c r="D7768" i="106"/>
  <c r="D7770" i="106"/>
  <c r="D7771" i="106"/>
  <c r="D7772" i="106"/>
  <c r="D7773" i="106"/>
  <c r="D7774" i="106"/>
  <c r="D7775" i="106"/>
  <c r="D7777" i="106"/>
  <c r="D7778" i="106"/>
  <c r="D7779" i="106"/>
  <c r="D7780" i="106"/>
  <c r="D7781" i="106"/>
  <c r="D7782" i="106"/>
  <c r="D7783" i="106"/>
  <c r="D7784" i="106"/>
  <c r="D7787" i="106"/>
  <c r="D7788" i="106"/>
  <c r="D7795" i="106"/>
  <c r="D7797" i="106"/>
  <c r="D7798" i="106"/>
  <c r="D7799" i="106"/>
  <c r="D7800" i="106"/>
  <c r="B6" i="36"/>
  <c r="B7" i="36"/>
  <c r="B9" i="36"/>
  <c r="B10" i="36"/>
  <c r="B11" i="36"/>
  <c r="B12" i="36"/>
  <c r="B13" i="36"/>
  <c r="D23" i="36"/>
  <c r="B9" i="106"/>
  <c r="D25" i="36"/>
  <c r="D26" i="36"/>
  <c r="D27" i="36"/>
  <c r="D28" i="36"/>
  <c r="D32" i="36"/>
  <c r="D37" i="36"/>
  <c r="D39" i="36"/>
  <c r="D40" i="36"/>
  <c r="D41" i="36"/>
  <c r="D42" i="36"/>
  <c r="B66" i="127"/>
  <c r="B67"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C24" i="34"/>
  <c r="D24" i="34"/>
  <c r="F24" i="34"/>
  <c r="C25" i="34"/>
  <c r="D25" i="34"/>
  <c r="F25" i="34"/>
  <c r="C26" i="34"/>
  <c r="D26" i="34"/>
  <c r="C27" i="34"/>
  <c r="D27" i="34"/>
  <c r="C28" i="34"/>
  <c r="D28" i="34"/>
  <c r="F28" i="34"/>
  <c r="C29" i="34"/>
  <c r="D29" i="34"/>
  <c r="C30" i="34"/>
  <c r="D30" i="34"/>
  <c r="C31" i="34"/>
  <c r="D31" i="34"/>
  <c r="C32" i="34"/>
  <c r="D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F71" i="34"/>
  <c r="C72" i="34"/>
  <c r="F72" i="34"/>
  <c r="C73" i="34"/>
  <c r="D73" i="34"/>
  <c r="C85" i="34"/>
  <c r="D85" i="34"/>
  <c r="F85" i="34"/>
  <c r="C86" i="34"/>
  <c r="D86" i="34"/>
  <c r="C87" i="34"/>
  <c r="D87" i="34"/>
  <c r="F87" i="34"/>
  <c r="D88" i="34"/>
  <c r="F88" i="34"/>
  <c r="C89" i="34"/>
  <c r="D89" i="34"/>
  <c r="F89" i="34"/>
  <c r="C90" i="34"/>
  <c r="D90" i="34"/>
  <c r="F90" i="34"/>
  <c r="C91" i="34"/>
  <c r="D91" i="34"/>
  <c r="F91" i="34"/>
  <c r="C92" i="34"/>
  <c r="D92" i="34"/>
  <c r="F92" i="34"/>
  <c r="C93" i="34"/>
  <c r="D93" i="34"/>
  <c r="F93" i="34"/>
  <c r="C94" i="34"/>
  <c r="D94" i="34"/>
  <c r="F94" i="34"/>
  <c r="D95" i="34"/>
  <c r="D96" i="34"/>
  <c r="C97" i="34"/>
  <c r="D97" i="34"/>
  <c r="F97" i="34"/>
  <c r="C98" i="34"/>
  <c r="D98" i="34"/>
  <c r="F98" i="34"/>
  <c r="C99" i="34"/>
  <c r="D99" i="34"/>
  <c r="F99" i="34"/>
  <c r="C100" i="34"/>
  <c r="D100" i="34"/>
  <c r="F100" i="34"/>
  <c r="C101" i="34"/>
  <c r="D101" i="34"/>
  <c r="F101" i="34"/>
  <c r="C102" i="34"/>
  <c r="D102" i="34"/>
  <c r="C103" i="34"/>
  <c r="D103" i="34"/>
  <c r="F103" i="34"/>
  <c r="B7840" i="106" s="1"/>
  <c r="D7840" i="106" s="1"/>
  <c r="C104" i="34"/>
  <c r="D104" i="34"/>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C115" i="34"/>
  <c r="D115" i="34"/>
  <c r="F115" i="34"/>
  <c r="B7849" i="106" s="1"/>
  <c r="D7849" i="106" s="1"/>
  <c r="C116" i="34"/>
  <c r="D116" i="34"/>
  <c r="F116" i="34"/>
  <c r="B7850" i="106"/>
  <c r="D7850" i="106"/>
  <c r="C117" i="34"/>
  <c r="D117" i="34"/>
  <c r="F117" i="34"/>
  <c r="B7851" i="106"/>
  <c r="D7851" i="106"/>
  <c r="C118" i="34"/>
  <c r="D118" i="34"/>
  <c r="F118" i="34"/>
  <c r="B7852" i="106" s="1"/>
  <c r="D7852" i="106" s="1"/>
  <c r="C119" i="34"/>
  <c r="D119" i="34"/>
  <c r="C120" i="34"/>
  <c r="D120" i="34"/>
  <c r="F120" i="34"/>
  <c r="B7854" i="106" s="1"/>
  <c r="D7854" i="106" s="1"/>
  <c r="C121" i="34"/>
  <c r="D121" i="34"/>
  <c r="C122" i="34"/>
  <c r="C123" i="34"/>
  <c r="D123" i="34"/>
  <c r="F123" i="34"/>
  <c r="D124" i="34"/>
  <c r="D125" i="34"/>
  <c r="D126" i="34"/>
  <c r="D127" i="34"/>
  <c r="D128" i="34"/>
  <c r="C129" i="34"/>
  <c r="D129" i="34"/>
  <c r="C130" i="34"/>
  <c r="D130" i="34"/>
  <c r="C131" i="34"/>
  <c r="D131" i="34"/>
  <c r="C132" i="34"/>
  <c r="D132" i="34"/>
  <c r="D133" i="34"/>
  <c r="D134" i="34"/>
  <c r="D135" i="34"/>
  <c r="D136" i="34"/>
  <c r="D137" i="34"/>
  <c r="D138" i="34"/>
  <c r="D139" i="34"/>
  <c r="D140" i="34"/>
  <c r="F140" i="34"/>
  <c r="F146" i="34"/>
  <c r="F151" i="34"/>
  <c r="F153"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C165" i="34"/>
  <c r="D165" i="34"/>
  <c r="C166" i="34"/>
  <c r="D166" i="34"/>
  <c r="C169" i="34"/>
  <c r="D169" i="34"/>
  <c r="C170" i="34"/>
  <c r="D170" i="34"/>
  <c r="C171" i="34"/>
  <c r="D171" i="34"/>
  <c r="F171" i="34"/>
  <c r="B7876" i="106" s="1"/>
  <c r="D7876" i="106"/>
  <c r="F179" i="34"/>
  <c r="F3" i="11"/>
  <c r="B7591" i="106"/>
  <c r="F5" i="11"/>
  <c r="B2026" i="106"/>
  <c r="D2026" i="106"/>
  <c r="C16" i="11"/>
  <c r="B2013" i="106"/>
  <c r="D2013" i="106"/>
  <c r="C49" i="8"/>
  <c r="B7817" i="106"/>
  <c r="D7817" i="106"/>
  <c r="B4" i="7"/>
  <c r="B1744" i="106" s="1"/>
  <c r="D1744" i="106" s="1"/>
  <c r="B5" i="7"/>
  <c r="B1745" i="106"/>
  <c r="D1745" i="106" s="1"/>
  <c r="B6" i="7"/>
  <c r="B7" i="7"/>
  <c r="B8" i="7"/>
  <c r="B1748" i="106"/>
  <c r="D1748" i="106"/>
  <c r="B9" i="7"/>
  <c r="B10" i="7"/>
  <c r="B1749" i="106" s="1"/>
  <c r="D1749" i="106" s="1"/>
  <c r="B12" i="7"/>
  <c r="B1753" i="106" s="1"/>
  <c r="D1753" i="106" s="1"/>
  <c r="B13" i="7"/>
  <c r="D13" i="7" s="1"/>
  <c r="B3725" i="106"/>
  <c r="D3725" i="106" s="1"/>
  <c r="B16" i="7"/>
  <c r="L42" i="29"/>
  <c r="C47" i="29"/>
  <c r="B731" i="106" s="1"/>
  <c r="D731" i="106" s="1"/>
  <c r="C53" i="29"/>
  <c r="B734" i="106" s="1"/>
  <c r="D734" i="106" s="1"/>
  <c r="L53" i="29"/>
  <c r="L243" i="29"/>
  <c r="L277" i="29"/>
  <c r="L303" i="29"/>
  <c r="L310" i="29"/>
  <c r="L312" i="29" s="1"/>
  <c r="L340" i="29"/>
  <c r="L350" i="29"/>
  <c r="L352" i="29" s="1"/>
  <c r="L362" i="29"/>
  <c r="D12" i="5"/>
  <c r="B5334" i="106" s="1"/>
  <c r="D5334" i="106" s="1"/>
  <c r="E12" i="5"/>
  <c r="G12" i="5"/>
  <c r="B5725" i="106" s="1"/>
  <c r="D5725" i="106" s="1"/>
  <c r="I12" i="5"/>
  <c r="B5918" i="106" s="1"/>
  <c r="D5918" i="106" s="1"/>
  <c r="J12" i="5"/>
  <c r="B6301" i="106" s="1"/>
  <c r="D6301" i="106" s="1"/>
  <c r="K12" i="5"/>
  <c r="B5987" i="106"/>
  <c r="D5987" i="106" s="1"/>
  <c r="C18" i="5"/>
  <c r="B5071" i="106" s="1"/>
  <c r="D5071" i="106" s="1"/>
  <c r="F18" i="5"/>
  <c r="B5562" i="106" s="1"/>
  <c r="D5562" i="106" s="1"/>
  <c r="H18" i="5"/>
  <c r="B5878" i="106" s="1"/>
  <c r="D5878" i="106" s="1"/>
  <c r="C67" i="5"/>
  <c r="B5090" i="106" s="1"/>
  <c r="D5090" i="106" s="1"/>
  <c r="D67" i="5"/>
  <c r="B5342" i="106" s="1"/>
  <c r="D5342" i="106" s="1"/>
  <c r="E67" i="5"/>
  <c r="B5521" i="106" s="1"/>
  <c r="D5521" i="106"/>
  <c r="F67" i="5"/>
  <c r="B5582" i="106" s="1"/>
  <c r="D5582" i="106" s="1"/>
  <c r="G67" i="5"/>
  <c r="B5733" i="106" s="1"/>
  <c r="D5733" i="106" s="1"/>
  <c r="I67" i="5"/>
  <c r="B5926" i="106" s="1"/>
  <c r="D5926" i="106" s="1"/>
  <c r="J67" i="5"/>
  <c r="K67" i="5"/>
  <c r="B5995" i="106" s="1"/>
  <c r="D5995" i="106" s="1"/>
  <c r="C82" i="5"/>
  <c r="B5102" i="106" s="1"/>
  <c r="D5102" i="106" s="1"/>
  <c r="C114" i="5"/>
  <c r="B5125" i="106"/>
  <c r="D5125" i="106" s="1"/>
  <c r="D114" i="5"/>
  <c r="D5" i="4" s="1"/>
  <c r="B5360" i="106"/>
  <c r="D5360" i="106" s="1"/>
  <c r="G114" i="5"/>
  <c r="B5741" i="106" s="1"/>
  <c r="D5741" i="106" s="1"/>
  <c r="H122" i="5"/>
  <c r="J122" i="5"/>
  <c r="B6357" i="106"/>
  <c r="D6357" i="106" s="1"/>
  <c r="K122" i="5"/>
  <c r="B6006" i="106" s="1"/>
  <c r="D6006" i="106" s="1"/>
  <c r="D132" i="5"/>
  <c r="B5369" i="106" s="1"/>
  <c r="D5369" i="106" s="1"/>
  <c r="G145" i="5"/>
  <c r="I169" i="5"/>
  <c r="B4363" i="106" s="1"/>
  <c r="D4363" i="106" s="1"/>
  <c r="C175" i="5"/>
  <c r="B5225" i="106" s="1"/>
  <c r="D5225" i="106"/>
  <c r="D175" i="5"/>
  <c r="B5423" i="106" s="1"/>
  <c r="D5423" i="106" s="1"/>
  <c r="E175" i="5"/>
  <c r="B4372" i="106" s="1"/>
  <c r="D4372" i="106" s="1"/>
  <c r="H175" i="5"/>
  <c r="I175" i="5"/>
  <c r="J175" i="5"/>
  <c r="B6400" i="106" s="1"/>
  <c r="D6400" i="106" s="1"/>
  <c r="K175" i="5"/>
  <c r="B4951" i="106" s="1"/>
  <c r="D4951" i="106" s="1"/>
  <c r="D181" i="5"/>
  <c r="B5425" i="106" s="1"/>
  <c r="D5425" i="106" s="1"/>
  <c r="F181" i="5"/>
  <c r="B5658" i="106" s="1"/>
  <c r="D5658" i="106" s="1"/>
  <c r="G181" i="5"/>
  <c r="B5784" i="106" s="1"/>
  <c r="D5784" i="106" s="1"/>
  <c r="D204" i="5"/>
  <c r="B5444" i="106" s="1"/>
  <c r="D5444" i="106" s="1"/>
  <c r="F209" i="5"/>
  <c r="B4413" i="106" s="1"/>
  <c r="D4413" i="106" s="1"/>
  <c r="G209" i="5"/>
  <c r="D221" i="5"/>
  <c r="B5488" i="106" s="1"/>
  <c r="D5488" i="106" s="1"/>
  <c r="G221" i="5"/>
  <c r="B5847" i="106" s="1"/>
  <c r="D5847" i="106" s="1"/>
  <c r="J252" i="5"/>
  <c r="J266" i="5"/>
  <c r="B7041" i="106"/>
  <c r="D7041" i="106"/>
  <c r="K252" i="5"/>
  <c r="G14" i="4"/>
  <c r="B2609" i="106" s="1"/>
  <c r="D2609" i="106" s="1"/>
  <c r="D7" i="118"/>
  <c r="D8" i="118"/>
  <c r="D9" i="118"/>
  <c r="H28" i="118"/>
  <c r="D22" i="37"/>
  <c r="D24" i="37"/>
  <c r="B4270" i="106"/>
  <c r="D4270" i="106"/>
  <c r="H33" i="118"/>
  <c r="K32" i="118" s="1"/>
  <c r="O31" i="118" s="1"/>
  <c r="O33" i="118" s="1"/>
  <c r="L22" i="37"/>
  <c r="B7078" i="106"/>
  <c r="D7078" i="106" s="1"/>
  <c r="C129" i="29"/>
  <c r="C151" i="29" s="1"/>
  <c r="B1226" i="106" s="1"/>
  <c r="D1226" i="106" s="1"/>
  <c r="D69" i="36"/>
  <c r="B7047" i="106"/>
  <c r="D7047" i="106" s="1"/>
  <c r="C352" i="29"/>
  <c r="B3621" i="106" s="1"/>
  <c r="D3621" i="106" s="1"/>
  <c r="B7074" i="106"/>
  <c r="D7074" i="106" s="1"/>
  <c r="F64" i="34"/>
  <c r="D68" i="36"/>
  <c r="F68" i="34"/>
  <c r="J22" i="37"/>
  <c r="F19" i="7"/>
  <c r="B1807" i="106"/>
  <c r="D1807" i="106"/>
  <c r="F46" i="34"/>
  <c r="L13" i="11"/>
  <c r="B2060" i="106"/>
  <c r="D2060" i="106"/>
  <c r="L5" i="11"/>
  <c r="B2056" i="106"/>
  <c r="D2056" i="106"/>
  <c r="D6103" i="106"/>
  <c r="D11" i="37"/>
  <c r="H29" i="118"/>
  <c r="K28" i="118"/>
  <c r="O27" i="118"/>
  <c r="O29" i="118"/>
  <c r="N22" i="3"/>
  <c r="B283" i="106"/>
  <c r="D283" i="106"/>
  <c r="B7727" i="106"/>
  <c r="D7727" i="106"/>
  <c r="F49" i="34"/>
  <c r="F44" i="34"/>
  <c r="D31" i="36"/>
  <c r="L15" i="11"/>
  <c r="B3459" i="106"/>
  <c r="D3459" i="106"/>
  <c r="I24" i="12"/>
  <c r="B3406" i="106"/>
  <c r="D3406" i="106"/>
  <c r="F21" i="8"/>
  <c r="K24" i="12"/>
  <c r="F41" i="34"/>
  <c r="D3583" i="106"/>
  <c r="B1329" i="106"/>
  <c r="D1329" i="106" s="1"/>
  <c r="F61" i="34"/>
  <c r="D12" i="7"/>
  <c r="B1769" i="106" s="1"/>
  <c r="D1769" i="106" s="1"/>
  <c r="B3726" i="106"/>
  <c r="D3726" i="106" s="1"/>
  <c r="D4" i="7"/>
  <c r="B1760" i="106"/>
  <c r="D1760" i="106" s="1"/>
  <c r="G5" i="4"/>
  <c r="B3409" i="106" s="1"/>
  <c r="D3409" i="106" s="1"/>
  <c r="D5" i="7"/>
  <c r="B1761" i="106" s="1"/>
  <c r="D1761" i="106" s="1"/>
  <c r="J267" i="5"/>
  <c r="B7054" i="106" s="1"/>
  <c r="D7054" i="106" s="1"/>
  <c r="H295" i="29"/>
  <c r="B1454" i="106" s="1"/>
  <c r="D1454" i="106" s="1"/>
  <c r="B79" i="36"/>
  <c r="B77" i="36"/>
  <c r="C5" i="4"/>
  <c r="B3405" i="106" s="1"/>
  <c r="D3405" i="106" s="1"/>
  <c r="B6840" i="106"/>
  <c r="D6840" i="106"/>
  <c r="B6839" i="106"/>
  <c r="D6839" i="106"/>
  <c r="F16" i="11"/>
  <c r="F48" i="34"/>
  <c r="F47" i="34"/>
  <c r="B6877" i="106"/>
  <c r="D6877" i="106" s="1"/>
  <c r="F39" i="34"/>
  <c r="B3703" i="106"/>
  <c r="D3703" i="106" s="1"/>
  <c r="K362" i="29"/>
  <c r="B3676" i="106" s="1"/>
  <c r="D3676" i="106" s="1"/>
  <c r="D352" i="29"/>
  <c r="D367" i="29" s="1"/>
  <c r="B3629" i="106" s="1"/>
  <c r="D3629" i="106" s="1"/>
  <c r="L41" i="3"/>
  <c r="B2917" i="106" s="1"/>
  <c r="D2917" i="106" s="1"/>
  <c r="K16" i="11"/>
  <c r="B2055" i="106"/>
  <c r="D2055" i="106"/>
  <c r="B1512" i="106"/>
  <c r="D1512" i="106" s="1"/>
  <c r="B7759" i="106"/>
  <c r="D7759" i="106"/>
  <c r="B1225" i="106"/>
  <c r="D1225" i="106" s="1"/>
  <c r="L3" i="11"/>
  <c r="B7596" i="106"/>
  <c r="L9" i="11"/>
  <c r="B7614" i="106"/>
  <c r="L10" i="11"/>
  <c r="B2058" i="106"/>
  <c r="D2058" i="106"/>
  <c r="D10" i="7"/>
  <c r="B1765" i="106" s="1"/>
  <c r="D1765" i="106" s="1"/>
  <c r="D8" i="7"/>
  <c r="B1764" i="106" s="1"/>
  <c r="D1764" i="106"/>
  <c r="B7600" i="106"/>
  <c r="L6" i="11"/>
  <c r="B7605" i="106"/>
  <c r="A7250" i="106"/>
  <c r="A7251" i="106"/>
  <c r="A7252" i="106"/>
  <c r="A7253" i="106"/>
  <c r="A7254" i="106"/>
  <c r="A7255" i="106"/>
  <c r="A7256" i="106"/>
  <c r="A7257" i="106"/>
  <c r="D7249" i="106"/>
  <c r="B7618" i="106"/>
  <c r="L14" i="11"/>
  <c r="B7623" i="106"/>
  <c r="B6917" i="106"/>
  <c r="D6917" i="106"/>
  <c r="D7248" i="106"/>
  <c r="D7246" i="106"/>
  <c r="J312" i="29"/>
  <c r="B7117" i="106" s="1"/>
  <c r="D7117" i="106" s="1"/>
  <c r="I312" i="29"/>
  <c r="B7116" i="106"/>
  <c r="D7116" i="106" s="1"/>
  <c r="I49" i="8"/>
  <c r="B3633" i="106"/>
  <c r="D3633" i="106" s="1"/>
  <c r="B1977" i="106"/>
  <c r="D1977" i="106"/>
  <c r="H24" i="12"/>
  <c r="B1867" i="106"/>
  <c r="D1867" i="106"/>
  <c r="F15" i="8"/>
  <c r="B4099" i="106"/>
  <c r="D4099" i="106" s="1"/>
  <c r="B1523" i="106"/>
  <c r="D1523" i="106" s="1"/>
  <c r="C312" i="29"/>
  <c r="B1524" i="106" s="1"/>
  <c r="D1524" i="106" s="1"/>
  <c r="K261" i="29"/>
  <c r="B1491" i="106" s="1"/>
  <c r="D1491" i="106" s="1"/>
  <c r="B1475" i="106"/>
  <c r="D1475" i="106" s="1"/>
  <c r="K238" i="29"/>
  <c r="B1481" i="106" s="1"/>
  <c r="D1481" i="106" s="1"/>
  <c r="B2842" i="106"/>
  <c r="D2842" i="106" s="1"/>
  <c r="B3640" i="106"/>
  <c r="D3640" i="106" s="1"/>
  <c r="F352" i="29"/>
  <c r="F367" i="29"/>
  <c r="L12" i="11"/>
  <c r="B2059" i="106"/>
  <c r="D2059" i="106"/>
  <c r="L8" i="11"/>
  <c r="B2057" i="106"/>
  <c r="D2057" i="106"/>
  <c r="G24" i="12"/>
  <c r="B1417" i="106"/>
  <c r="D1417" i="106" s="1"/>
  <c r="B1358" i="106"/>
  <c r="D1358" i="106" s="1"/>
  <c r="F210" i="29"/>
  <c r="B1359" i="106" s="1"/>
  <c r="D1359" i="106" s="1"/>
  <c r="B1283" i="106"/>
  <c r="D1283" i="106" s="1"/>
  <c r="K147" i="29"/>
  <c r="K149" i="29" s="1"/>
  <c r="B905" i="106"/>
  <c r="D905" i="106"/>
  <c r="B139" i="106"/>
  <c r="D139" i="106" s="1"/>
  <c r="J24" i="12"/>
  <c r="B7730" i="106"/>
  <c r="D7730" i="106"/>
  <c r="L16" i="11"/>
  <c r="B2061" i="106"/>
  <c r="D2061" i="106"/>
  <c r="B2031" i="106"/>
  <c r="D2031" i="106"/>
  <c r="C367" i="29"/>
  <c r="B3622" i="106" s="1"/>
  <c r="D3622" i="106" s="1"/>
  <c r="D7256" i="106"/>
  <c r="D7251" i="106"/>
  <c r="I26" i="12"/>
  <c r="B7741" i="106"/>
  <c r="D7741" i="106"/>
  <c r="B1996" i="106"/>
  <c r="D1996" i="106"/>
  <c r="D7253" i="106"/>
  <c r="D7252" i="106"/>
  <c r="B7733" i="106"/>
  <c r="D7733" i="106"/>
  <c r="K26" i="12"/>
  <c r="B7743" i="106"/>
  <c r="D7743" i="106"/>
  <c r="B1879" i="106"/>
  <c r="D1879" i="106"/>
  <c r="H22" i="37"/>
  <c r="B3628" i="106"/>
  <c r="D3628" i="106"/>
  <c r="F73" i="34"/>
  <c r="G15" i="4"/>
  <c r="B6032" i="106" s="1"/>
  <c r="D6032" i="106" s="1"/>
  <c r="J7" i="4"/>
  <c r="B6222" i="106" s="1"/>
  <c r="D6222" i="106" s="1"/>
  <c r="B7760" i="106"/>
  <c r="D7760" i="106"/>
  <c r="D24" i="36"/>
  <c r="B7048" i="106"/>
  <c r="D7048" i="106" s="1"/>
  <c r="B1875" i="106"/>
  <c r="D1875" i="106"/>
  <c r="F22" i="37"/>
  <c r="B1983" i="106"/>
  <c r="D1983" i="106"/>
  <c r="H26" i="12"/>
  <c r="B7740" i="106"/>
  <c r="D7740" i="106"/>
  <c r="A7258" i="106"/>
  <c r="B7732" i="106"/>
  <c r="D7732" i="106"/>
  <c r="J26" i="12"/>
  <c r="B7742" i="106"/>
  <c r="D7742" i="106"/>
  <c r="B1958" i="106"/>
  <c r="D1958" i="106"/>
  <c r="G26" i="12"/>
  <c r="B7739" i="106"/>
  <c r="D7739" i="106"/>
  <c r="B3642" i="106"/>
  <c r="D3642" i="106" s="1"/>
  <c r="B3643" i="106"/>
  <c r="D3643" i="106" s="1"/>
  <c r="B4171" i="106"/>
  <c r="D4171" i="106"/>
  <c r="N36" i="3"/>
  <c r="F24" i="37"/>
  <c r="A7259" i="106"/>
  <c r="H37" i="37"/>
  <c r="B285" i="106"/>
  <c r="D285" i="106"/>
  <c r="N37" i="3"/>
  <c r="N41" i="3"/>
  <c r="B287" i="106"/>
  <c r="D287" i="106"/>
  <c r="B4997" i="106"/>
  <c r="D4997" i="106"/>
  <c r="H32" i="118"/>
  <c r="A7260" i="106"/>
  <c r="D7259" i="106"/>
  <c r="A7261" i="106"/>
  <c r="D7260" i="106"/>
  <c r="B288" i="106"/>
  <c r="D288" i="106"/>
  <c r="A7262" i="106"/>
  <c r="A7263" i="106"/>
  <c r="D7262" i="106"/>
  <c r="A7264" i="106"/>
  <c r="A7265" i="106"/>
  <c r="D7264" i="106"/>
  <c r="A7266" i="106"/>
  <c r="A7267" i="106"/>
  <c r="D7266" i="106"/>
  <c r="A7268" i="106"/>
  <c r="A7269" i="106"/>
  <c r="A7270" i="106"/>
  <c r="D7269" i="106"/>
  <c r="A7271" i="106"/>
  <c r="D7270" i="106"/>
  <c r="A7272" i="106"/>
  <c r="D7271" i="106"/>
  <c r="A7273" i="106"/>
  <c r="D7272" i="106"/>
  <c r="A7274" i="106"/>
  <c r="D7273" i="106"/>
  <c r="A7275" i="106"/>
  <c r="D7274" i="106"/>
  <c r="A7276" i="106"/>
  <c r="D7275" i="106"/>
  <c r="A7277" i="106"/>
  <c r="D7276" i="106"/>
  <c r="A7278" i="106"/>
  <c r="D7277" i="106"/>
  <c r="A7279" i="106"/>
  <c r="D7278" i="106"/>
  <c r="A7280" i="106"/>
  <c r="D7279" i="106"/>
  <c r="A7281" i="106"/>
  <c r="D7280" i="106"/>
  <c r="A7282" i="106"/>
  <c r="D7281" i="106"/>
  <c r="A7283" i="106"/>
  <c r="D7282" i="106"/>
  <c r="A7284" i="106"/>
  <c r="D7283" i="106"/>
  <c r="A7285" i="106"/>
  <c r="D7284" i="106"/>
  <c r="A7286" i="106"/>
  <c r="D7285" i="106"/>
  <c r="A7287" i="106"/>
  <c r="D7286" i="106"/>
  <c r="A7288" i="106"/>
  <c r="D7287" i="106"/>
  <c r="A7289" i="106"/>
  <c r="D7288" i="106"/>
  <c r="A7290" i="106"/>
  <c r="D7289" i="106"/>
  <c r="A7291" i="106"/>
  <c r="D7290" i="106"/>
  <c r="A7292" i="106"/>
  <c r="D7291" i="106"/>
  <c r="A7293" i="106"/>
  <c r="D7292" i="106"/>
  <c r="A7294" i="106"/>
  <c r="D7293" i="106"/>
  <c r="A7295" i="106"/>
  <c r="D7294" i="106"/>
  <c r="A7296" i="106"/>
  <c r="D7295" i="106"/>
  <c r="A7297" i="106"/>
  <c r="D7296" i="106"/>
  <c r="A7298" i="106"/>
  <c r="D7297" i="106"/>
  <c r="A7299" i="106"/>
  <c r="D7298" i="106"/>
  <c r="A7300" i="106"/>
  <c r="D7299" i="106"/>
  <c r="A7301" i="106"/>
  <c r="D7300" i="106"/>
  <c r="A7302" i="106"/>
  <c r="D7301" i="106"/>
  <c r="A7303" i="106"/>
  <c r="D7302" i="106"/>
  <c r="A7304" i="106"/>
  <c r="D7303" i="106"/>
  <c r="A7305" i="106"/>
  <c r="D7304" i="106"/>
  <c r="A7306" i="106"/>
  <c r="D7305" i="106"/>
  <c r="A7307" i="106"/>
  <c r="D7306" i="106"/>
  <c r="A7308" i="106"/>
  <c r="D7307" i="106"/>
  <c r="A7309" i="106"/>
  <c r="D7308" i="106"/>
  <c r="A7310" i="106"/>
  <c r="D7309" i="106"/>
  <c r="A7311" i="106"/>
  <c r="D7310" i="106"/>
  <c r="A7312" i="106"/>
  <c r="D7311" i="106"/>
  <c r="A7313" i="106"/>
  <c r="D7312" i="106"/>
  <c r="A7314" i="106"/>
  <c r="D7313" i="106"/>
  <c r="A7315" i="106"/>
  <c r="D7314" i="106"/>
  <c r="A7316" i="106"/>
  <c r="D7315" i="106"/>
  <c r="A7317" i="106"/>
  <c r="D7316" i="106"/>
  <c r="A7318" i="106"/>
  <c r="D7317" i="106"/>
  <c r="A7319" i="106"/>
  <c r="D7318" i="106"/>
  <c r="A7320" i="106"/>
  <c r="D7319" i="106"/>
  <c r="A7321" i="106"/>
  <c r="D7320" i="106"/>
  <c r="A7322" i="106"/>
  <c r="D7321" i="106"/>
  <c r="A7323" i="106"/>
  <c r="D7322" i="106"/>
  <c r="A7324" i="106"/>
  <c r="D7323" i="106"/>
  <c r="A7325" i="106"/>
  <c r="D7324" i="106"/>
  <c r="A7326" i="106"/>
  <c r="D7325" i="106"/>
  <c r="A7327" i="106"/>
  <c r="D7326" i="106"/>
  <c r="A7328" i="106"/>
  <c r="D7327" i="106"/>
  <c r="A7329" i="106"/>
  <c r="D7328" i="106"/>
  <c r="A7330" i="106"/>
  <c r="D7329" i="106"/>
  <c r="A7331" i="106"/>
  <c r="D7330" i="106"/>
  <c r="A7332" i="106"/>
  <c r="D7331" i="106"/>
  <c r="A7333" i="106"/>
  <c r="D7332" i="106"/>
  <c r="A7334" i="106"/>
  <c r="D7333" i="106"/>
  <c r="A7335" i="106"/>
  <c r="D7334" i="106"/>
  <c r="A7336" i="106"/>
  <c r="D7335" i="106"/>
  <c r="A7337" i="106"/>
  <c r="D7336" i="106"/>
  <c r="A7338" i="106"/>
  <c r="D7337" i="106"/>
  <c r="A7339" i="106"/>
  <c r="D7338" i="106"/>
  <c r="A7340" i="106"/>
  <c r="D7339" i="106"/>
  <c r="A7341" i="106"/>
  <c r="D7340" i="106"/>
  <c r="A7342" i="106"/>
  <c r="D7341" i="106"/>
  <c r="A7343" i="106"/>
  <c r="D7342" i="106"/>
  <c r="A7344" i="106"/>
  <c r="D7343" i="106"/>
  <c r="A7345" i="106"/>
  <c r="D7344" i="106"/>
  <c r="A7346" i="106"/>
  <c r="D7345" i="106"/>
  <c r="A7347" i="106"/>
  <c r="D7346" i="106"/>
  <c r="A7348" i="106"/>
  <c r="D7347" i="106"/>
  <c r="A7349" i="106"/>
  <c r="D7348" i="106"/>
  <c r="A7350" i="106"/>
  <c r="D7349" i="106"/>
  <c r="A7351" i="106"/>
  <c r="D7350" i="106"/>
  <c r="A7352" i="106"/>
  <c r="D7351" i="106"/>
  <c r="A7353" i="106"/>
  <c r="D7352" i="106"/>
  <c r="A7354" i="106"/>
  <c r="D7353" i="106"/>
  <c r="A7355" i="106"/>
  <c r="D7354" i="106"/>
  <c r="A7356" i="106"/>
  <c r="D7355" i="106"/>
  <c r="A7357" i="106"/>
  <c r="D7356" i="106"/>
  <c r="A7358" i="106"/>
  <c r="D7357" i="106"/>
  <c r="A7359" i="106"/>
  <c r="D7358" i="106"/>
  <c r="A7360" i="106"/>
  <c r="D7359" i="106"/>
  <c r="A7361" i="106"/>
  <c r="D7360" i="106"/>
  <c r="A7362" i="106"/>
  <c r="D7361" i="106"/>
  <c r="A7363" i="106"/>
  <c r="D7362" i="106"/>
  <c r="A7364" i="106"/>
  <c r="D7363" i="106"/>
  <c r="A7365" i="106"/>
  <c r="D7364" i="106"/>
  <c r="A7366" i="106"/>
  <c r="D7365" i="106"/>
  <c r="A7367" i="106"/>
  <c r="D7366" i="106"/>
  <c r="A7368" i="106"/>
  <c r="D7367" i="106"/>
  <c r="A7369" i="106"/>
  <c r="D7368" i="106"/>
  <c r="A7370" i="106"/>
  <c r="D7369" i="106"/>
  <c r="A7371" i="106"/>
  <c r="D7370" i="106"/>
  <c r="A7372" i="106"/>
  <c r="D7371" i="106"/>
  <c r="A7373" i="106"/>
  <c r="D7372" i="106"/>
  <c r="A7374" i="106"/>
  <c r="D7373" i="106"/>
  <c r="A7375" i="106"/>
  <c r="D7374" i="106"/>
  <c r="A7376" i="106"/>
  <c r="D7375" i="106"/>
  <c r="A7377" i="106"/>
  <c r="D7376" i="106"/>
  <c r="A7378" i="106"/>
  <c r="D7377" i="106"/>
  <c r="A7379" i="106"/>
  <c r="D7378" i="106"/>
  <c r="A7380" i="106"/>
  <c r="D7379" i="106"/>
  <c r="A7381" i="106"/>
  <c r="D7380" i="106"/>
  <c r="A7382" i="106"/>
  <c r="D7381" i="106"/>
  <c r="A7383" i="106"/>
  <c r="D7382" i="106"/>
  <c r="A7384" i="106"/>
  <c r="D7383" i="106"/>
  <c r="A7385" i="106"/>
  <c r="D7384" i="106"/>
  <c r="A7386" i="106"/>
  <c r="D7385" i="106"/>
  <c r="A7387" i="106"/>
  <c r="D7386" i="106"/>
  <c r="A7388" i="106"/>
  <c r="D7387" i="106"/>
  <c r="A7389" i="106"/>
  <c r="D7388" i="106"/>
  <c r="A7390" i="106"/>
  <c r="D7389" i="106"/>
  <c r="A7391" i="106"/>
  <c r="D7390" i="106"/>
  <c r="A7392" i="106"/>
  <c r="D7391" i="106"/>
  <c r="A7393" i="106"/>
  <c r="D7392" i="106"/>
  <c r="A7394" i="106"/>
  <c r="D7393" i="106"/>
  <c r="A7395" i="106"/>
  <c r="D7394" i="106"/>
  <c r="A7396" i="106"/>
  <c r="D7395" i="106"/>
  <c r="A7397" i="106"/>
  <c r="D7396" i="106"/>
  <c r="A7398" i="106"/>
  <c r="D7397" i="106"/>
  <c r="A7399" i="106"/>
  <c r="D7398" i="106"/>
  <c r="A7400" i="106"/>
  <c r="D7399" i="106"/>
  <c r="A7401" i="106"/>
  <c r="D7400" i="106"/>
  <c r="A7402" i="106"/>
  <c r="D7401" i="106"/>
  <c r="A7403" i="106"/>
  <c r="D7402" i="106"/>
  <c r="A7404" i="106"/>
  <c r="D7403" i="106"/>
  <c r="A7405" i="106"/>
  <c r="D7404" i="106"/>
  <c r="A7406" i="106"/>
  <c r="D7405" i="106"/>
  <c r="A7407" i="106"/>
  <c r="D7406" i="106"/>
  <c r="A7408" i="106"/>
  <c r="D7407" i="106"/>
  <c r="A7409" i="106"/>
  <c r="D7408" i="106"/>
  <c r="A7410" i="106"/>
  <c r="D7409" i="106"/>
  <c r="A7411" i="106"/>
  <c r="D7410" i="106"/>
  <c r="A7412" i="106"/>
  <c r="D7411" i="106"/>
  <c r="A7413" i="106"/>
  <c r="D7412" i="106"/>
  <c r="A7414" i="106"/>
  <c r="D7413" i="106"/>
  <c r="A7415" i="106"/>
  <c r="D7414" i="106"/>
  <c r="A7416" i="106"/>
  <c r="D7415" i="106"/>
  <c r="A7417" i="106"/>
  <c r="D7416" i="106"/>
  <c r="A7418" i="106"/>
  <c r="D7417" i="106"/>
  <c r="A7419" i="106"/>
  <c r="D7418" i="106"/>
  <c r="A7420" i="106"/>
  <c r="D7419" i="106"/>
  <c r="A7421" i="106"/>
  <c r="D7420" i="106"/>
  <c r="A7422" i="106"/>
  <c r="D7421" i="106"/>
  <c r="A7423" i="106"/>
  <c r="D7422" i="106"/>
  <c r="A7424" i="106"/>
  <c r="D7423" i="106"/>
  <c r="A7425" i="106"/>
  <c r="D7424" i="106"/>
  <c r="A7426" i="106"/>
  <c r="D7425" i="106"/>
  <c r="A7427" i="106"/>
  <c r="D7426" i="106"/>
  <c r="A7428" i="106"/>
  <c r="D7427" i="106"/>
  <c r="A7429" i="106"/>
  <c r="D7428" i="106"/>
  <c r="A7430" i="106"/>
  <c r="D7429" i="106"/>
  <c r="A7431" i="106"/>
  <c r="D7430" i="106"/>
  <c r="A7432" i="106"/>
  <c r="D7431" i="106"/>
  <c r="A7433" i="106"/>
  <c r="D7432" i="106"/>
  <c r="A7434" i="106"/>
  <c r="D7433" i="106"/>
  <c r="A7435" i="106"/>
  <c r="D7434" i="106"/>
  <c r="A7436" i="106"/>
  <c r="D7435" i="106"/>
  <c r="A7437" i="106"/>
  <c r="D7436" i="106"/>
  <c r="A7438" i="106"/>
  <c r="D7437" i="106"/>
  <c r="A7439" i="106"/>
  <c r="D7438" i="106"/>
  <c r="A7440" i="106"/>
  <c r="D7439" i="106"/>
  <c r="A7441" i="106"/>
  <c r="D7440" i="106"/>
  <c r="A7442" i="106"/>
  <c r="D7441" i="106"/>
  <c r="A7443" i="106"/>
  <c r="D7442" i="106"/>
  <c r="A7444" i="106"/>
  <c r="D7443" i="106"/>
  <c r="A7445" i="106"/>
  <c r="D7444" i="106"/>
  <c r="A7446" i="106"/>
  <c r="D7445" i="106"/>
  <c r="A7447" i="106"/>
  <c r="D7446" i="106"/>
  <c r="A7448" i="106"/>
  <c r="D7447" i="106"/>
  <c r="A7449" i="106"/>
  <c r="D7448" i="106"/>
  <c r="A7450" i="106"/>
  <c r="D7449" i="106"/>
  <c r="A7451" i="106"/>
  <c r="D7450" i="106"/>
  <c r="A7452" i="106"/>
  <c r="D7451" i="106"/>
  <c r="A7453" i="106"/>
  <c r="D7452" i="106"/>
  <c r="A7454" i="106"/>
  <c r="D7453" i="106"/>
  <c r="A7455" i="106"/>
  <c r="D7454" i="106"/>
  <c r="A7456" i="106"/>
  <c r="D7455" i="106"/>
  <c r="A7457" i="106"/>
  <c r="D7456" i="106"/>
  <c r="A7458" i="106"/>
  <c r="D7457" i="106"/>
  <c r="A7459" i="106"/>
  <c r="D7458" i="106"/>
  <c r="A7460" i="106"/>
  <c r="D7459" i="106"/>
  <c r="A7461" i="106"/>
  <c r="D7460" i="106"/>
  <c r="A7462" i="106"/>
  <c r="D7461" i="106"/>
  <c r="A7463" i="106"/>
  <c r="D7462" i="106"/>
  <c r="A7464" i="106"/>
  <c r="D7463" i="106"/>
  <c r="A7465" i="106"/>
  <c r="D7464" i="106"/>
  <c r="A7466" i="106"/>
  <c r="D7465" i="106"/>
  <c r="A7467" i="106"/>
  <c r="D7466" i="106"/>
  <c r="A7468" i="106"/>
  <c r="D7467" i="106"/>
  <c r="A7469" i="106"/>
  <c r="D7468" i="106"/>
  <c r="A7470" i="106"/>
  <c r="D7469" i="106"/>
  <c r="A7471" i="106"/>
  <c r="D7470" i="106"/>
  <c r="A7472" i="106"/>
  <c r="D7471" i="106"/>
  <c r="A7473" i="106"/>
  <c r="D7472" i="106"/>
  <c r="A7474" i="106"/>
  <c r="D7473" i="106"/>
  <c r="A7475" i="106"/>
  <c r="D7474" i="106"/>
  <c r="A7476" i="106"/>
  <c r="D7475" i="106"/>
  <c r="A7477" i="106"/>
  <c r="D7476" i="106"/>
  <c r="A7478" i="106"/>
  <c r="D7477" i="106"/>
  <c r="A7479" i="106"/>
  <c r="D7478" i="106"/>
  <c r="A7480" i="106"/>
  <c r="D7479" i="106"/>
  <c r="A7481" i="106"/>
  <c r="D7480" i="106"/>
  <c r="A7482" i="106"/>
  <c r="D7481" i="106"/>
  <c r="A7483" i="106"/>
  <c r="D7482" i="106"/>
  <c r="A7484" i="106"/>
  <c r="D7483" i="106"/>
  <c r="A7485" i="106"/>
  <c r="D7484" i="106"/>
  <c r="A7486" i="106"/>
  <c r="D7485" i="106"/>
  <c r="A7487" i="106"/>
  <c r="D7486" i="106"/>
  <c r="A7488" i="106"/>
  <c r="D7487" i="106"/>
  <c r="A7489" i="106"/>
  <c r="D7488" i="106"/>
  <c r="A7490" i="106"/>
  <c r="D7489" i="106"/>
  <c r="A7491" i="106"/>
  <c r="D7490" i="106"/>
  <c r="A7492" i="106"/>
  <c r="D7491" i="106"/>
  <c r="A7493" i="106"/>
  <c r="D7492" i="106"/>
  <c r="A7494" i="106"/>
  <c r="D7493" i="106"/>
  <c r="A7495" i="106"/>
  <c r="D7494" i="106"/>
  <c r="A7496" i="106"/>
  <c r="D7495" i="106"/>
  <c r="A7497" i="106"/>
  <c r="D7496" i="106"/>
  <c r="A7498" i="106"/>
  <c r="D7497" i="106"/>
  <c r="A7499" i="106"/>
  <c r="D7498" i="106"/>
  <c r="A7500" i="106"/>
  <c r="D7499" i="106"/>
  <c r="A7501" i="106"/>
  <c r="D7500" i="106"/>
  <c r="A7502" i="106"/>
  <c r="D7501" i="106"/>
  <c r="A7503" i="106"/>
  <c r="D7502" i="106"/>
  <c r="A7504" i="106"/>
  <c r="D7503" i="106"/>
  <c r="A7505" i="106"/>
  <c r="D7504" i="106"/>
  <c r="A7506" i="106"/>
  <c r="D7505" i="106"/>
  <c r="A7507" i="106"/>
  <c r="D7506" i="106"/>
  <c r="A7508" i="106"/>
  <c r="D7507" i="106"/>
  <c r="A7509" i="106"/>
  <c r="D7508" i="106"/>
  <c r="A7510" i="106"/>
  <c r="D7509" i="106"/>
  <c r="A7511" i="106"/>
  <c r="D7510" i="106"/>
  <c r="A7512" i="106"/>
  <c r="D7511" i="106"/>
  <c r="A7513" i="106"/>
  <c r="D7512" i="106"/>
  <c r="A7514" i="106"/>
  <c r="D7513" i="106"/>
  <c r="A7515" i="106"/>
  <c r="D7514" i="106"/>
  <c r="A7516" i="106"/>
  <c r="D7515" i="106"/>
  <c r="A7517" i="106"/>
  <c r="D7516" i="106"/>
  <c r="A7518" i="106"/>
  <c r="D7517" i="106"/>
  <c r="A7519" i="106"/>
  <c r="D7518" i="106"/>
  <c r="A7520" i="106"/>
  <c r="D7519" i="106"/>
  <c r="A7521" i="106"/>
  <c r="D7520" i="106"/>
  <c r="A7522" i="106"/>
  <c r="D7521" i="106"/>
  <c r="A7523" i="106"/>
  <c r="D7522" i="106"/>
  <c r="A7524" i="106"/>
  <c r="D7523" i="106"/>
  <c r="A7525" i="106"/>
  <c r="D7524" i="106"/>
  <c r="A7526" i="106"/>
  <c r="D7525" i="106"/>
  <c r="A7527" i="106"/>
  <c r="D7526" i="106"/>
  <c r="A7528" i="106"/>
  <c r="D7527" i="106"/>
  <c r="A7529" i="106"/>
  <c r="D7528" i="106"/>
  <c r="A7530" i="106"/>
  <c r="D7529" i="106"/>
  <c r="A7531" i="106"/>
  <c r="D7530" i="106"/>
  <c r="A7532" i="106"/>
  <c r="D7531" i="106"/>
  <c r="A7533" i="106"/>
  <c r="D7532" i="106"/>
  <c r="A7534" i="106"/>
  <c r="D7533" i="106"/>
  <c r="A7535" i="106"/>
  <c r="D7534" i="106"/>
  <c r="A7536" i="106"/>
  <c r="D7535" i="106"/>
  <c r="A7537" i="106"/>
  <c r="D7536" i="106"/>
  <c r="A7538" i="106"/>
  <c r="D7537" i="106"/>
  <c r="A7539" i="106"/>
  <c r="D7538" i="106"/>
  <c r="A7540" i="106"/>
  <c r="D7539" i="106"/>
  <c r="A7541" i="106"/>
  <c r="D7540" i="106"/>
  <c r="A7542" i="106"/>
  <c r="D7541" i="106"/>
  <c r="A7543" i="106"/>
  <c r="D7542" i="106"/>
  <c r="A7544" i="106"/>
  <c r="D7543" i="106"/>
  <c r="A7545" i="106"/>
  <c r="D7544" i="106"/>
  <c r="A7546" i="106"/>
  <c r="D7545" i="106"/>
  <c r="A7547" i="106"/>
  <c r="D7546" i="106"/>
  <c r="A7548" i="106"/>
  <c r="D7547" i="106"/>
  <c r="A7549" i="106"/>
  <c r="D7548" i="106"/>
  <c r="A7550" i="106"/>
  <c r="D7549" i="106"/>
  <c r="A7551" i="106"/>
  <c r="D7550" i="106"/>
  <c r="A7552" i="106"/>
  <c r="D7551" i="106"/>
  <c r="A7553" i="106"/>
  <c r="D7552" i="106"/>
  <c r="A7554" i="106"/>
  <c r="D7553" i="106"/>
  <c r="A7555" i="106"/>
  <c r="D7554" i="106"/>
  <c r="A7556" i="106"/>
  <c r="D7555" i="106"/>
  <c r="A7557" i="106"/>
  <c r="D7556" i="106"/>
  <c r="A7558" i="106"/>
  <c r="D7557" i="106"/>
  <c r="A7559" i="106"/>
  <c r="D7558" i="106"/>
  <c r="A7560" i="106"/>
  <c r="D7559" i="106"/>
  <c r="A7561" i="106"/>
  <c r="D7560" i="106"/>
  <c r="A7562" i="106"/>
  <c r="D7561" i="106"/>
  <c r="A7563" i="106"/>
  <c r="D7562" i="106"/>
  <c r="A7564" i="106"/>
  <c r="D7563" i="106"/>
  <c r="A7565" i="106"/>
  <c r="D7564" i="106"/>
  <c r="A7566" i="106"/>
  <c r="D7565" i="106"/>
  <c r="A7567" i="106"/>
  <c r="D7566" i="106"/>
  <c r="A7568" i="106"/>
  <c r="D7567" i="106"/>
  <c r="A7569" i="106"/>
  <c r="D7568" i="106"/>
  <c r="A7570" i="106"/>
  <c r="D7569" i="106"/>
  <c r="A7571" i="106"/>
  <c r="D7570" i="106"/>
  <c r="A7572" i="106"/>
  <c r="D7571" i="106"/>
  <c r="A7573" i="106"/>
  <c r="D7572" i="106"/>
  <c r="A7574" i="106"/>
  <c r="D7573" i="106"/>
  <c r="A7575" i="106"/>
  <c r="D7574" i="106"/>
  <c r="A7576" i="106"/>
  <c r="D7575" i="106"/>
  <c r="A7577" i="106"/>
  <c r="D7576" i="106"/>
  <c r="A7578" i="106"/>
  <c r="D7577" i="106"/>
  <c r="A7579" i="106"/>
  <c r="D7578" i="106"/>
  <c r="A7580" i="106"/>
  <c r="D7579" i="106"/>
  <c r="A7581" i="106"/>
  <c r="D7580" i="106"/>
  <c r="A7582" i="106"/>
  <c r="D7581" i="106"/>
  <c r="A7583" i="106"/>
  <c r="D7582" i="106"/>
  <c r="A7584" i="106"/>
  <c r="D7583" i="106"/>
  <c r="A7585" i="106"/>
  <c r="D7584" i="106"/>
  <c r="A7586" i="106"/>
  <c r="D7585" i="106"/>
  <c r="A7587" i="106"/>
  <c r="D7586" i="106"/>
  <c r="A7588" i="106"/>
  <c r="D7587" i="106"/>
  <c r="A7589" i="106"/>
  <c r="D7588" i="106"/>
  <c r="A7590" i="106"/>
  <c r="D7589" i="106"/>
  <c r="A7591" i="106"/>
  <c r="D7590" i="106"/>
  <c r="A7592" i="106"/>
  <c r="D7591" i="106"/>
  <c r="A7593" i="106"/>
  <c r="D7592" i="106"/>
  <c r="A7594" i="106"/>
  <c r="D7593" i="106"/>
  <c r="A7595" i="106"/>
  <c r="D7594" i="106"/>
  <c r="A7596" i="106"/>
  <c r="D7595" i="106"/>
  <c r="A7597" i="106"/>
  <c r="D7596" i="106"/>
  <c r="A7598" i="106"/>
  <c r="D7597" i="106"/>
  <c r="A7599" i="106"/>
  <c r="D7598" i="106"/>
  <c r="A7600" i="106"/>
  <c r="D7599" i="106"/>
  <c r="A7601" i="106"/>
  <c r="D7600" i="106"/>
  <c r="A7602" i="106"/>
  <c r="D7601" i="106"/>
  <c r="A7603" i="106"/>
  <c r="D7602" i="106"/>
  <c r="A7604" i="106"/>
  <c r="D7603" i="106"/>
  <c r="A7605" i="106"/>
  <c r="D7604" i="106"/>
  <c r="A7606" i="106"/>
  <c r="D7605" i="106"/>
  <c r="A7607" i="106"/>
  <c r="D7606" i="106"/>
  <c r="A7608" i="106"/>
  <c r="D7607" i="106"/>
  <c r="A7609" i="106"/>
  <c r="D7608" i="106"/>
  <c r="A7610" i="106"/>
  <c r="D7609" i="106"/>
  <c r="A7611" i="106"/>
  <c r="D7610" i="106"/>
  <c r="A7612" i="106"/>
  <c r="D7611" i="106"/>
  <c r="A7613" i="106"/>
  <c r="D7612" i="106"/>
  <c r="A7614" i="106"/>
  <c r="D7613" i="106"/>
  <c r="A7615" i="106"/>
  <c r="D7614" i="106"/>
  <c r="A7616" i="106"/>
  <c r="D7615" i="106"/>
  <c r="A7617" i="106"/>
  <c r="D7616" i="106"/>
  <c r="A7618" i="106"/>
  <c r="D7617" i="106"/>
  <c r="A7619" i="106"/>
  <c r="D7618" i="106"/>
  <c r="A7620" i="106"/>
  <c r="D7619" i="106"/>
  <c r="A7621" i="106"/>
  <c r="D7620" i="106"/>
  <c r="A7622" i="106"/>
  <c r="D7621" i="106"/>
  <c r="A7623" i="106"/>
  <c r="D7622" i="106"/>
  <c r="A7624" i="106"/>
  <c r="D7623" i="106"/>
  <c r="A7625" i="106"/>
  <c r="A7626" i="106"/>
  <c r="A7627" i="106"/>
  <c r="A7628" i="106"/>
  <c r="A7629" i="106"/>
  <c r="A7630" i="106"/>
  <c r="A7631" i="106"/>
  <c r="A7632" i="106"/>
  <c r="A7633" i="106"/>
  <c r="A7634" i="106"/>
  <c r="A7635" i="106"/>
  <c r="A7636" i="106"/>
  <c r="D7635" i="106"/>
  <c r="A7637" i="106"/>
  <c r="D7636" i="106"/>
  <c r="A7638" i="106"/>
  <c r="A7639" i="106"/>
  <c r="A7640" i="106"/>
  <c r="D7639" i="106"/>
  <c r="A7641" i="106"/>
  <c r="D7640" i="106"/>
  <c r="A7642" i="106"/>
  <c r="D7641" i="106"/>
  <c r="A7643" i="106"/>
  <c r="D7642" i="106"/>
  <c r="A7644" i="106"/>
  <c r="D7643" i="106"/>
  <c r="A7645" i="106"/>
  <c r="D7644" i="106"/>
  <c r="A7646" i="106"/>
  <c r="D7645" i="106"/>
  <c r="A7647" i="106"/>
  <c r="D7646" i="106"/>
  <c r="A7648" i="106"/>
  <c r="D7647" i="106"/>
  <c r="A7649" i="106"/>
  <c r="D7648" i="106"/>
  <c r="A7650" i="106"/>
  <c r="D7650" i="106"/>
  <c r="D7649" i="106"/>
  <c r="B2663" i="106"/>
  <c r="D2663" i="106" s="1"/>
  <c r="B3322" i="106"/>
  <c r="D3322" i="106" s="1"/>
  <c r="B3590" i="106"/>
  <c r="D3590" i="106" s="1"/>
  <c r="B6259" i="106"/>
  <c r="D6259" i="106" s="1"/>
  <c r="B3273" i="106"/>
  <c r="D3273" i="106" s="1"/>
  <c r="B6257" i="106"/>
  <c r="D6257" i="106" s="1"/>
  <c r="B3585" i="106"/>
  <c r="D3585" i="106" s="1"/>
  <c r="B3295" i="106"/>
  <c r="D3295" i="106" s="1"/>
  <c r="B7653" i="106"/>
  <c r="D7653" i="106" s="1"/>
  <c r="B7656" i="106"/>
  <c r="D7656" i="106" s="1"/>
  <c r="B7659" i="106"/>
  <c r="D7659" i="106" s="1"/>
  <c r="B6245" i="106"/>
  <c r="D6245" i="106" s="1"/>
  <c r="B7662" i="106"/>
  <c r="D7662" i="106" s="1"/>
  <c r="B7665" i="106"/>
  <c r="D7665" i="106" s="1"/>
  <c r="B7668" i="106"/>
  <c r="D7668" i="106" s="1"/>
  <c r="B6256" i="106"/>
  <c r="D6256" i="106" s="1"/>
  <c r="B3297" i="106"/>
  <c r="D3297" i="106" s="1"/>
  <c r="B105" i="106"/>
  <c r="D105" i="106" s="1"/>
  <c r="B2848" i="106"/>
  <c r="D2848" i="106" s="1"/>
  <c r="B3417" i="106"/>
  <c r="D3417" i="106" s="1"/>
  <c r="B3414" i="106"/>
  <c r="D3414" i="106" s="1"/>
  <c r="H24" i="118"/>
  <c r="D34" i="36"/>
  <c r="B1645" i="106"/>
  <c r="D1645" i="106" s="1"/>
  <c r="B6264" i="106"/>
  <c r="B3321" i="106"/>
  <c r="D3321" i="106" s="1"/>
  <c r="B1687" i="106"/>
  <c r="D1687" i="106" s="1"/>
  <c r="B3589" i="106"/>
  <c r="D3589" i="106" s="1"/>
  <c r="D6264" i="106"/>
  <c r="B1617" i="106"/>
  <c r="D1617" i="106" s="1"/>
  <c r="B2912" i="106"/>
  <c r="D2912" i="106" s="1"/>
  <c r="B140" i="106"/>
  <c r="D140" i="106" s="1"/>
  <c r="E41" i="3"/>
  <c r="B141" i="106" s="1"/>
  <c r="D141" i="106" s="1"/>
  <c r="B189" i="106"/>
  <c r="D189" i="106" s="1"/>
  <c r="B6215" i="106"/>
  <c r="D6215" i="106" s="1"/>
  <c r="B123" i="106"/>
  <c r="D123" i="106" s="1"/>
  <c r="B212" i="106"/>
  <c r="D212" i="106" s="1"/>
  <c r="B170" i="106"/>
  <c r="D170" i="106" s="1"/>
  <c r="B282" i="106"/>
  <c r="D282" i="106" s="1"/>
  <c r="N23" i="3"/>
  <c r="D55" i="36" s="1"/>
  <c r="B3635" i="106" l="1"/>
  <c r="D3635" i="106" s="1"/>
  <c r="E367" i="29"/>
  <c r="B3636" i="106" s="1"/>
  <c r="D3636" i="106" s="1"/>
  <c r="B6618" i="106"/>
  <c r="D6618" i="106" s="1"/>
  <c r="G252" i="5"/>
  <c r="B6837" i="106" s="1"/>
  <c r="D6837" i="106" s="1"/>
  <c r="D71" i="36"/>
  <c r="B5555" i="106"/>
  <c r="D5555" i="106" s="1"/>
  <c r="B14" i="7"/>
  <c r="B1754" i="106" s="1"/>
  <c r="D1754" i="106" s="1"/>
  <c r="B5692" i="106"/>
  <c r="D5692" i="106" s="1"/>
  <c r="F32" i="34"/>
  <c r="B7825" i="106" s="1"/>
  <c r="D7825" i="106" s="1"/>
  <c r="F134" i="34"/>
  <c r="B6625" i="106"/>
  <c r="D6625" i="106" s="1"/>
  <c r="F142" i="34"/>
  <c r="B6686" i="106"/>
  <c r="D6686" i="106" s="1"/>
  <c r="K252" i="29"/>
  <c r="B7090" i="106" s="1"/>
  <c r="D7090" i="106" s="1"/>
  <c r="B7089" i="106"/>
  <c r="D7089" i="106" s="1"/>
  <c r="B1428" i="106"/>
  <c r="D1428" i="106" s="1"/>
  <c r="D270" i="29"/>
  <c r="B1436" i="106" s="1"/>
  <c r="D1436" i="106" s="1"/>
  <c r="K263" i="29"/>
  <c r="B1438" i="106"/>
  <c r="D1438" i="106" s="1"/>
  <c r="K273" i="29"/>
  <c r="B1502" i="106" s="1"/>
  <c r="D1502" i="106" s="1"/>
  <c r="B15" i="7"/>
  <c r="B7043" i="106"/>
  <c r="D7043" i="106" s="1"/>
  <c r="B1534" i="106"/>
  <c r="D1534" i="106" s="1"/>
  <c r="E303" i="29"/>
  <c r="B1535" i="106" s="1"/>
  <c r="D1535" i="106" s="1"/>
  <c r="B7145" i="106"/>
  <c r="D7145" i="106" s="1"/>
  <c r="C330" i="29"/>
  <c r="B7169" i="106"/>
  <c r="D7169" i="106" s="1"/>
  <c r="I330" i="29"/>
  <c r="B4868" i="106"/>
  <c r="D4868" i="106" s="1"/>
  <c r="K266" i="5"/>
  <c r="B4442" i="106" s="1"/>
  <c r="D4442" i="106" s="1"/>
  <c r="B3653" i="106"/>
  <c r="D3653" i="106" s="1"/>
  <c r="H350" i="29"/>
  <c r="K363" i="29"/>
  <c r="B7241" i="106" s="1"/>
  <c r="D7241" i="106" s="1"/>
  <c r="B7240" i="106"/>
  <c r="D7240" i="106" s="1"/>
  <c r="I42" i="29"/>
  <c r="B6916" i="106" s="1"/>
  <c r="D6916" i="106" s="1"/>
  <c r="D35" i="36"/>
  <c r="D73" i="36"/>
  <c r="F40" i="34"/>
  <c r="B6368" i="106"/>
  <c r="D6368" i="106" s="1"/>
  <c r="F133" i="34"/>
  <c r="B7865" i="106" s="1"/>
  <c r="D7865" i="106" s="1"/>
  <c r="F129" i="34"/>
  <c r="B7861" i="106" s="1"/>
  <c r="D7861" i="106" s="1"/>
  <c r="J72" i="29"/>
  <c r="B6974" i="106" s="1"/>
  <c r="D6974" i="106" s="1"/>
  <c r="B6651" i="106"/>
  <c r="D6651" i="106" s="1"/>
  <c r="B5391" i="106"/>
  <c r="D5391" i="106" s="1"/>
  <c r="B3658" i="106"/>
  <c r="D3658" i="106" s="1"/>
  <c r="H365" i="29"/>
  <c r="B7242" i="106" s="1"/>
  <c r="D7242" i="106" s="1"/>
  <c r="B5919" i="106"/>
  <c r="D5919" i="106" s="1"/>
  <c r="I18" i="5"/>
  <c r="B5923" i="106" s="1"/>
  <c r="D5923" i="106" s="1"/>
  <c r="B6634" i="106"/>
  <c r="D6634" i="106" s="1"/>
  <c r="F136" i="34"/>
  <c r="C13" i="3"/>
  <c r="K168" i="29"/>
  <c r="B1328" i="106" s="1"/>
  <c r="D1328" i="106" s="1"/>
  <c r="F45" i="34"/>
  <c r="G198" i="5"/>
  <c r="B6409" i="106" s="1"/>
  <c r="D6409" i="106" s="1"/>
  <c r="C145" i="5"/>
  <c r="B5165" i="106" s="1"/>
  <c r="D5165" i="106" s="1"/>
  <c r="F122" i="5"/>
  <c r="B5599" i="106" s="1"/>
  <c r="D5599" i="106" s="1"/>
  <c r="F27" i="34"/>
  <c r="J330" i="29"/>
  <c r="B7206" i="106" s="1"/>
  <c r="D7206" i="106" s="1"/>
  <c r="B5014" i="106"/>
  <c r="D5014" i="106" s="1"/>
  <c r="B4795" i="106"/>
  <c r="D4795" i="106" s="1"/>
  <c r="F122" i="34"/>
  <c r="B7855" i="106" s="1"/>
  <c r="D7855" i="106" s="1"/>
  <c r="B6926" i="106"/>
  <c r="D6926" i="106" s="1"/>
  <c r="I53" i="29"/>
  <c r="B6942" i="106" s="1"/>
  <c r="D6942" i="106" s="1"/>
  <c r="K205" i="29"/>
  <c r="B7068" i="106" s="1"/>
  <c r="D7068" i="106" s="1"/>
  <c r="B7067" i="106"/>
  <c r="D7067" i="106" s="1"/>
  <c r="F188" i="5"/>
  <c r="B4397" i="106" s="1"/>
  <c r="D4397" i="106" s="1"/>
  <c r="G175" i="5"/>
  <c r="B7231" i="106"/>
  <c r="D7231" i="106" s="1"/>
  <c r="J352" i="29"/>
  <c r="K87" i="29"/>
  <c r="B6986" i="106" s="1"/>
  <c r="D6986" i="106" s="1"/>
  <c r="B6904" i="106"/>
  <c r="D6904" i="106" s="1"/>
  <c r="B5664" i="106"/>
  <c r="D5664" i="106" s="1"/>
  <c r="B5654" i="106"/>
  <c r="D5654" i="106" s="1"/>
  <c r="B6338" i="106"/>
  <c r="D6338" i="106" s="1"/>
  <c r="K108" i="5"/>
  <c r="B5999" i="106" s="1"/>
  <c r="D5999" i="106" s="1"/>
  <c r="B7750" i="106"/>
  <c r="D7750" i="106" s="1"/>
  <c r="B5280" i="106"/>
  <c r="D5280" i="106" s="1"/>
  <c r="F131" i="34"/>
  <c r="B7863" i="106" s="1"/>
  <c r="D7863" i="106" s="1"/>
  <c r="B6817" i="106"/>
  <c r="D6817" i="106" s="1"/>
  <c r="F156" i="34"/>
  <c r="B6846" i="106"/>
  <c r="D6846" i="106" s="1"/>
  <c r="I33" i="29"/>
  <c r="B6902" i="106" s="1"/>
  <c r="D6902" i="106" s="1"/>
  <c r="K24" i="29"/>
  <c r="B6884" i="106"/>
  <c r="D6884" i="106" s="1"/>
  <c r="J47" i="29"/>
  <c r="B6925" i="106" s="1"/>
  <c r="D6925" i="106" s="1"/>
  <c r="B6919" i="106"/>
  <c r="D6919" i="106" s="1"/>
  <c r="B1030" i="106"/>
  <c r="D1030" i="106" s="1"/>
  <c r="H65" i="29"/>
  <c r="B1035" i="106" s="1"/>
  <c r="D1035" i="106" s="1"/>
  <c r="K96" i="29"/>
  <c r="B7003" i="106" s="1"/>
  <c r="D7003" i="106" s="1"/>
  <c r="B7002" i="106"/>
  <c r="D7002" i="106" s="1"/>
  <c r="K200" i="29"/>
  <c r="B1384" i="106" s="1"/>
  <c r="D1384" i="106" s="1"/>
  <c r="B1372" i="106"/>
  <c r="D1372" i="106" s="1"/>
  <c r="J129" i="29"/>
  <c r="F114" i="34"/>
  <c r="B7848" i="106" s="1"/>
  <c r="D7848" i="106" s="1"/>
  <c r="B6770" i="106"/>
  <c r="D6770" i="106" s="1"/>
  <c r="F76" i="4"/>
  <c r="B3254" i="106" s="1"/>
  <c r="D3254" i="106" s="1"/>
  <c r="B4418" i="106"/>
  <c r="D4418" i="106" s="1"/>
  <c r="F165" i="34"/>
  <c r="B7872" i="106" s="1"/>
  <c r="D7872" i="106" s="1"/>
  <c r="K32" i="29"/>
  <c r="B6900" i="106"/>
  <c r="D6900" i="106" s="1"/>
  <c r="B4329" i="106"/>
  <c r="D4329" i="106" s="1"/>
  <c r="F121" i="34"/>
  <c r="B3411" i="106"/>
  <c r="D3411" i="106" s="1"/>
  <c r="B284" i="106"/>
  <c r="D284" i="106" s="1"/>
  <c r="K365" i="29"/>
  <c r="K293" i="29"/>
  <c r="H172" i="29"/>
  <c r="B796" i="106"/>
  <c r="D796" i="106" s="1"/>
  <c r="L365" i="29"/>
  <c r="B7063" i="106"/>
  <c r="D7063" i="106" s="1"/>
  <c r="B1287" i="106"/>
  <c r="D1287" i="106" s="1"/>
  <c r="D16" i="4"/>
  <c r="B2572" i="106" s="1"/>
  <c r="D2572" i="106" s="1"/>
  <c r="B1752" i="106"/>
  <c r="D1752" i="106" s="1"/>
  <c r="D11" i="7"/>
  <c r="B1768" i="106" s="1"/>
  <c r="D1768" i="106" s="1"/>
  <c r="C76" i="4"/>
  <c r="B3231" i="106" s="1"/>
  <c r="D3231" i="106" s="1"/>
  <c r="H14" i="118"/>
  <c r="E39" i="4"/>
  <c r="B6287" i="106" s="1"/>
  <c r="D6287" i="106" s="1"/>
  <c r="B7671" i="106"/>
  <c r="D7671" i="106" s="1"/>
  <c r="K11" i="29"/>
  <c r="B7257" i="106"/>
  <c r="D7257" i="106" s="1"/>
  <c r="B5345" i="106"/>
  <c r="D5345" i="106" s="1"/>
  <c r="D82" i="5"/>
  <c r="B5440" i="106"/>
  <c r="D5440" i="106" s="1"/>
  <c r="D209" i="5"/>
  <c r="B4412" i="106" s="1"/>
  <c r="D4412" i="106" s="1"/>
  <c r="B6762" i="106"/>
  <c r="D6762" i="106" s="1"/>
  <c r="F149" i="34"/>
  <c r="F157" i="34"/>
  <c r="B6826" i="106"/>
  <c r="D6826" i="106" s="1"/>
  <c r="L149" i="29"/>
  <c r="L147" i="29"/>
  <c r="B6714" i="106"/>
  <c r="D6714" i="106" s="1"/>
  <c r="F144" i="34"/>
  <c r="B5556" i="106"/>
  <c r="D5556" i="106" s="1"/>
  <c r="F12" i="5"/>
  <c r="B5557" i="106" s="1"/>
  <c r="D5557" i="106" s="1"/>
  <c r="B18" i="7"/>
  <c r="B5565" i="106"/>
  <c r="D5565" i="106" s="1"/>
  <c r="F86" i="34"/>
  <c r="K183" i="29"/>
  <c r="B1380" i="106" s="1"/>
  <c r="D1380" i="106" s="1"/>
  <c r="J184" i="29"/>
  <c r="B7062" i="106"/>
  <c r="D7062" i="106" s="1"/>
  <c r="K185" i="29"/>
  <c r="B7066" i="106"/>
  <c r="D7066" i="106" s="1"/>
  <c r="H208" i="29"/>
  <c r="B1375" i="106" s="1"/>
  <c r="D1375" i="106" s="1"/>
  <c r="B4156" i="106"/>
  <c r="D4156" i="106" s="1"/>
  <c r="G13" i="3"/>
  <c r="B3422" i="106"/>
  <c r="D3422" i="106" s="1"/>
  <c r="D38" i="36"/>
  <c r="G44" i="4"/>
  <c r="B7752" i="106"/>
  <c r="D7752" i="106" s="1"/>
  <c r="G76" i="4"/>
  <c r="B3260" i="106" s="1"/>
  <c r="D3260" i="106" s="1"/>
  <c r="B6258" i="106"/>
  <c r="D6258" i="106" s="1"/>
  <c r="B5790" i="106"/>
  <c r="D5790" i="106" s="1"/>
  <c r="G204" i="5"/>
  <c r="B5803" i="106" s="1"/>
  <c r="D5803" i="106" s="1"/>
  <c r="F154" i="34"/>
  <c r="B6805" i="106"/>
  <c r="D6805" i="106" s="1"/>
  <c r="K251" i="29"/>
  <c r="B7087" i="106"/>
  <c r="D7087" i="106" s="1"/>
  <c r="D277" i="29"/>
  <c r="B1444" i="106" s="1"/>
  <c r="D1444" i="106" s="1"/>
  <c r="B1437" i="106"/>
  <c r="D1437" i="106" s="1"/>
  <c r="K272" i="29"/>
  <c r="H34" i="3"/>
  <c r="B6138" i="106"/>
  <c r="D6138" i="106" s="1"/>
  <c r="B5880" i="106"/>
  <c r="D5880" i="106" s="1"/>
  <c r="H67" i="5"/>
  <c r="B5881" i="106" s="1"/>
  <c r="D5881" i="106" s="1"/>
  <c r="B7637" i="106"/>
  <c r="D7637" i="106" s="1"/>
  <c r="H108" i="5"/>
  <c r="B5886" i="106" s="1"/>
  <c r="D5886" i="106" s="1"/>
  <c r="B6838" i="106"/>
  <c r="D6838" i="106" s="1"/>
  <c r="H266" i="5"/>
  <c r="B4441" i="106" s="1"/>
  <c r="D4441" i="106" s="1"/>
  <c r="K306" i="29"/>
  <c r="H310" i="29"/>
  <c r="B7106" i="106"/>
  <c r="D7106" i="106" s="1"/>
  <c r="B6181" i="106"/>
  <c r="D6181" i="106" s="1"/>
  <c r="J34" i="3"/>
  <c r="B6303" i="106"/>
  <c r="D6303" i="106" s="1"/>
  <c r="J18" i="5"/>
  <c r="B6306" i="106" s="1"/>
  <c r="D6306" i="106" s="1"/>
  <c r="B6373" i="106"/>
  <c r="D6373" i="106" s="1"/>
  <c r="J169" i="5"/>
  <c r="B6396" i="106" s="1"/>
  <c r="D6396" i="106" s="1"/>
  <c r="B7128" i="106"/>
  <c r="D7128" i="106" s="1"/>
  <c r="K320" i="29"/>
  <c r="D330" i="29"/>
  <c r="K324" i="29"/>
  <c r="H330" i="29"/>
  <c r="B7204" i="106" s="1"/>
  <c r="D7204" i="106" s="1"/>
  <c r="K13" i="3"/>
  <c r="B3552" i="106" s="1"/>
  <c r="D3552" i="106" s="1"/>
  <c r="B3551" i="106"/>
  <c r="D3551" i="106" s="1"/>
  <c r="K348" i="29"/>
  <c r="I350" i="29"/>
  <c r="B7226" i="106"/>
  <c r="D7226" i="106" s="1"/>
  <c r="B3648" i="106"/>
  <c r="D3648" i="106" s="1"/>
  <c r="K351" i="29"/>
  <c r="B3671" i="106" s="1"/>
  <c r="D3671" i="106" s="1"/>
  <c r="K181" i="5"/>
  <c r="K267" i="5" s="1"/>
  <c r="F132" i="5"/>
  <c r="B1747" i="106"/>
  <c r="D1747" i="106" s="1"/>
  <c r="D7" i="7"/>
  <c r="B1763" i="106" s="1"/>
  <c r="D1763" i="106" s="1"/>
  <c r="F141" i="34"/>
  <c r="F26" i="34"/>
  <c r="B7654" i="106"/>
  <c r="D7654" i="106" s="1"/>
  <c r="E330" i="29"/>
  <c r="B7168" i="106"/>
  <c r="D7168" i="106" s="1"/>
  <c r="K323" i="29"/>
  <c r="B7071" i="106"/>
  <c r="D7071" i="106" s="1"/>
  <c r="F66" i="34"/>
  <c r="B6337" i="106"/>
  <c r="D6337" i="106" s="1"/>
  <c r="B5064" i="106"/>
  <c r="D5064" i="106" s="1"/>
  <c r="B17" i="7"/>
  <c r="B6809" i="106"/>
  <c r="D6809" i="106" s="1"/>
  <c r="F155" i="34"/>
  <c r="B6920" i="106"/>
  <c r="D6920" i="106" s="1"/>
  <c r="K45" i="29"/>
  <c r="B1117" i="106" s="1"/>
  <c r="D1117" i="106" s="1"/>
  <c r="D76" i="4"/>
  <c r="B3237" i="106" s="1"/>
  <c r="D3237" i="106" s="1"/>
  <c r="B7661" i="106"/>
  <c r="D7661" i="106" s="1"/>
  <c r="E40" i="4"/>
  <c r="B6288" i="106" s="1"/>
  <c r="D6288" i="106" s="1"/>
  <c r="B7676" i="106"/>
  <c r="D7676" i="106" s="1"/>
  <c r="B5335" i="106"/>
  <c r="D5335" i="106" s="1"/>
  <c r="D18" i="5"/>
  <c r="B5339" i="106" s="1"/>
  <c r="D5339" i="106" s="1"/>
  <c r="B5361" i="106"/>
  <c r="D5361" i="106" s="1"/>
  <c r="D122" i="5"/>
  <c r="B5375" i="106"/>
  <c r="D5375" i="106" s="1"/>
  <c r="D141" i="5"/>
  <c r="B4313" i="106"/>
  <c r="D4313" i="106" s="1"/>
  <c r="F30" i="34"/>
  <c r="B7823" i="106" s="1"/>
  <c r="B5426" i="106"/>
  <c r="D5426" i="106" s="1"/>
  <c r="D188" i="5"/>
  <c r="D266" i="5"/>
  <c r="D267" i="5" s="1"/>
  <c r="B5516" i="106"/>
  <c r="D5516" i="106" s="1"/>
  <c r="E18" i="5"/>
  <c r="B5518" i="106" s="1"/>
  <c r="D5518" i="106" s="1"/>
  <c r="B4316" i="106"/>
  <c r="D4316" i="106" s="1"/>
  <c r="F155" i="5"/>
  <c r="B5618" i="106" s="1"/>
  <c r="D5618" i="106" s="1"/>
  <c r="B4191" i="106"/>
  <c r="D4191" i="106" s="1"/>
  <c r="F166" i="34"/>
  <c r="B7873" i="106" s="1"/>
  <c r="D7873" i="106" s="1"/>
  <c r="D184" i="29"/>
  <c r="B4082" i="106"/>
  <c r="D4082" i="106" s="1"/>
  <c r="K180" i="29"/>
  <c r="B1341" i="106"/>
  <c r="D1341" i="106" s="1"/>
  <c r="K182" i="29"/>
  <c r="B1377" i="106" s="1"/>
  <c r="D1377" i="106" s="1"/>
  <c r="H194" i="29"/>
  <c r="B2999" i="106"/>
  <c r="D2999" i="106" s="1"/>
  <c r="K192" i="29"/>
  <c r="B3011" i="106" s="1"/>
  <c r="D3011" i="106" s="1"/>
  <c r="G34" i="3"/>
  <c r="B188" i="106" s="1"/>
  <c r="D188" i="106" s="1"/>
  <c r="B6137" i="106"/>
  <c r="D6137" i="106" s="1"/>
  <c r="B6334" i="106"/>
  <c r="D6334" i="106" s="1"/>
  <c r="G108" i="5"/>
  <c r="B5737" i="106" s="1"/>
  <c r="D5737" i="106" s="1"/>
  <c r="G141" i="5"/>
  <c r="B6364" i="106"/>
  <c r="D6364" i="106" s="1"/>
  <c r="G155" i="5"/>
  <c r="B4357" i="106" s="1"/>
  <c r="D4357" i="106" s="1"/>
  <c r="B6380" i="106"/>
  <c r="D6380" i="106" s="1"/>
  <c r="B4394" i="106"/>
  <c r="D4394" i="106" s="1"/>
  <c r="G188" i="5"/>
  <c r="B4398" i="106" s="1"/>
  <c r="D4398" i="106" s="1"/>
  <c r="B5818" i="106"/>
  <c r="D5818" i="106" s="1"/>
  <c r="G217" i="5"/>
  <c r="B5829" i="106" s="1"/>
  <c r="D5829" i="106" s="1"/>
  <c r="D243" i="29"/>
  <c r="B1421" i="106" s="1"/>
  <c r="D1421" i="106" s="1"/>
  <c r="B1418" i="106"/>
  <c r="D1418" i="106" s="1"/>
  <c r="K240" i="29"/>
  <c r="K301" i="29"/>
  <c r="B1537" i="106"/>
  <c r="D1537" i="106" s="1"/>
  <c r="F303" i="29"/>
  <c r="K302" i="29"/>
  <c r="B1558" i="106" s="1"/>
  <c r="D1558" i="106" s="1"/>
  <c r="B1528" i="106"/>
  <c r="D1528" i="106" s="1"/>
  <c r="D303" i="29"/>
  <c r="E310" i="29"/>
  <c r="K308" i="29"/>
  <c r="B4100" i="106" s="1"/>
  <c r="D4100" i="106" s="1"/>
  <c r="B7110" i="106"/>
  <c r="D7110" i="106" s="1"/>
  <c r="B6105" i="106"/>
  <c r="D6105" i="106" s="1"/>
  <c r="I13" i="3"/>
  <c r="B2888" i="106" s="1"/>
  <c r="D2888" i="106" s="1"/>
  <c r="B6106" i="106"/>
  <c r="D6106" i="106" s="1"/>
  <c r="J13" i="3"/>
  <c r="B6124" i="106" s="1"/>
  <c r="D6124" i="106" s="1"/>
  <c r="B6236" i="106"/>
  <c r="D6236" i="106" s="1"/>
  <c r="J44" i="4"/>
  <c r="B7121" i="106"/>
  <c r="D7121" i="106" s="1"/>
  <c r="K319" i="29"/>
  <c r="B7137" i="106"/>
  <c r="D7137" i="106" s="1"/>
  <c r="K321" i="29"/>
  <c r="G330" i="29"/>
  <c r="K326" i="29"/>
  <c r="K327" i="29"/>
  <c r="B7194" i="106"/>
  <c r="D7194" i="106" s="1"/>
  <c r="K329" i="29"/>
  <c r="E67" i="184" s="1"/>
  <c r="N67" i="184" s="1"/>
  <c r="B7698" i="106"/>
  <c r="D7698" i="106" s="1"/>
  <c r="K338" i="29"/>
  <c r="B7211" i="106" s="1"/>
  <c r="D7211" i="106" s="1"/>
  <c r="H340" i="29"/>
  <c r="B7214" i="106" s="1"/>
  <c r="D7214" i="106" s="1"/>
  <c r="B3562" i="106"/>
  <c r="D3562" i="106" s="1"/>
  <c r="K34" i="3"/>
  <c r="B3565" i="106" s="1"/>
  <c r="D3565" i="106" s="1"/>
  <c r="K44" i="4"/>
  <c r="B3580" i="106"/>
  <c r="D3580" i="106" s="1"/>
  <c r="B5989" i="106"/>
  <c r="D5989" i="106" s="1"/>
  <c r="K18" i="5"/>
  <c r="G350" i="29"/>
  <c r="B3646" i="106"/>
  <c r="D3646" i="106" s="1"/>
  <c r="K349" i="29"/>
  <c r="B3669" i="106" s="1"/>
  <c r="D3669" i="106" s="1"/>
  <c r="L13" i="3"/>
  <c r="B2895" i="106" s="1"/>
  <c r="D2895" i="106" s="1"/>
  <c r="B6122" i="106"/>
  <c r="D6122" i="106" s="1"/>
  <c r="I41" i="3"/>
  <c r="B2913" i="106" s="1"/>
  <c r="D2913" i="106" s="1"/>
  <c r="D36" i="36"/>
  <c r="K76" i="4"/>
  <c r="B3586" i="106" s="1"/>
  <c r="D3586" i="106" s="1"/>
  <c r="D14" i="7"/>
  <c r="B1770" i="106" s="1"/>
  <c r="D1770" i="106" s="1"/>
  <c r="B4373" i="106"/>
  <c r="D4373" i="106" s="1"/>
  <c r="I267" i="5"/>
  <c r="G18" i="5"/>
  <c r="D6" i="7"/>
  <c r="B1762" i="106" s="1"/>
  <c r="D1762" i="106" s="1"/>
  <c r="B1746" i="106"/>
  <c r="D1746" i="106" s="1"/>
  <c r="F169" i="34"/>
  <c r="B7874" i="106" s="1"/>
  <c r="D7874" i="106" s="1"/>
  <c r="F23" i="34"/>
  <c r="K328" i="29"/>
  <c r="B6671" i="106"/>
  <c r="D6671" i="106" s="1"/>
  <c r="B6629" i="106"/>
  <c r="D6629" i="106" s="1"/>
  <c r="B6336" i="106"/>
  <c r="D6336" i="106" s="1"/>
  <c r="K170" i="5"/>
  <c r="C12" i="5"/>
  <c r="B5066" i="106" s="1"/>
  <c r="D5066" i="106" s="1"/>
  <c r="E13" i="3"/>
  <c r="B131" i="106" s="1"/>
  <c r="D131" i="106" s="1"/>
  <c r="F342" i="29"/>
  <c r="B7219" i="106" s="1"/>
  <c r="D7219" i="106" s="1"/>
  <c r="E60" i="184"/>
  <c r="N60" i="184" s="1"/>
  <c r="K169" i="5"/>
  <c r="B5000" i="106" s="1"/>
  <c r="D5000" i="106" s="1"/>
  <c r="C122" i="5"/>
  <c r="B5132" i="106" s="1"/>
  <c r="D5132" i="106" s="1"/>
  <c r="F148" i="34"/>
  <c r="F31" i="34"/>
  <c r="B7824" i="106" s="1"/>
  <c r="B7152" i="106"/>
  <c r="D7152" i="106" s="1"/>
  <c r="B1364" i="106"/>
  <c r="D1364" i="106" s="1"/>
  <c r="G210" i="29"/>
  <c r="F266" i="5"/>
  <c r="F217" i="5"/>
  <c r="B5703" i="106" s="1"/>
  <c r="D5703" i="106" s="1"/>
  <c r="H12" i="5"/>
  <c r="D33" i="29"/>
  <c r="B1751" i="106"/>
  <c r="D1751" i="106" s="1"/>
  <c r="D9" i="7"/>
  <c r="B1767" i="106" s="1"/>
  <c r="D1767" i="106" s="1"/>
  <c r="F147" i="34"/>
  <c r="K325" i="29"/>
  <c r="B7033" i="106"/>
  <c r="D7033" i="106" s="1"/>
  <c r="I129" i="29"/>
  <c r="B4811" i="106"/>
  <c r="D4811" i="106" s="1"/>
  <c r="H169" i="5"/>
  <c r="B5899" i="106" s="1"/>
  <c r="D5899" i="106" s="1"/>
  <c r="F114" i="5"/>
  <c r="F108" i="5"/>
  <c r="B5587" i="106" s="1"/>
  <c r="D5587" i="106" s="1"/>
  <c r="D16" i="7"/>
  <c r="B3447" i="106" s="1"/>
  <c r="D3447" i="106" s="1"/>
  <c r="B3446" i="106"/>
  <c r="D3446" i="106" s="1"/>
  <c r="J342" i="29"/>
  <c r="B7223" i="106" s="1"/>
  <c r="D7223" i="106" s="1"/>
  <c r="F63" i="5"/>
  <c r="D13" i="3"/>
  <c r="E37" i="4"/>
  <c r="B6285" i="106" s="1"/>
  <c r="D6285" i="106" s="1"/>
  <c r="E252" i="5"/>
  <c r="B5756" i="106"/>
  <c r="D5756" i="106" s="1"/>
  <c r="F108" i="34"/>
  <c r="B7844" i="106" s="1"/>
  <c r="D7844" i="106" s="1"/>
  <c r="G122" i="5"/>
  <c r="B5748" i="106" s="1"/>
  <c r="D5748" i="106" s="1"/>
  <c r="E108" i="5"/>
  <c r="B5526" i="106" s="1"/>
  <c r="D5526" i="106" s="1"/>
  <c r="B7210" i="106"/>
  <c r="D7210" i="106" s="1"/>
  <c r="B7185" i="106"/>
  <c r="D7185" i="106" s="1"/>
  <c r="D78" i="36"/>
  <c r="C18" i="4"/>
  <c r="B4131" i="106" s="1"/>
  <c r="D4131" i="106" s="1"/>
  <c r="I170" i="5"/>
  <c r="J170" i="5"/>
  <c r="L367" i="29"/>
  <c r="L279" i="29"/>
  <c r="B4113" i="106"/>
  <c r="D4113" i="106" s="1"/>
  <c r="E33" i="29"/>
  <c r="B836" i="106" s="1"/>
  <c r="D836" i="106" s="1"/>
  <c r="K6" i="29"/>
  <c r="B7763" i="106" s="1"/>
  <c r="D7763" i="106" s="1"/>
  <c r="B7762" i="106"/>
  <c r="D7762" i="106" s="1"/>
  <c r="G42" i="29"/>
  <c r="B959" i="106" s="1"/>
  <c r="D959" i="106" s="1"/>
  <c r="B955" i="106"/>
  <c r="D955" i="106" s="1"/>
  <c r="B965" i="106"/>
  <c r="D965" i="106" s="1"/>
  <c r="G53" i="29"/>
  <c r="B966" i="106" s="1"/>
  <c r="D966" i="106" s="1"/>
  <c r="E53" i="29"/>
  <c r="B850" i="106" s="1"/>
  <c r="D850" i="106" s="1"/>
  <c r="B2720" i="106"/>
  <c r="D2720" i="106" s="1"/>
  <c r="B1041" i="106"/>
  <c r="D1041" i="106" s="1"/>
  <c r="H72" i="29"/>
  <c r="B1043" i="106" s="1"/>
  <c r="D1043" i="106" s="1"/>
  <c r="B2951" i="106"/>
  <c r="D2951" i="106" s="1"/>
  <c r="E84" i="29"/>
  <c r="F160" i="34"/>
  <c r="B7867" i="106" s="1"/>
  <c r="D7867" i="106" s="1"/>
  <c r="B7766" i="106"/>
  <c r="D7766" i="106" s="1"/>
  <c r="B4446" i="106"/>
  <c r="D4446" i="106" s="1"/>
  <c r="D17" i="171"/>
  <c r="H127" i="29"/>
  <c r="B1260" i="106"/>
  <c r="D1260" i="106" s="1"/>
  <c r="H137" i="29"/>
  <c r="B2979" i="106"/>
  <c r="D2979" i="106" s="1"/>
  <c r="E184" i="29"/>
  <c r="B4083" i="106"/>
  <c r="D4083" i="106" s="1"/>
  <c r="E194" i="29"/>
  <c r="K190" i="29"/>
  <c r="B3387" i="106"/>
  <c r="D3387" i="106" s="1"/>
  <c r="K215" i="29"/>
  <c r="B3390" i="106" s="1"/>
  <c r="D3390" i="106" s="1"/>
  <c r="D229" i="29"/>
  <c r="B1410" i="106" s="1"/>
  <c r="D1410" i="106" s="1"/>
  <c r="K223" i="29"/>
  <c r="B1472" i="106" s="1"/>
  <c r="D1472" i="106" s="1"/>
  <c r="B1408" i="106"/>
  <c r="D1408" i="106" s="1"/>
  <c r="K241" i="29"/>
  <c r="B1483" i="106" s="1"/>
  <c r="D1483" i="106" s="1"/>
  <c r="B1419" i="106"/>
  <c r="D1419" i="106" s="1"/>
  <c r="B1543" i="106"/>
  <c r="D1543" i="106" s="1"/>
  <c r="G303" i="29"/>
  <c r="K354" i="29"/>
  <c r="B7792" i="106" s="1"/>
  <c r="D7792" i="106" s="1"/>
  <c r="H357" i="29"/>
  <c r="B7237" i="106" s="1"/>
  <c r="D7237" i="106" s="1"/>
  <c r="B7791" i="106"/>
  <c r="D7791" i="106" s="1"/>
  <c r="C184" i="29"/>
  <c r="D57" i="29"/>
  <c r="B795" i="106" s="1"/>
  <c r="D795" i="106" s="1"/>
  <c r="F167" i="34"/>
  <c r="F127" i="29"/>
  <c r="B1048" i="106"/>
  <c r="D1048" i="106" s="1"/>
  <c r="E42" i="29"/>
  <c r="B843" i="106" s="1"/>
  <c r="D843" i="106" s="1"/>
  <c r="K193" i="29"/>
  <c r="B3012" i="106" s="1"/>
  <c r="D3012" i="106" s="1"/>
  <c r="C57" i="29"/>
  <c r="B737" i="106" s="1"/>
  <c r="D737" i="106" s="1"/>
  <c r="H51" i="4"/>
  <c r="B3170" i="106" s="1"/>
  <c r="D3170" i="106" s="1"/>
  <c r="F65" i="29"/>
  <c r="B919" i="106" s="1"/>
  <c r="D919" i="106" s="1"/>
  <c r="L129" i="29"/>
  <c r="L151" i="29" s="1"/>
  <c r="K160" i="29"/>
  <c r="B77" i="106"/>
  <c r="D77" i="106" s="1"/>
  <c r="B4216" i="106"/>
  <c r="D4216" i="106" s="1"/>
  <c r="I6" i="4"/>
  <c r="B5011" i="106" s="1"/>
  <c r="D5011" i="106" s="1"/>
  <c r="B6834" i="106"/>
  <c r="D6834" i="106" s="1"/>
  <c r="B7189" i="106"/>
  <c r="D7189" i="106" s="1"/>
  <c r="E64" i="184"/>
  <c r="B92" i="106"/>
  <c r="D92" i="106" s="1"/>
  <c r="D46" i="36"/>
  <c r="E38" i="4"/>
  <c r="B6286" i="106" s="1"/>
  <c r="D6286" i="106" s="1"/>
  <c r="B6292" i="106"/>
  <c r="D6292" i="106" s="1"/>
  <c r="B6016" i="106"/>
  <c r="D6016" i="106" s="1"/>
  <c r="K41" i="3"/>
  <c r="B7243" i="106"/>
  <c r="D7243" i="106" s="1"/>
  <c r="K16" i="4"/>
  <c r="B3574" i="106" s="1"/>
  <c r="D3574" i="106" s="1"/>
  <c r="B7705" i="106"/>
  <c r="D7705" i="106" s="1"/>
  <c r="B4414" i="106"/>
  <c r="D4414" i="106" s="1"/>
  <c r="F128" i="34"/>
  <c r="B7860" i="106" s="1"/>
  <c r="D7860" i="106" s="1"/>
  <c r="B5780" i="106"/>
  <c r="D5780" i="106" s="1"/>
  <c r="B5513" i="106"/>
  <c r="D5513" i="106" s="1"/>
  <c r="E109" i="5"/>
  <c r="L74" i="29"/>
  <c r="L114" i="29" s="1"/>
  <c r="D76" i="36"/>
  <c r="B6318" i="106"/>
  <c r="D6318" i="106" s="1"/>
  <c r="J109" i="5"/>
  <c r="B4950" i="106"/>
  <c r="D4950" i="106" s="1"/>
  <c r="E44" i="4"/>
  <c r="B778" i="106"/>
  <c r="D778" i="106" s="1"/>
  <c r="B6295" i="106"/>
  <c r="D6295" i="106" s="1"/>
  <c r="H44" i="4"/>
  <c r="B109" i="106"/>
  <c r="D109" i="106" s="1"/>
  <c r="B3567" i="106"/>
  <c r="D3567" i="106" s="1"/>
  <c r="B5893" i="106"/>
  <c r="D5893" i="106" s="1"/>
  <c r="H170" i="5"/>
  <c r="B6242" i="106"/>
  <c r="D6242" i="106" s="1"/>
  <c r="B4103" i="106"/>
  <c r="D4103" i="106" s="1"/>
  <c r="D18" i="7"/>
  <c r="B4105" i="106" s="1"/>
  <c r="D4105" i="106" s="1"/>
  <c r="B5730" i="106"/>
  <c r="D5730" i="106" s="1"/>
  <c r="G109" i="5"/>
  <c r="B7213" i="106"/>
  <c r="D7213" i="106" s="1"/>
  <c r="K340" i="29"/>
  <c r="C34" i="3"/>
  <c r="B6133" i="106"/>
  <c r="D6133" i="106" s="1"/>
  <c r="D75" i="36"/>
  <c r="B2435" i="106"/>
  <c r="D2435" i="106" s="1"/>
  <c r="B325" i="106"/>
  <c r="D325" i="106" s="1"/>
  <c r="C44" i="4"/>
  <c r="B5094" i="106"/>
  <c r="D5094" i="106" s="1"/>
  <c r="C75" i="5"/>
  <c r="B5104" i="106"/>
  <c r="D5104" i="106" s="1"/>
  <c r="C93" i="5"/>
  <c r="B5112" i="106" s="1"/>
  <c r="D5112" i="106" s="1"/>
  <c r="B5113" i="106"/>
  <c r="D5113" i="106" s="1"/>
  <c r="C108" i="5"/>
  <c r="B5120" i="106" s="1"/>
  <c r="D5120" i="106" s="1"/>
  <c r="B4761" i="106"/>
  <c r="D4761" i="106" s="1"/>
  <c r="F104" i="34"/>
  <c r="B7841" i="106" s="1"/>
  <c r="D7841" i="106" s="1"/>
  <c r="B5142" i="106"/>
  <c r="D5142" i="106" s="1"/>
  <c r="C132" i="5"/>
  <c r="B5175" i="106"/>
  <c r="D5175" i="106" s="1"/>
  <c r="C155" i="5"/>
  <c r="B6388" i="106"/>
  <c r="D6388" i="106" s="1"/>
  <c r="F119" i="34"/>
  <c r="B7853" i="106" s="1"/>
  <c r="D7853" i="106" s="1"/>
  <c r="C198" i="5"/>
  <c r="B5240" i="106"/>
  <c r="D5240" i="106" s="1"/>
  <c r="C204" i="5"/>
  <c r="B5255" i="106"/>
  <c r="D5255" i="106" s="1"/>
  <c r="C217" i="5"/>
  <c r="B5286" i="106" s="1"/>
  <c r="D5286" i="106" s="1"/>
  <c r="B5279" i="106"/>
  <c r="D5279" i="106" s="1"/>
  <c r="C252" i="5"/>
  <c r="B6833" i="106" s="1"/>
  <c r="D6833" i="106" s="1"/>
  <c r="B6626" i="106"/>
  <c r="D6626" i="106" s="1"/>
  <c r="B6690" i="106"/>
  <c r="D6690" i="106" s="1"/>
  <c r="F143" i="34"/>
  <c r="B5317" i="106"/>
  <c r="D5317" i="106" s="1"/>
  <c r="F164" i="34"/>
  <c r="B7871" i="106" s="1"/>
  <c r="D7871" i="106" s="1"/>
  <c r="B705" i="106"/>
  <c r="D705" i="106" s="1"/>
  <c r="C33" i="29"/>
  <c r="K7" i="29"/>
  <c r="B7250" i="106"/>
  <c r="D7250" i="106" s="1"/>
  <c r="B3372" i="106"/>
  <c r="D3372" i="106" s="1"/>
  <c r="K8" i="29"/>
  <c r="B3380" i="106" s="1"/>
  <c r="D3380" i="106" s="1"/>
  <c r="K9" i="29"/>
  <c r="B7254" i="106"/>
  <c r="D7254" i="106" s="1"/>
  <c r="B716" i="106"/>
  <c r="D716" i="106" s="1"/>
  <c r="K12" i="29"/>
  <c r="J33" i="29"/>
  <c r="K13" i="29"/>
  <c r="B1105" i="106" s="1"/>
  <c r="D1105" i="106" s="1"/>
  <c r="B1008" i="106"/>
  <c r="D1008" i="106" s="1"/>
  <c r="K14" i="29"/>
  <c r="B1106" i="106" s="1"/>
  <c r="D1106" i="106" s="1"/>
  <c r="B951" i="106"/>
  <c r="D951" i="106" s="1"/>
  <c r="K15" i="29"/>
  <c r="B938" i="106"/>
  <c r="D938" i="106" s="1"/>
  <c r="K16" i="29"/>
  <c r="B1094" i="106" s="1"/>
  <c r="D1094" i="106" s="1"/>
  <c r="B770" i="106"/>
  <c r="D770" i="106" s="1"/>
  <c r="K18" i="29"/>
  <c r="B1100" i="106" s="1"/>
  <c r="D1100" i="106" s="1"/>
  <c r="B3369" i="106"/>
  <c r="D3369" i="106" s="1"/>
  <c r="K19" i="29"/>
  <c r="B3381" i="106" s="1"/>
  <c r="D3381" i="106" s="1"/>
  <c r="K23" i="29"/>
  <c r="B6882" i="106"/>
  <c r="D6882" i="106" s="1"/>
  <c r="B6898" i="106"/>
  <c r="D6898" i="106" s="1"/>
  <c r="K31" i="29"/>
  <c r="H42" i="29"/>
  <c r="B1011" i="106"/>
  <c r="D1011" i="106" s="1"/>
  <c r="K36" i="29"/>
  <c r="B1012" i="106"/>
  <c r="D1012" i="106" s="1"/>
  <c r="K37" i="29"/>
  <c r="B1110" i="106" s="1"/>
  <c r="D1110" i="106" s="1"/>
  <c r="K38" i="29"/>
  <c r="B1111" i="106" s="1"/>
  <c r="D1111" i="106" s="1"/>
  <c r="B897" i="106"/>
  <c r="D897" i="106" s="1"/>
  <c r="F42" i="29"/>
  <c r="K39" i="29"/>
  <c r="B1112" i="106" s="1"/>
  <c r="D1112" i="106" s="1"/>
  <c r="B898" i="106"/>
  <c r="D898" i="106" s="1"/>
  <c r="D42" i="29"/>
  <c r="K40" i="29"/>
  <c r="B1113" i="106" s="1"/>
  <c r="D1113" i="106" s="1"/>
  <c r="B783" i="106"/>
  <c r="D783" i="106" s="1"/>
  <c r="B784" i="106"/>
  <c r="D784" i="106" s="1"/>
  <c r="K41" i="29"/>
  <c r="B1114" i="106" s="1"/>
  <c r="D1114" i="106" s="1"/>
  <c r="B6918" i="106"/>
  <c r="D6918" i="106" s="1"/>
  <c r="I47" i="29"/>
  <c r="K44" i="29"/>
  <c r="H47" i="29"/>
  <c r="B1021" i="106" s="1"/>
  <c r="D1021" i="106" s="1"/>
  <c r="K46" i="29"/>
  <c r="B1118" i="106" s="1"/>
  <c r="D1118" i="106" s="1"/>
  <c r="B1020" i="106"/>
  <c r="D1020" i="106" s="1"/>
  <c r="H53" i="29"/>
  <c r="B1024" i="106" s="1"/>
  <c r="D1024" i="106" s="1"/>
  <c r="K49" i="29"/>
  <c r="B1022" i="106"/>
  <c r="D1022" i="106" s="1"/>
  <c r="F53" i="29"/>
  <c r="B908" i="106" s="1"/>
  <c r="D908" i="106" s="1"/>
  <c r="B907" i="106"/>
  <c r="D907" i="106" s="1"/>
  <c r="K50" i="29"/>
  <c r="D53" i="29"/>
  <c r="B792" i="106" s="1"/>
  <c r="D792" i="106" s="1"/>
  <c r="K51" i="29"/>
  <c r="B2719" i="106"/>
  <c r="D2719" i="106" s="1"/>
  <c r="B6933" i="106"/>
  <c r="D6933" i="106" s="1"/>
  <c r="K52" i="29"/>
  <c r="B6940" i="106" s="1"/>
  <c r="D6940" i="106" s="1"/>
  <c r="K55" i="29"/>
  <c r="J57" i="29"/>
  <c r="B6945" i="106"/>
  <c r="D6945" i="106" s="1"/>
  <c r="K56" i="29"/>
  <c r="B6947" i="106"/>
  <c r="D6947" i="106" s="1"/>
  <c r="K59" i="29"/>
  <c r="B6951" i="106"/>
  <c r="D6951" i="106" s="1"/>
  <c r="J65" i="29"/>
  <c r="B6962" i="106" s="1"/>
  <c r="D6962" i="106" s="1"/>
  <c r="K60" i="29"/>
  <c r="I65" i="29"/>
  <c r="B6961" i="106" s="1"/>
  <c r="D6961" i="106" s="1"/>
  <c r="B6952" i="106"/>
  <c r="D6952" i="106" s="1"/>
  <c r="G65" i="29"/>
  <c r="B972" i="106"/>
  <c r="D972" i="106" s="1"/>
  <c r="K61" i="29"/>
  <c r="K62" i="29"/>
  <c r="B973" i="106"/>
  <c r="D973" i="106" s="1"/>
  <c r="B858" i="106"/>
  <c r="D858" i="106" s="1"/>
  <c r="K63" i="29"/>
  <c r="E65" i="29"/>
  <c r="B859" i="106"/>
  <c r="D859" i="106" s="1"/>
  <c r="K64" i="29"/>
  <c r="D72" i="29"/>
  <c r="B811" i="106" s="1"/>
  <c r="D811" i="106" s="1"/>
  <c r="K67" i="29"/>
  <c r="B804" i="106"/>
  <c r="D804" i="106" s="1"/>
  <c r="B747" i="106"/>
  <c r="D747" i="106" s="1"/>
  <c r="C72" i="29"/>
  <c r="K68" i="29"/>
  <c r="K69" i="29"/>
  <c r="I72" i="29"/>
  <c r="B6973" i="106" s="1"/>
  <c r="D6973" i="106" s="1"/>
  <c r="B6967" i="106"/>
  <c r="D6967" i="106" s="1"/>
  <c r="K70" i="29"/>
  <c r="B6969" i="106"/>
  <c r="D6969" i="106" s="1"/>
  <c r="K71" i="29"/>
  <c r="B983" i="106"/>
  <c r="D983" i="106" s="1"/>
  <c r="G72" i="29"/>
  <c r="B985" i="106" s="1"/>
  <c r="D985" i="106" s="1"/>
  <c r="B928" i="106"/>
  <c r="D928" i="106" s="1"/>
  <c r="K73" i="29"/>
  <c r="B872" i="106"/>
  <c r="D872" i="106" s="1"/>
  <c r="K75" i="29"/>
  <c r="H84" i="29"/>
  <c r="K80" i="29"/>
  <c r="B2957" i="106"/>
  <c r="D2957" i="106" s="1"/>
  <c r="H92" i="29"/>
  <c r="B6981" i="106"/>
  <c r="D6981" i="106" s="1"/>
  <c r="B6983" i="106"/>
  <c r="D6983" i="106" s="1"/>
  <c r="K86" i="29"/>
  <c r="B6984" i="106" s="1"/>
  <c r="D6984" i="106" s="1"/>
  <c r="K95" i="29"/>
  <c r="H100" i="29"/>
  <c r="B7012" i="106" s="1"/>
  <c r="D7012" i="106" s="1"/>
  <c r="B7000" i="106"/>
  <c r="D7000" i="106" s="1"/>
  <c r="K107" i="29"/>
  <c r="B2791" i="106"/>
  <c r="D2791" i="106" s="1"/>
  <c r="H110" i="29"/>
  <c r="D34" i="3"/>
  <c r="B6161" i="106"/>
  <c r="D6161" i="106" s="1"/>
  <c r="D44" i="4"/>
  <c r="B2758" i="106"/>
  <c r="D2758" i="106" s="1"/>
  <c r="B6331" i="106"/>
  <c r="D6331" i="106" s="1"/>
  <c r="D108" i="5"/>
  <c r="B4341" i="106"/>
  <c r="D4341" i="106" s="1"/>
  <c r="F132" i="34"/>
  <c r="B7864" i="106" s="1"/>
  <c r="D7864" i="106" s="1"/>
  <c r="B6643" i="106"/>
  <c r="D6643" i="106" s="1"/>
  <c r="F137" i="34"/>
  <c r="K120" i="29"/>
  <c r="B4078" i="106"/>
  <c r="D4078" i="106" s="1"/>
  <c r="K122" i="29"/>
  <c r="G127" i="29"/>
  <c r="B1251" i="106"/>
  <c r="D1251" i="106" s="1"/>
  <c r="E127" i="29"/>
  <c r="K123" i="29"/>
  <c r="B1275" i="106" s="1"/>
  <c r="D1275" i="106" s="1"/>
  <c r="B1236" i="106"/>
  <c r="D1236" i="106" s="1"/>
  <c r="B1229" i="106"/>
  <c r="D1229" i="106" s="1"/>
  <c r="K124" i="29"/>
  <c r="B1276" i="106" s="1"/>
  <c r="D1276" i="106" s="1"/>
  <c r="D127" i="29"/>
  <c r="K125" i="29"/>
  <c r="B3488" i="106" s="1"/>
  <c r="D3488" i="106" s="1"/>
  <c r="B3483" i="106"/>
  <c r="D3483" i="106" s="1"/>
  <c r="K126" i="29"/>
  <c r="B1277" i="106" s="1"/>
  <c r="D1277" i="106" s="1"/>
  <c r="B1254" i="106"/>
  <c r="D1254" i="106" s="1"/>
  <c r="K128" i="29"/>
  <c r="B1280" i="106" s="1"/>
  <c r="D1280" i="106" s="1"/>
  <c r="B7035" i="106"/>
  <c r="D7035" i="106" s="1"/>
  <c r="K130" i="29"/>
  <c r="B7039" i="106"/>
  <c r="D7039" i="106" s="1"/>
  <c r="K134" i="29"/>
  <c r="B4199" i="106"/>
  <c r="D4199" i="106" s="1"/>
  <c r="E137" i="29"/>
  <c r="E76" i="4"/>
  <c r="B3276" i="106" s="1"/>
  <c r="D3276" i="106" s="1"/>
  <c r="B2817" i="106"/>
  <c r="D2817" i="106" s="1"/>
  <c r="B4884" i="106"/>
  <c r="D4884" i="106" s="1"/>
  <c r="E122" i="5"/>
  <c r="B1307" i="106"/>
  <c r="D1307" i="106" s="1"/>
  <c r="K171" i="29"/>
  <c r="B1330" i="106" s="1"/>
  <c r="D1330" i="106" s="1"/>
  <c r="E172" i="29"/>
  <c r="F13" i="3"/>
  <c r="B6093" i="106"/>
  <c r="D6093" i="106" s="1"/>
  <c r="F34" i="3"/>
  <c r="B6154" i="106"/>
  <c r="D6154" i="106" s="1"/>
  <c r="I48" i="4"/>
  <c r="B2762" i="106"/>
  <c r="D2762" i="106" s="1"/>
  <c r="F44" i="4"/>
  <c r="C40" i="5"/>
  <c r="G33" i="29"/>
  <c r="K10" i="29"/>
  <c r="B3062" i="106" s="1"/>
  <c r="D3062" i="106" s="1"/>
  <c r="F130" i="34"/>
  <c r="B7862" i="106" s="1"/>
  <c r="D7862" i="106" s="1"/>
  <c r="C141" i="5"/>
  <c r="F33" i="29"/>
  <c r="K5" i="29"/>
  <c r="F102" i="34"/>
  <c r="B7839" i="106" s="1"/>
  <c r="D7839" i="106" s="1"/>
  <c r="H19" i="118"/>
  <c r="C181" i="5"/>
  <c r="F135" i="34"/>
  <c r="B7683" i="106"/>
  <c r="D7683" i="106" s="1"/>
  <c r="B7267" i="106"/>
  <c r="D7267" i="106" s="1"/>
  <c r="K85" i="29"/>
  <c r="B6982" i="106" s="1"/>
  <c r="D6982" i="106" s="1"/>
  <c r="L285" i="29"/>
  <c r="L295" i="29" s="1"/>
  <c r="H13" i="3"/>
  <c r="B199" i="106"/>
  <c r="D199" i="106" s="1"/>
  <c r="B7785" i="106"/>
  <c r="D7785" i="106" s="1"/>
  <c r="K332" i="29"/>
  <c r="H334" i="29"/>
  <c r="K355" i="29"/>
  <c r="B7793" i="106"/>
  <c r="D7793" i="106" s="1"/>
  <c r="B276" i="106"/>
  <c r="D276" i="106" s="1"/>
  <c r="M23" i="3"/>
  <c r="K199" i="29"/>
  <c r="B1371" i="106"/>
  <c r="D1371" i="106" s="1"/>
  <c r="F60" i="34"/>
  <c r="B1323" i="106"/>
  <c r="D1323" i="106" s="1"/>
  <c r="E15" i="4"/>
  <c r="D257" i="29"/>
  <c r="K222" i="29"/>
  <c r="I109" i="5" l="1"/>
  <c r="D50" i="36"/>
  <c r="K330" i="29"/>
  <c r="D53" i="36"/>
  <c r="B5501" i="106"/>
  <c r="D5501" i="106" s="1"/>
  <c r="J151" i="29"/>
  <c r="B7052" i="106" s="1"/>
  <c r="D7052" i="106" s="1"/>
  <c r="B7038" i="106"/>
  <c r="D7038" i="106" s="1"/>
  <c r="J367" i="29"/>
  <c r="B7245" i="106" s="1"/>
  <c r="D7245" i="106" s="1"/>
  <c r="B7235" i="106"/>
  <c r="D7235" i="106" s="1"/>
  <c r="D15" i="7"/>
  <c r="B1772" i="106" s="1"/>
  <c r="D1772" i="106" s="1"/>
  <c r="B1756" i="106"/>
  <c r="D1756" i="106" s="1"/>
  <c r="H267" i="5"/>
  <c r="B7205" i="106"/>
  <c r="D7205" i="106" s="1"/>
  <c r="I342" i="29"/>
  <c r="B3654" i="106"/>
  <c r="D3654" i="106" s="1"/>
  <c r="H352" i="29"/>
  <c r="B3656" i="106" s="1"/>
  <c r="D3656" i="106" s="1"/>
  <c r="G41" i="3"/>
  <c r="B190" i="106" s="1"/>
  <c r="D190" i="106" s="1"/>
  <c r="H174" i="29"/>
  <c r="B1318" i="106" s="1"/>
  <c r="D1318" i="106" s="1"/>
  <c r="B1317" i="106"/>
  <c r="D1317" i="106" s="1"/>
  <c r="F51" i="34"/>
  <c r="B6901" i="106"/>
  <c r="D6901" i="106" s="1"/>
  <c r="B6885" i="106"/>
  <c r="D6885" i="106" s="1"/>
  <c r="F43" i="34"/>
  <c r="G16" i="4"/>
  <c r="B2611" i="106" s="1"/>
  <c r="D2611" i="106" s="1"/>
  <c r="B1515" i="106"/>
  <c r="D1515" i="106" s="1"/>
  <c r="B7199" i="106"/>
  <c r="D7199" i="106" s="1"/>
  <c r="C342" i="29"/>
  <c r="B7216" i="106" s="1"/>
  <c r="D7216" i="106" s="1"/>
  <c r="B1492" i="106"/>
  <c r="D1492" i="106" s="1"/>
  <c r="K270" i="29"/>
  <c r="B1500" i="106" s="1"/>
  <c r="D1500" i="106" s="1"/>
  <c r="F158" i="34"/>
  <c r="B7866" i="106" s="1"/>
  <c r="D7866" i="106" s="1"/>
  <c r="H76" i="4"/>
  <c r="B3298" i="106" s="1"/>
  <c r="D3298" i="106" s="1"/>
  <c r="G266" i="5"/>
  <c r="K109" i="5"/>
  <c r="B5992" i="106"/>
  <c r="D5992" i="106" s="1"/>
  <c r="B1547" i="106"/>
  <c r="D1547" i="106" s="1"/>
  <c r="G312" i="29"/>
  <c r="B1548" i="106" s="1"/>
  <c r="D1548" i="106" s="1"/>
  <c r="H129" i="29"/>
  <c r="B1264" i="106"/>
  <c r="D1264" i="106" s="1"/>
  <c r="B1482" i="106"/>
  <c r="D1482" i="106" s="1"/>
  <c r="K243" i="29"/>
  <c r="D17" i="7"/>
  <c r="B4104" i="106" s="1"/>
  <c r="D4104" i="106" s="1"/>
  <c r="B4102" i="106"/>
  <c r="D4102" i="106" s="1"/>
  <c r="B19" i="7"/>
  <c r="B1759" i="106" s="1"/>
  <c r="D1759" i="106" s="1"/>
  <c r="B7171" i="106"/>
  <c r="D7171" i="106" s="1"/>
  <c r="E62" i="184"/>
  <c r="N62" i="184" s="1"/>
  <c r="B6191" i="106"/>
  <c r="D6191" i="106" s="1"/>
  <c r="J41" i="3"/>
  <c r="F62" i="34"/>
  <c r="B7833" i="106" s="1"/>
  <c r="D7833" i="106" s="1"/>
  <c r="B2836" i="106"/>
  <c r="D2836" i="106" s="1"/>
  <c r="F14" i="4"/>
  <c r="B2597" i="106" s="1"/>
  <c r="D2597" i="106" s="1"/>
  <c r="B7201" i="106"/>
  <c r="D7201" i="106" s="1"/>
  <c r="E342" i="29"/>
  <c r="B7218" i="106" s="1"/>
  <c r="D7218" i="106" s="1"/>
  <c r="F129" i="29"/>
  <c r="B1247" i="106"/>
  <c r="D1247" i="106" s="1"/>
  <c r="B3009" i="106"/>
  <c r="D3009" i="106" s="1"/>
  <c r="K194" i="29"/>
  <c r="B6238" i="106"/>
  <c r="D6238" i="106" s="1"/>
  <c r="J77" i="4"/>
  <c r="B6262" i="106" s="1"/>
  <c r="D6262" i="106" s="1"/>
  <c r="B7114" i="106"/>
  <c r="D7114" i="106" s="1"/>
  <c r="E312" i="29"/>
  <c r="B1536" i="106" s="1"/>
  <c r="D1536" i="106" s="1"/>
  <c r="B2828" i="106"/>
  <c r="D2828" i="106" s="1"/>
  <c r="H196" i="29"/>
  <c r="B7200" i="106"/>
  <c r="D7200" i="106" s="1"/>
  <c r="D342" i="29"/>
  <c r="B7217" i="106" s="1"/>
  <c r="D7217" i="106" s="1"/>
  <c r="B7088" i="106"/>
  <c r="D7088" i="106" s="1"/>
  <c r="K257" i="29"/>
  <c r="B1488" i="106" s="1"/>
  <c r="D1488" i="106" s="1"/>
  <c r="B3258" i="106"/>
  <c r="D3258" i="106" s="1"/>
  <c r="G77" i="4"/>
  <c r="B3261" i="106" s="1"/>
  <c r="D3261" i="106" s="1"/>
  <c r="B6835" i="106"/>
  <c r="D6835" i="106" s="1"/>
  <c r="E266" i="5"/>
  <c r="B5873" i="106"/>
  <c r="D5873" i="106" s="1"/>
  <c r="H109" i="5"/>
  <c r="B3584" i="106"/>
  <c r="D3584" i="106" s="1"/>
  <c r="K77" i="4"/>
  <c r="B3587" i="106" s="1"/>
  <c r="D3587" i="106" s="1"/>
  <c r="B7198" i="106"/>
  <c r="D7198" i="106" s="1"/>
  <c r="E65" i="184"/>
  <c r="N65" i="184" s="1"/>
  <c r="B1529" i="106"/>
  <c r="D1529" i="106" s="1"/>
  <c r="D312" i="29"/>
  <c r="B1530" i="106" s="1"/>
  <c r="D1530" i="106" s="1"/>
  <c r="G169" i="5"/>
  <c r="B5752" i="106"/>
  <c r="D5752" i="106" s="1"/>
  <c r="B5383" i="106"/>
  <c r="D5383" i="106" s="1"/>
  <c r="D169" i="5"/>
  <c r="B5412" i="106" s="1"/>
  <c r="D5412" i="106" s="1"/>
  <c r="B7135" i="106"/>
  <c r="D7135" i="106" s="1"/>
  <c r="E58" i="184"/>
  <c r="N58" i="184" s="1"/>
  <c r="B7064" i="106"/>
  <c r="D7064" i="106" s="1"/>
  <c r="J210" i="29"/>
  <c r="B7072" i="106" s="1"/>
  <c r="D7072" i="106" s="1"/>
  <c r="B7037" i="106"/>
  <c r="D7037" i="106" s="1"/>
  <c r="I151" i="29"/>
  <c r="I352" i="29"/>
  <c r="B7230" i="106"/>
  <c r="D7230" i="106" s="1"/>
  <c r="B7115" i="106"/>
  <c r="D7115" i="106" s="1"/>
  <c r="H312" i="29"/>
  <c r="B1554" i="106" s="1"/>
  <c r="D1554" i="106" s="1"/>
  <c r="B5348" i="106"/>
  <c r="D5348" i="106" s="1"/>
  <c r="F96" i="34"/>
  <c r="B7838" i="106" s="1"/>
  <c r="D7838" i="106" s="1"/>
  <c r="B1555" i="106"/>
  <c r="D1555" i="106" s="1"/>
  <c r="K303" i="29"/>
  <c r="B1339" i="106"/>
  <c r="D1339" i="106" s="1"/>
  <c r="C210" i="29"/>
  <c r="B1340" i="106" s="1"/>
  <c r="D1340" i="106" s="1"/>
  <c r="B1351" i="106"/>
  <c r="D1351" i="106" s="1"/>
  <c r="B5713" i="106"/>
  <c r="D5713" i="106" s="1"/>
  <c r="F267" i="5"/>
  <c r="B4435" i="106"/>
  <c r="D4435" i="106" s="1"/>
  <c r="I7" i="4"/>
  <c r="B4444" i="106" s="1"/>
  <c r="D4444" i="106" s="1"/>
  <c r="B7203" i="106"/>
  <c r="D7203" i="106" s="1"/>
  <c r="G342" i="29"/>
  <c r="K184" i="29"/>
  <c r="B4087" i="106"/>
  <c r="D4087" i="106" s="1"/>
  <c r="B5367" i="106"/>
  <c r="D5367" i="106" s="1"/>
  <c r="B3668" i="106"/>
  <c r="D3668" i="106" s="1"/>
  <c r="K350" i="29"/>
  <c r="B7107" i="106"/>
  <c r="D7107" i="106" s="1"/>
  <c r="K310" i="29"/>
  <c r="B211" i="106"/>
  <c r="D211" i="106" s="1"/>
  <c r="H41" i="3"/>
  <c r="B213" i="106" s="1"/>
  <c r="D213" i="106" s="1"/>
  <c r="B180" i="106"/>
  <c r="D180" i="106" s="1"/>
  <c r="D48" i="36"/>
  <c r="B5592" i="106"/>
  <c r="D5592" i="106" s="1"/>
  <c r="F5" i="4"/>
  <c r="B3408" i="106" s="1"/>
  <c r="D3408" i="106" s="1"/>
  <c r="B7126" i="106"/>
  <c r="D7126" i="106" s="1"/>
  <c r="E57" i="184"/>
  <c r="N57" i="184" s="1"/>
  <c r="E196" i="29"/>
  <c r="B1352" i="106" s="1"/>
  <c r="D1352" i="106" s="1"/>
  <c r="B2823" i="106"/>
  <c r="D2823" i="106" s="1"/>
  <c r="K6" i="4"/>
  <c r="B3570" i="106" s="1"/>
  <c r="D3570" i="106" s="1"/>
  <c r="B6014" i="106"/>
  <c r="D6014" i="106" s="1"/>
  <c r="B2789" i="106"/>
  <c r="D2789" i="106" s="1"/>
  <c r="E102" i="29"/>
  <c r="B2790" i="106" s="1"/>
  <c r="D2790" i="106" s="1"/>
  <c r="J6" i="4"/>
  <c r="B6221" i="106" s="1"/>
  <c r="D6221" i="106" s="1"/>
  <c r="B6397" i="106"/>
  <c r="D6397" i="106" s="1"/>
  <c r="B7180" i="106"/>
  <c r="D7180" i="106" s="1"/>
  <c r="E63" i="184"/>
  <c r="N63" i="184" s="1"/>
  <c r="B7144" i="106"/>
  <c r="D7144" i="106" s="1"/>
  <c r="E59" i="184"/>
  <c r="N59" i="184" s="1"/>
  <c r="F312" i="29"/>
  <c r="B1542" i="106" s="1"/>
  <c r="D1542" i="106" s="1"/>
  <c r="B1541" i="106"/>
  <c r="D1541" i="106" s="1"/>
  <c r="B7162" i="106"/>
  <c r="D7162" i="106" s="1"/>
  <c r="E61" i="184"/>
  <c r="N61" i="184" s="1"/>
  <c r="F169" i="5"/>
  <c r="B5614" i="106"/>
  <c r="D5614" i="106" s="1"/>
  <c r="B1501" i="106"/>
  <c r="D1501" i="106" s="1"/>
  <c r="K277" i="29"/>
  <c r="B1508" i="106" s="1"/>
  <c r="D1508" i="106" s="1"/>
  <c r="F109" i="5"/>
  <c r="B5579" i="106"/>
  <c r="D5579" i="106" s="1"/>
  <c r="H139" i="29"/>
  <c r="B1267" i="106" s="1"/>
  <c r="D1267" i="106" s="1"/>
  <c r="B2091" i="106"/>
  <c r="D2091" i="106" s="1"/>
  <c r="B1365" i="106"/>
  <c r="D1365" i="106" s="1"/>
  <c r="F65" i="34"/>
  <c r="E66" i="184"/>
  <c r="N66" i="184" s="1"/>
  <c r="B7696" i="106"/>
  <c r="D7696" i="106" s="1"/>
  <c r="G352" i="29"/>
  <c r="B3647" i="106"/>
  <c r="D3647" i="106" s="1"/>
  <c r="B1345" i="106"/>
  <c r="D1345" i="106" s="1"/>
  <c r="D210" i="29"/>
  <c r="B1346" i="106" s="1"/>
  <c r="D1346" i="106" s="1"/>
  <c r="F125" i="34"/>
  <c r="B7857" i="106" s="1"/>
  <c r="D7857" i="106" s="1"/>
  <c r="B4396" i="106"/>
  <c r="D4396" i="106" s="1"/>
  <c r="B6858" i="106"/>
  <c r="D6858" i="106" s="1"/>
  <c r="F36" i="34"/>
  <c r="B7828" i="106" s="1"/>
  <c r="D7828" i="106" s="1"/>
  <c r="B5355" i="106"/>
  <c r="D5355" i="106" s="1"/>
  <c r="D109" i="5"/>
  <c r="B2975" i="106"/>
  <c r="D2975" i="106" s="1"/>
  <c r="K84" i="29"/>
  <c r="B894" i="106"/>
  <c r="D894" i="106" s="1"/>
  <c r="B901" i="106"/>
  <c r="D901" i="106" s="1"/>
  <c r="F74" i="29"/>
  <c r="B929" i="106" s="1"/>
  <c r="D929" i="106" s="1"/>
  <c r="B6899" i="106"/>
  <c r="D6899" i="106" s="1"/>
  <c r="F50" i="34"/>
  <c r="B1104" i="106"/>
  <c r="D1104" i="106" s="1"/>
  <c r="F37" i="34"/>
  <c r="B7829" i="106" s="1"/>
  <c r="D7829" i="106" s="1"/>
  <c r="B720" i="106"/>
  <c r="D720" i="106" s="1"/>
  <c r="B5178" i="106"/>
  <c r="D5178" i="106" s="1"/>
  <c r="F112" i="34"/>
  <c r="B7847" i="106" s="1"/>
  <c r="D7847" i="106" s="1"/>
  <c r="J4" i="4"/>
  <c r="B6352" i="106"/>
  <c r="D6352" i="106" s="1"/>
  <c r="J268" i="5"/>
  <c r="G129" i="29"/>
  <c r="B1256" i="106"/>
  <c r="D1256" i="106" s="1"/>
  <c r="B753" i="106"/>
  <c r="D753" i="106" s="1"/>
  <c r="C74" i="29"/>
  <c r="B755" i="106" s="1"/>
  <c r="D755" i="106" s="1"/>
  <c r="F15" i="184"/>
  <c r="F19" i="184" s="1"/>
  <c r="B1274" i="106"/>
  <c r="D1274" i="106" s="1"/>
  <c r="E26" i="108"/>
  <c r="G26" i="108"/>
  <c r="K127" i="29"/>
  <c r="B1279" i="106" s="1"/>
  <c r="D1279" i="106" s="1"/>
  <c r="B1139" i="106"/>
  <c r="D1139" i="106" s="1"/>
  <c r="F37" i="108"/>
  <c r="D37" i="108"/>
  <c r="F56" i="34"/>
  <c r="B7832" i="106" s="1"/>
  <c r="D7832" i="106" s="1"/>
  <c r="D14" i="4"/>
  <c r="B2570" i="106" s="1"/>
  <c r="D2570" i="106" s="1"/>
  <c r="B2805" i="106"/>
  <c r="D2805" i="106" s="1"/>
  <c r="B4080" i="106"/>
  <c r="D4080" i="106" s="1"/>
  <c r="D77" i="4"/>
  <c r="B3238" i="106" s="1"/>
  <c r="D3238" i="106" s="1"/>
  <c r="B3235" i="106"/>
  <c r="D3235" i="106" s="1"/>
  <c r="B7001" i="106"/>
  <c r="D7001" i="106" s="1"/>
  <c r="K100" i="29"/>
  <c r="B7013" i="106" s="1"/>
  <c r="D7013" i="106" s="1"/>
  <c r="C14" i="4"/>
  <c r="B2558" i="106" s="1"/>
  <c r="D2558" i="106" s="1"/>
  <c r="G39" i="108"/>
  <c r="F52" i="34"/>
  <c r="B7831" i="106" s="1"/>
  <c r="D7831" i="106" s="1"/>
  <c r="E39" i="108"/>
  <c r="B1144" i="106"/>
  <c r="D1144" i="106" s="1"/>
  <c r="B1137" i="106"/>
  <c r="D1137" i="106" s="1"/>
  <c r="D36" i="108"/>
  <c r="F36" i="108"/>
  <c r="B1134" i="106"/>
  <c r="D1134" i="106" s="1"/>
  <c r="G33" i="108"/>
  <c r="E17" i="184"/>
  <c r="H17" i="184" s="1"/>
  <c r="E33" i="108"/>
  <c r="K72" i="29"/>
  <c r="B1141" i="106" s="1"/>
  <c r="D1141" i="106" s="1"/>
  <c r="B1129" i="106"/>
  <c r="D1129" i="106" s="1"/>
  <c r="E29" i="108"/>
  <c r="G29" i="108"/>
  <c r="B1120" i="106"/>
  <c r="D1120" i="106" s="1"/>
  <c r="K53" i="29"/>
  <c r="B91" i="106"/>
  <c r="D91" i="106" s="1"/>
  <c r="C41" i="3"/>
  <c r="B7207" i="106"/>
  <c r="D7207" i="106" s="1"/>
  <c r="J13" i="4"/>
  <c r="B203" i="106"/>
  <c r="D203" i="106" s="1"/>
  <c r="D49" i="36"/>
  <c r="B1130" i="106"/>
  <c r="D1130" i="106" s="1"/>
  <c r="E30" i="108"/>
  <c r="G30" i="108"/>
  <c r="B5914" i="106"/>
  <c r="D5914" i="106" s="1"/>
  <c r="H7" i="4"/>
  <c r="B2657" i="106" s="1"/>
  <c r="D2657" i="106" s="1"/>
  <c r="B1123" i="106"/>
  <c r="D1123" i="106" s="1"/>
  <c r="K57" i="29"/>
  <c r="B6924" i="106"/>
  <c r="D6924" i="106" s="1"/>
  <c r="I74" i="29"/>
  <c r="B6848" i="106"/>
  <c r="D6848" i="106" s="1"/>
  <c r="F34" i="34"/>
  <c r="B2081" i="106"/>
  <c r="D2081" i="106" s="1"/>
  <c r="H102" i="29"/>
  <c r="B1047" i="106" s="1"/>
  <c r="D1047" i="106" s="1"/>
  <c r="B2633" i="106"/>
  <c r="D2633" i="106" s="1"/>
  <c r="K357" i="29"/>
  <c r="B7794" i="106"/>
  <c r="D7794" i="106" s="1"/>
  <c r="B5161" i="106"/>
  <c r="D5161" i="106" s="1"/>
  <c r="F107" i="34"/>
  <c r="B7843" i="106" s="1"/>
  <c r="D7843" i="106" s="1"/>
  <c r="B7789" i="106"/>
  <c r="D7789" i="106" s="1"/>
  <c r="H342" i="29"/>
  <c r="B7221" i="106" s="1"/>
  <c r="D7221" i="106" s="1"/>
  <c r="F41" i="3"/>
  <c r="B171" i="106" s="1"/>
  <c r="D171" i="106" s="1"/>
  <c r="B169" i="106"/>
  <c r="D169" i="106" s="1"/>
  <c r="B1128" i="106"/>
  <c r="D1128" i="106" s="1"/>
  <c r="F28" i="108"/>
  <c r="E28" i="108"/>
  <c r="E15" i="184"/>
  <c r="B1126" i="106"/>
  <c r="D1126" i="106" s="1"/>
  <c r="F26" i="108"/>
  <c r="K65" i="29"/>
  <c r="B1133" i="106" s="1"/>
  <c r="D1133" i="106" s="1"/>
  <c r="D26" i="108"/>
  <c r="B1107" i="106"/>
  <c r="D1107" i="106" s="1"/>
  <c r="F38" i="34"/>
  <c r="B7830" i="106" s="1"/>
  <c r="D7830" i="106" s="1"/>
  <c r="C169" i="5"/>
  <c r="B5147" i="106"/>
  <c r="D5147" i="106" s="1"/>
  <c r="F106" i="34"/>
  <c r="B7842" i="106" s="1"/>
  <c r="D7842" i="106" s="1"/>
  <c r="B5096" i="106"/>
  <c r="D5096" i="106" s="1"/>
  <c r="F95" i="34"/>
  <c r="J16" i="4"/>
  <c r="B6226" i="106" s="1"/>
  <c r="D6226" i="106" s="1"/>
  <c r="B7215" i="106"/>
  <c r="D7215" i="106" s="1"/>
  <c r="B5906" i="106"/>
  <c r="D5906" i="106" s="1"/>
  <c r="H6" i="4"/>
  <c r="B3568" i="106"/>
  <c r="D3568" i="106" s="1"/>
  <c r="D52" i="36"/>
  <c r="N64" i="184"/>
  <c r="N68" i="184" s="1"/>
  <c r="E68" i="184"/>
  <c r="B279" i="106"/>
  <c r="D279" i="106" s="1"/>
  <c r="D54" i="36"/>
  <c r="B3252" i="106"/>
  <c r="D3252" i="106" s="1"/>
  <c r="F77" i="4"/>
  <c r="B3255" i="106" s="1"/>
  <c r="D3255" i="106" s="1"/>
  <c r="B2795" i="106"/>
  <c r="D2795" i="106" s="1"/>
  <c r="K110" i="29"/>
  <c r="B1471" i="106"/>
  <c r="D1471" i="106" s="1"/>
  <c r="K229" i="29"/>
  <c r="B1093" i="106"/>
  <c r="D1093" i="106" s="1"/>
  <c r="K33" i="29"/>
  <c r="D129" i="29"/>
  <c r="B1231" i="106"/>
  <c r="D1231" i="106" s="1"/>
  <c r="B6903" i="106"/>
  <c r="D6903" i="106" s="1"/>
  <c r="B2106" i="106"/>
  <c r="D2106" i="106" s="1"/>
  <c r="I76" i="4"/>
  <c r="D41" i="3"/>
  <c r="B122" i="106"/>
  <c r="D122" i="106" s="1"/>
  <c r="B1142" i="106"/>
  <c r="D1142" i="106" s="1"/>
  <c r="E38" i="108"/>
  <c r="G38" i="108"/>
  <c r="F31" i="108"/>
  <c r="B1131" i="106"/>
  <c r="D1131" i="106" s="1"/>
  <c r="D31" i="108"/>
  <c r="E16" i="184"/>
  <c r="H16" i="184" s="1"/>
  <c r="E13" i="184"/>
  <c r="H13" i="184" s="1"/>
  <c r="B2724" i="106"/>
  <c r="D2724" i="106" s="1"/>
  <c r="B6883" i="106"/>
  <c r="D6883" i="106" s="1"/>
  <c r="F42" i="34"/>
  <c r="B6853" i="106"/>
  <c r="D6853" i="106" s="1"/>
  <c r="F35" i="34"/>
  <c r="B7827" i="106" s="1"/>
  <c r="D7827" i="106" s="1"/>
  <c r="B5260" i="106"/>
  <c r="D5260" i="106" s="1"/>
  <c r="F127" i="34"/>
  <c r="B7859" i="106" s="1"/>
  <c r="D7859" i="106" s="1"/>
  <c r="B6022" i="106"/>
  <c r="D6022" i="106" s="1"/>
  <c r="K7" i="4"/>
  <c r="K137" i="29"/>
  <c r="B2986" i="106"/>
  <c r="D2986" i="106" s="1"/>
  <c r="K47" i="29"/>
  <c r="B1116" i="106"/>
  <c r="D1116" i="106" s="1"/>
  <c r="B952" i="106"/>
  <c r="D952" i="106" s="1"/>
  <c r="E139" i="29"/>
  <c r="B4203" i="106" s="1"/>
  <c r="D4203" i="106" s="1"/>
  <c r="B4202" i="106"/>
  <c r="D4202" i="106" s="1"/>
  <c r="B1053" i="106"/>
  <c r="D1053" i="106" s="1"/>
  <c r="H112" i="29"/>
  <c r="B7018" i="106" s="1"/>
  <c r="D7018" i="106" s="1"/>
  <c r="B1136" i="106"/>
  <c r="D1136" i="106" s="1"/>
  <c r="G35" i="108"/>
  <c r="E35" i="108"/>
  <c r="B977" i="106"/>
  <c r="D977" i="106" s="1"/>
  <c r="G74" i="29"/>
  <c r="B987" i="106" s="1"/>
  <c r="D987" i="106" s="1"/>
  <c r="E14" i="184"/>
  <c r="H14" i="184" s="1"/>
  <c r="B1124" i="106"/>
  <c r="D1124" i="106" s="1"/>
  <c r="B3229" i="106"/>
  <c r="D3229" i="106" s="1"/>
  <c r="C77" i="4"/>
  <c r="B3232" i="106" s="1"/>
  <c r="D3232" i="106" s="1"/>
  <c r="K172" i="29"/>
  <c r="D7" i="4"/>
  <c r="B2567" i="106" s="1"/>
  <c r="D2567" i="106" s="1"/>
  <c r="B5507" i="106"/>
  <c r="D5507" i="106" s="1"/>
  <c r="B6949" i="106"/>
  <c r="D6949" i="106" s="1"/>
  <c r="J74" i="29"/>
  <c r="B6978" i="106" s="1"/>
  <c r="D6978" i="106" s="1"/>
  <c r="D27" i="108"/>
  <c r="F27" i="108"/>
  <c r="B1127" i="106"/>
  <c r="D1127" i="106" s="1"/>
  <c r="B1017" i="106"/>
  <c r="D1017" i="106" s="1"/>
  <c r="H74" i="29"/>
  <c r="B1424" i="106"/>
  <c r="D1424" i="106" s="1"/>
  <c r="D279" i="29"/>
  <c r="B5534" i="106"/>
  <c r="D5534" i="106" s="1"/>
  <c r="E170" i="5"/>
  <c r="B7786" i="106"/>
  <c r="D7786" i="106" s="1"/>
  <c r="K334" i="29"/>
  <c r="K342" i="29" s="1"/>
  <c r="B5232" i="106"/>
  <c r="D5232" i="106" s="1"/>
  <c r="F124" i="34"/>
  <c r="B7856" i="106" s="1"/>
  <c r="D7856" i="106" s="1"/>
  <c r="B157" i="106"/>
  <c r="D157" i="106" s="1"/>
  <c r="D47" i="36"/>
  <c r="B1239" i="106"/>
  <c r="D1239" i="106" s="1"/>
  <c r="E129" i="29"/>
  <c r="B1383" i="106"/>
  <c r="D1383" i="106" s="1"/>
  <c r="K204" i="29"/>
  <c r="C109" i="5"/>
  <c r="B5087" i="106"/>
  <c r="D5087" i="106" s="1"/>
  <c r="E174" i="29"/>
  <c r="B1309" i="106" s="1"/>
  <c r="D1309" i="106" s="1"/>
  <c r="B1308" i="106"/>
  <c r="D1308" i="106" s="1"/>
  <c r="K92" i="29"/>
  <c r="B2089" i="106" s="1"/>
  <c r="D2089" i="106" s="1"/>
  <c r="B6995" i="106"/>
  <c r="D6995" i="106" s="1"/>
  <c r="G34" i="108"/>
  <c r="E34" i="108"/>
  <c r="B1135" i="106"/>
  <c r="D1135" i="106" s="1"/>
  <c r="B861" i="106"/>
  <c r="D861" i="106" s="1"/>
  <c r="E74" i="29"/>
  <c r="E12" i="184"/>
  <c r="B1121" i="106"/>
  <c r="D1121" i="106" s="1"/>
  <c r="B785" i="106"/>
  <c r="D785" i="106" s="1"/>
  <c r="D74" i="29"/>
  <c r="B1109" i="106"/>
  <c r="D1109" i="106" s="1"/>
  <c r="K42" i="29"/>
  <c r="B5246" i="106"/>
  <c r="D5246" i="106" s="1"/>
  <c r="F126" i="34"/>
  <c r="B7858" i="106" s="1"/>
  <c r="D7858" i="106" s="1"/>
  <c r="C266" i="5"/>
  <c r="B5320" i="106" s="1"/>
  <c r="D5320" i="106" s="1"/>
  <c r="B6024" i="106"/>
  <c r="D6024" i="106" s="1"/>
  <c r="G4" i="4"/>
  <c r="B3296" i="106"/>
  <c r="D3296" i="106" s="1"/>
  <c r="H77" i="4"/>
  <c r="B3299" i="106" s="1"/>
  <c r="D3299" i="106" s="1"/>
  <c r="E77" i="4"/>
  <c r="B3277" i="106" s="1"/>
  <c r="D3277" i="106" s="1"/>
  <c r="B3274" i="106"/>
  <c r="D3274" i="106" s="1"/>
  <c r="B5527" i="106"/>
  <c r="D5527" i="106" s="1"/>
  <c r="E4" i="4"/>
  <c r="D19" i="7"/>
  <c r="B1775" i="106" s="1"/>
  <c r="D1775" i="106" s="1"/>
  <c r="B7222" i="106" l="1"/>
  <c r="D7222" i="106" s="1"/>
  <c r="F76" i="34"/>
  <c r="B7887" i="106" s="1"/>
  <c r="D7887" i="106" s="1"/>
  <c r="B5863" i="106"/>
  <c r="D5863" i="106" s="1"/>
  <c r="G267" i="5"/>
  <c r="D170" i="5"/>
  <c r="H367" i="29"/>
  <c r="B3660" i="106" s="1"/>
  <c r="D3660" i="106" s="1"/>
  <c r="K129" i="29"/>
  <c r="B6026" i="106"/>
  <c r="D6026" i="106" s="1"/>
  <c r="I268" i="5"/>
  <c r="B5946" i="106" s="1"/>
  <c r="D5946" i="106" s="1"/>
  <c r="I4" i="4"/>
  <c r="B3225" i="106" s="1"/>
  <c r="D3225" i="106" s="1"/>
  <c r="B5588" i="106"/>
  <c r="D5588" i="106" s="1"/>
  <c r="F4" i="4"/>
  <c r="F59" i="34"/>
  <c r="B7051" i="106"/>
  <c r="D7051" i="106" s="1"/>
  <c r="G170" i="5"/>
  <c r="B5770" i="106"/>
  <c r="D5770" i="106" s="1"/>
  <c r="D51" i="36"/>
  <c r="B6216" i="106"/>
  <c r="D6216" i="106" s="1"/>
  <c r="B3649" i="106"/>
  <c r="D3649" i="106" s="1"/>
  <c r="G367" i="29"/>
  <c r="B3650" i="106" s="1"/>
  <c r="D3650" i="106" s="1"/>
  <c r="K352" i="29"/>
  <c r="B3670" i="106"/>
  <c r="D3670" i="106" s="1"/>
  <c r="B1559" i="106"/>
  <c r="D1559" i="106" s="1"/>
  <c r="K312" i="29"/>
  <c r="B1560" i="106" s="1"/>
  <c r="D1560" i="106" s="1"/>
  <c r="H13" i="4"/>
  <c r="B6025" i="106"/>
  <c r="D6025" i="106" s="1"/>
  <c r="H4" i="4"/>
  <c r="B2655" i="106" s="1"/>
  <c r="D2655" i="106" s="1"/>
  <c r="K196" i="29"/>
  <c r="B2837" i="106"/>
  <c r="D2837" i="106" s="1"/>
  <c r="B1485" i="106"/>
  <c r="D1485" i="106" s="1"/>
  <c r="K279" i="29"/>
  <c r="I8" i="4"/>
  <c r="E8" i="146" s="1"/>
  <c r="E10" i="146" s="1"/>
  <c r="B5421" i="106"/>
  <c r="D5421" i="106" s="1"/>
  <c r="D6" i="4"/>
  <c r="B2566" i="106" s="1"/>
  <c r="D2566" i="106" s="1"/>
  <c r="B5719" i="106"/>
  <c r="D5719" i="106" s="1"/>
  <c r="F7" i="4"/>
  <c r="B2594" i="106" s="1"/>
  <c r="D2594" i="106" s="1"/>
  <c r="B7747" i="106"/>
  <c r="D7747" i="106" s="1"/>
  <c r="E267" i="5"/>
  <c r="H210" i="29"/>
  <c r="B1376" i="106" s="1"/>
  <c r="D1376" i="106" s="1"/>
  <c r="B2830" i="106"/>
  <c r="D2830" i="106" s="1"/>
  <c r="F151" i="29"/>
  <c r="B1250" i="106" s="1"/>
  <c r="D1250" i="106" s="1"/>
  <c r="B1249" i="106"/>
  <c r="D1249" i="106" s="1"/>
  <c r="H151" i="29"/>
  <c r="B1273" i="106" s="1"/>
  <c r="D1273" i="106" s="1"/>
  <c r="B1266" i="106"/>
  <c r="D1266" i="106" s="1"/>
  <c r="H268" i="5"/>
  <c r="B5644" i="106"/>
  <c r="D5644" i="106" s="1"/>
  <c r="F170" i="5"/>
  <c r="E210" i="29"/>
  <c r="B1353" i="106" s="1"/>
  <c r="D1353" i="106" s="1"/>
  <c r="F13" i="4"/>
  <c r="B2596" i="106" s="1"/>
  <c r="D2596" i="106" s="1"/>
  <c r="B1381" i="106"/>
  <c r="D1381" i="106" s="1"/>
  <c r="H15" i="4"/>
  <c r="B2660" i="106" s="1"/>
  <c r="D2660" i="106" s="1"/>
  <c r="B2102" i="106"/>
  <c r="D2102" i="106" s="1"/>
  <c r="B7220" i="106"/>
  <c r="D7220" i="106" s="1"/>
  <c r="F75" i="34"/>
  <c r="B7886" i="106" s="1"/>
  <c r="D7886" i="106" s="1"/>
  <c r="I367" i="29"/>
  <c r="B7244" i="106" s="1"/>
  <c r="D7244" i="106" s="1"/>
  <c r="B7234" i="106"/>
  <c r="D7234" i="106" s="1"/>
  <c r="K4" i="4"/>
  <c r="B3569" i="106" s="1"/>
  <c r="D3569" i="106" s="1"/>
  <c r="B6028" i="106"/>
  <c r="D6028" i="106" s="1"/>
  <c r="K268" i="5"/>
  <c r="B6023" i="106" s="1"/>
  <c r="D6023" i="106" s="1"/>
  <c r="B7224" i="106"/>
  <c r="D7224" i="106" s="1"/>
  <c r="F13" i="34"/>
  <c r="K139" i="29"/>
  <c r="K151" i="29" s="1"/>
  <c r="B2093" i="106"/>
  <c r="D2093" i="106" s="1"/>
  <c r="J114" i="29"/>
  <c r="B7021" i="106" s="1"/>
  <c r="D7021" i="106" s="1"/>
  <c r="B1151" i="106"/>
  <c r="D1151" i="106" s="1"/>
  <c r="K112" i="29"/>
  <c r="D41" i="108"/>
  <c r="E43" i="108" s="1"/>
  <c r="B1125" i="106"/>
  <c r="D1125" i="106" s="1"/>
  <c r="G24" i="108"/>
  <c r="E24" i="108"/>
  <c r="B93" i="106"/>
  <c r="D93" i="106" s="1"/>
  <c r="D44" i="36"/>
  <c r="B1281" i="106"/>
  <c r="D1281" i="106" s="1"/>
  <c r="D13" i="4"/>
  <c r="C114" i="29"/>
  <c r="B757" i="106" s="1"/>
  <c r="D757" i="106" s="1"/>
  <c r="F114" i="29"/>
  <c r="B931" i="106" s="1"/>
  <c r="D931" i="106" s="1"/>
  <c r="E6" i="4"/>
  <c r="B2631" i="106" s="1"/>
  <c r="D2631" i="106" s="1"/>
  <c r="B5544" i="106"/>
  <c r="D5544" i="106" s="1"/>
  <c r="G22" i="108"/>
  <c r="B1119" i="106"/>
  <c r="D1119" i="106" s="1"/>
  <c r="E22" i="108"/>
  <c r="I77" i="4"/>
  <c r="B3319" i="106" s="1"/>
  <c r="D3319" i="106" s="1"/>
  <c r="B3318" i="106"/>
  <c r="D3318" i="106" s="1"/>
  <c r="C267" i="5"/>
  <c r="B3718" i="106"/>
  <c r="D3718" i="106" s="1"/>
  <c r="K8" i="4"/>
  <c r="F175" i="34"/>
  <c r="B7877" i="106" s="1"/>
  <c r="D7877" i="106" s="1"/>
  <c r="B1474" i="106"/>
  <c r="D1474" i="106" s="1"/>
  <c r="K295" i="29"/>
  <c r="G12" i="4"/>
  <c r="E268" i="5"/>
  <c r="H12" i="184"/>
  <c r="E19" i="184"/>
  <c r="F41" i="108"/>
  <c r="G43" i="108" s="1"/>
  <c r="E23" i="108"/>
  <c r="B1122" i="106"/>
  <c r="D1122" i="106" s="1"/>
  <c r="G23" i="108"/>
  <c r="G151" i="29"/>
  <c r="B1258" i="106"/>
  <c r="D1258" i="106" s="1"/>
  <c r="B2088" i="106"/>
  <c r="D2088" i="106" s="1"/>
  <c r="K102" i="29"/>
  <c r="I114" i="29"/>
  <c r="B6977" i="106"/>
  <c r="D6977" i="106" s="1"/>
  <c r="B3674" i="106"/>
  <c r="D3674" i="106" s="1"/>
  <c r="K15" i="4"/>
  <c r="K367" i="29"/>
  <c r="B871" i="106"/>
  <c r="D871" i="106" s="1"/>
  <c r="E114" i="29"/>
  <c r="B873" i="106" s="1"/>
  <c r="D873" i="106" s="1"/>
  <c r="B1446" i="106"/>
  <c r="D1446" i="106" s="1"/>
  <c r="D295" i="29"/>
  <c r="B1448" i="106" s="1"/>
  <c r="D1448" i="106" s="1"/>
  <c r="G21" i="108"/>
  <c r="K74" i="29"/>
  <c r="K114" i="29" s="1"/>
  <c r="E21" i="108"/>
  <c r="B1115" i="106"/>
  <c r="D1115" i="106" s="1"/>
  <c r="C4" i="4"/>
  <c r="B5121" i="106"/>
  <c r="D5121" i="106" s="1"/>
  <c r="B1045" i="106"/>
  <c r="D1045" i="106" s="1"/>
  <c r="H114" i="29"/>
  <c r="B1054" i="106" s="1"/>
  <c r="D1054" i="106" s="1"/>
  <c r="K208" i="29"/>
  <c r="B4157" i="106"/>
  <c r="D4157" i="106" s="1"/>
  <c r="G114" i="29"/>
  <c r="D151" i="29"/>
  <c r="B1234" i="106" s="1"/>
  <c r="D1234" i="106" s="1"/>
  <c r="B1233" i="106"/>
  <c r="D1233" i="106" s="1"/>
  <c r="B7055" i="106"/>
  <c r="D7055" i="106" s="1"/>
  <c r="K343" i="29"/>
  <c r="B7225" i="106" s="1"/>
  <c r="D7225" i="106" s="1"/>
  <c r="B813" i="106"/>
  <c r="D813" i="106" s="1"/>
  <c r="D114" i="29"/>
  <c r="B815" i="106" s="1"/>
  <c r="D815" i="106" s="1"/>
  <c r="F74" i="34"/>
  <c r="B7790" i="106"/>
  <c r="D7790" i="106" s="1"/>
  <c r="J15" i="4"/>
  <c r="B7796" i="106" s="1"/>
  <c r="D7796" i="106" s="1"/>
  <c r="B1108" i="106"/>
  <c r="D1108" i="106" s="1"/>
  <c r="E19" i="108"/>
  <c r="C12" i="4"/>
  <c r="G19" i="108"/>
  <c r="G41" i="108" s="1"/>
  <c r="G44" i="108" s="1"/>
  <c r="B5915" i="106"/>
  <c r="D5915" i="106" s="1"/>
  <c r="H15" i="184"/>
  <c r="B7826" i="106"/>
  <c r="D7826" i="106" s="1"/>
  <c r="B7042" i="106"/>
  <c r="D7042" i="106" s="1"/>
  <c r="D268" i="5"/>
  <c r="B5356" i="106"/>
  <c r="D5356" i="106" s="1"/>
  <c r="D4" i="4"/>
  <c r="B2630" i="106"/>
  <c r="D2630" i="106" s="1"/>
  <c r="B2603" i="106"/>
  <c r="D2603" i="106" s="1"/>
  <c r="B1241" i="106"/>
  <c r="D1241" i="106" s="1"/>
  <c r="E151" i="29"/>
  <c r="B1242" i="106" s="1"/>
  <c r="D1242" i="106" s="1"/>
  <c r="K174" i="29"/>
  <c r="B1331" i="106"/>
  <c r="D1331" i="106" s="1"/>
  <c r="E16" i="4"/>
  <c r="B124" i="106"/>
  <c r="D124" i="106" s="1"/>
  <c r="D45" i="36"/>
  <c r="H8" i="4"/>
  <c r="B2656" i="106"/>
  <c r="D2656" i="106" s="1"/>
  <c r="C170" i="5"/>
  <c r="B5214" i="106"/>
  <c r="D5214" i="106" s="1"/>
  <c r="B6220" i="106"/>
  <c r="D6220" i="106" s="1"/>
  <c r="J8" i="4"/>
  <c r="I10" i="4" l="1"/>
  <c r="B4128" i="106" s="1"/>
  <c r="D4128" i="106" s="1"/>
  <c r="B3226" i="106"/>
  <c r="D3226" i="106" s="1"/>
  <c r="I20" i="4"/>
  <c r="K313" i="29"/>
  <c r="B1561" i="106" s="1"/>
  <c r="D1561" i="106" s="1"/>
  <c r="B5869" i="106"/>
  <c r="D5869" i="106" s="1"/>
  <c r="G7" i="4"/>
  <c r="B2605" i="106" s="1"/>
  <c r="D2605" i="106" s="1"/>
  <c r="H17" i="4"/>
  <c r="B2659" i="106"/>
  <c r="D2659" i="106" s="1"/>
  <c r="F6" i="4"/>
  <c r="B2593" i="106" s="1"/>
  <c r="D2593" i="106" s="1"/>
  <c r="B5653" i="106"/>
  <c r="D5653" i="106" s="1"/>
  <c r="G13" i="4"/>
  <c r="B2608" i="106" s="1"/>
  <c r="D2608" i="106" s="1"/>
  <c r="B1510" i="106"/>
  <c r="D1510" i="106" s="1"/>
  <c r="B5778" i="106"/>
  <c r="D5778" i="106" s="1"/>
  <c r="G6" i="4"/>
  <c r="G268" i="5"/>
  <c r="B5870" i="106" s="1"/>
  <c r="D5870" i="106" s="1"/>
  <c r="B4434" i="106"/>
  <c r="D4434" i="106" s="1"/>
  <c r="E7" i="4"/>
  <c r="K13" i="4"/>
  <c r="B3572" i="106" s="1"/>
  <c r="D3572" i="106" s="1"/>
  <c r="B3672" i="106"/>
  <c r="D3672" i="106" s="1"/>
  <c r="F15" i="4"/>
  <c r="B2598" i="106" s="1"/>
  <c r="D2598" i="106" s="1"/>
  <c r="F63" i="34"/>
  <c r="B1382" i="106"/>
  <c r="D1382" i="106" s="1"/>
  <c r="F268" i="5"/>
  <c r="B5720" i="106" s="1"/>
  <c r="D5720" i="106" s="1"/>
  <c r="F8" i="4"/>
  <c r="B2591" i="106"/>
  <c r="D2591" i="106" s="1"/>
  <c r="F9" i="34"/>
  <c r="B1288" i="106"/>
  <c r="D1288" i="106" s="1"/>
  <c r="F10" i="34"/>
  <c r="B1332" i="106"/>
  <c r="D1332" i="106" s="1"/>
  <c r="B5508" i="106"/>
  <c r="D5508" i="106" s="1"/>
  <c r="K152" i="29"/>
  <c r="B1289" i="106" s="1"/>
  <c r="D1289" i="106" s="1"/>
  <c r="J17" i="4"/>
  <c r="J20" i="4" s="1"/>
  <c r="B2556" i="106"/>
  <c r="D2556" i="106" s="1"/>
  <c r="B1387" i="106"/>
  <c r="D1387" i="106" s="1"/>
  <c r="F16" i="4"/>
  <c r="K210" i="29"/>
  <c r="B1143" i="106"/>
  <c r="D1143" i="106" s="1"/>
  <c r="C13" i="4"/>
  <c r="B2557" i="106" s="1"/>
  <c r="D2557" i="106" s="1"/>
  <c r="B2551" i="106"/>
  <c r="D2551" i="106" s="1"/>
  <c r="B1259" i="106"/>
  <c r="D1259" i="106" s="1"/>
  <c r="F58" i="34"/>
  <c r="B2607" i="106"/>
  <c r="D2607" i="106" s="1"/>
  <c r="G17" i="4"/>
  <c r="B2569" i="106"/>
  <c r="D2569" i="106" s="1"/>
  <c r="B3573" i="106"/>
  <c r="D3573" i="106" s="1"/>
  <c r="K17" i="4"/>
  <c r="K20" i="4" s="1"/>
  <c r="B1517" i="106"/>
  <c r="D1517" i="106" s="1"/>
  <c r="F12" i="34"/>
  <c r="B7019" i="106"/>
  <c r="D7019" i="106" s="1"/>
  <c r="C16" i="4"/>
  <c r="B2560" i="106" s="1"/>
  <c r="D2560" i="106" s="1"/>
  <c r="E41" i="108"/>
  <c r="E44" i="108" s="1"/>
  <c r="E45" i="108" s="1"/>
  <c r="K296" i="29"/>
  <c r="B1518" i="106" s="1"/>
  <c r="D1518" i="106" s="1"/>
  <c r="B5552" i="106"/>
  <c r="D5552" i="106" s="1"/>
  <c r="K175" i="29"/>
  <c r="B1333" i="106" s="1"/>
  <c r="D1333" i="106" s="1"/>
  <c r="B5223" i="106"/>
  <c r="D5223" i="106" s="1"/>
  <c r="C6" i="4"/>
  <c r="B2553" i="106" s="1"/>
  <c r="D2553" i="106" s="1"/>
  <c r="F8" i="34"/>
  <c r="B1152" i="106"/>
  <c r="D1152" i="106" s="1"/>
  <c r="B3227" i="106"/>
  <c r="D3227" i="106" s="1"/>
  <c r="I78" i="4"/>
  <c r="B3678" i="106"/>
  <c r="D3678" i="106" s="1"/>
  <c r="K368" i="29"/>
  <c r="B3681" i="106" s="1"/>
  <c r="D3681" i="106" s="1"/>
  <c r="B2658" i="106"/>
  <c r="D2658" i="106" s="1"/>
  <c r="H20" i="4"/>
  <c r="H10" i="4"/>
  <c r="B4127" i="106" s="1"/>
  <c r="D4127" i="106" s="1"/>
  <c r="B7020" i="106"/>
  <c r="D7020" i="106" s="1"/>
  <c r="F55" i="34"/>
  <c r="F17" i="11"/>
  <c r="G45" i="108"/>
  <c r="B3571" i="106"/>
  <c r="D3571" i="106" s="1"/>
  <c r="K10" i="4"/>
  <c r="B4130" i="106" s="1"/>
  <c r="D4130" i="106" s="1"/>
  <c r="B989" i="106"/>
  <c r="D989" i="106" s="1"/>
  <c r="F54" i="34"/>
  <c r="B6223" i="106"/>
  <c r="D6223" i="106" s="1"/>
  <c r="J10" i="4"/>
  <c r="B6225" i="106" s="1"/>
  <c r="D6225" i="106" s="1"/>
  <c r="B2634" i="106"/>
  <c r="D2634" i="106" s="1"/>
  <c r="E17" i="4"/>
  <c r="C268" i="5"/>
  <c r="C15" i="4"/>
  <c r="B2559" i="106" s="1"/>
  <c r="D2559" i="106" s="1"/>
  <c r="B1145" i="106"/>
  <c r="D1145" i="106" s="1"/>
  <c r="F53" i="34"/>
  <c r="D15" i="4"/>
  <c r="B2571" i="106" s="1"/>
  <c r="D2571" i="106" s="1"/>
  <c r="F57" i="34"/>
  <c r="B1282" i="106"/>
  <c r="D1282" i="106" s="1"/>
  <c r="B2564" i="106"/>
  <c r="D2564" i="106" s="1"/>
  <c r="D8" i="4"/>
  <c r="H19" i="184"/>
  <c r="L20" i="184" s="1"/>
  <c r="B5326" i="106"/>
  <c r="D5326" i="106" s="1"/>
  <c r="C7" i="4"/>
  <c r="B2604" i="106" l="1"/>
  <c r="D2604" i="106" s="1"/>
  <c r="G8" i="4"/>
  <c r="B4443" i="106"/>
  <c r="D4443" i="106" s="1"/>
  <c r="E8" i="4"/>
  <c r="D17" i="4"/>
  <c r="F10" i="4"/>
  <c r="B4125" i="106" s="1"/>
  <c r="D4125" i="106" s="1"/>
  <c r="D8" i="146"/>
  <c r="B2595" i="106"/>
  <c r="D2595" i="106" s="1"/>
  <c r="H19" i="4"/>
  <c r="B4141" i="106" s="1"/>
  <c r="D4141" i="106" s="1"/>
  <c r="B2661" i="106"/>
  <c r="D2661" i="106" s="1"/>
  <c r="B3576" i="106"/>
  <c r="D3576" i="106" s="1"/>
  <c r="K78" i="4"/>
  <c r="C9" i="146"/>
  <c r="B2573" i="106"/>
  <c r="D2573" i="106" s="1"/>
  <c r="D19" i="4"/>
  <c r="B4137" i="106" s="1"/>
  <c r="D4137" i="106" s="1"/>
  <c r="B2662" i="106"/>
  <c r="D2662" i="106" s="1"/>
  <c r="H78" i="4"/>
  <c r="B2599" i="106"/>
  <c r="D2599" i="106" s="1"/>
  <c r="F17" i="4"/>
  <c r="B3320" i="106"/>
  <c r="D3320" i="106" s="1"/>
  <c r="I81" i="4"/>
  <c r="B2554" i="106"/>
  <c r="D2554" i="106" s="1"/>
  <c r="D10" i="171"/>
  <c r="D19" i="171" s="1"/>
  <c r="D32" i="171" s="1"/>
  <c r="D49" i="171" s="1"/>
  <c r="F77" i="34"/>
  <c r="B7834" i="106" s="1"/>
  <c r="D7834" i="106" s="1"/>
  <c r="G19" i="4"/>
  <c r="B4140" i="106" s="1"/>
  <c r="D4140" i="106" s="1"/>
  <c r="B2612" i="106"/>
  <c r="D2612" i="106" s="1"/>
  <c r="F11" i="34"/>
  <c r="F14" i="34" s="1"/>
  <c r="B1388" i="106"/>
  <c r="D1388" i="106" s="1"/>
  <c r="K211" i="29"/>
  <c r="B1389" i="106" s="1"/>
  <c r="D1389" i="106" s="1"/>
  <c r="E19" i="4"/>
  <c r="B4138" i="106" s="1"/>
  <c r="D4138" i="106" s="1"/>
  <c r="B2635" i="106"/>
  <c r="D2635" i="106" s="1"/>
  <c r="J78" i="4"/>
  <c r="B6230" i="106"/>
  <c r="D6230" i="106" s="1"/>
  <c r="I17" i="11"/>
  <c r="B7624" i="106"/>
  <c r="D7624" i="106" s="1"/>
  <c r="K19" i="4"/>
  <c r="B4144" i="106" s="1"/>
  <c r="D4144" i="106" s="1"/>
  <c r="B3575" i="106"/>
  <c r="D3575" i="106" s="1"/>
  <c r="C8" i="4"/>
  <c r="C17" i="4"/>
  <c r="B2568" i="106"/>
  <c r="D2568" i="106" s="1"/>
  <c r="C8" i="146"/>
  <c r="D20" i="4"/>
  <c r="D10" i="4"/>
  <c r="B4123" i="106" s="1"/>
  <c r="D4123" i="106" s="1"/>
  <c r="B5327" i="106"/>
  <c r="D5327" i="106" s="1"/>
  <c r="K115" i="29"/>
  <c r="B1153" i="106" s="1"/>
  <c r="D1153" i="106" s="1"/>
  <c r="B6227" i="106"/>
  <c r="D6227" i="106" s="1"/>
  <c r="J19" i="4"/>
  <c r="B6229" i="106" s="1"/>
  <c r="D6229" i="106" s="1"/>
  <c r="B2632" i="106" l="1"/>
  <c r="D2632" i="106" s="1"/>
  <c r="E10" i="4"/>
  <c r="B4124" i="106" s="1"/>
  <c r="D4124" i="106" s="1"/>
  <c r="E20" i="4"/>
  <c r="G10" i="4"/>
  <c r="B4126" i="106" s="1"/>
  <c r="D4126" i="106" s="1"/>
  <c r="G20" i="4"/>
  <c r="B2606" i="106"/>
  <c r="D2606" i="106" s="1"/>
  <c r="B3300" i="106"/>
  <c r="D3300" i="106" s="1"/>
  <c r="H81" i="4"/>
  <c r="H18" i="118"/>
  <c r="C10" i="4"/>
  <c r="B4122" i="106" s="1"/>
  <c r="D4122" i="106" s="1"/>
  <c r="H13" i="118"/>
  <c r="B8" i="146"/>
  <c r="B2555" i="106"/>
  <c r="D2555" i="106" s="1"/>
  <c r="C20" i="4"/>
  <c r="D16" i="37"/>
  <c r="F78" i="34"/>
  <c r="B7822" i="106"/>
  <c r="B3323" i="106"/>
  <c r="D3323" i="106" s="1"/>
  <c r="I82" i="4"/>
  <c r="D63" i="36"/>
  <c r="E11" i="146"/>
  <c r="B2574" i="106"/>
  <c r="D2574" i="106" s="1"/>
  <c r="D78" i="4"/>
  <c r="B7625" i="106"/>
  <c r="D7625" i="106" s="1"/>
  <c r="I18" i="11"/>
  <c r="C10" i="146"/>
  <c r="B6263" i="106"/>
  <c r="D6263" i="106" s="1"/>
  <c r="J81" i="4"/>
  <c r="F16" i="37"/>
  <c r="B9" i="146"/>
  <c r="C19" i="4"/>
  <c r="B4136" i="106" s="1"/>
  <c r="D4136" i="106" s="1"/>
  <c r="B2561" i="106"/>
  <c r="D2561" i="106" s="1"/>
  <c r="H17" i="118"/>
  <c r="B2600" i="106"/>
  <c r="D2600" i="106" s="1"/>
  <c r="F19" i="4"/>
  <c r="B4139" i="106" s="1"/>
  <c r="D4139" i="106" s="1"/>
  <c r="D9" i="146"/>
  <c r="D10" i="146" s="1"/>
  <c r="F20" i="4"/>
  <c r="K81" i="4"/>
  <c r="B3588" i="106"/>
  <c r="D3588" i="106" s="1"/>
  <c r="G78" i="4" l="1"/>
  <c r="B2613" i="106"/>
  <c r="D2613" i="106" s="1"/>
  <c r="B2636" i="106"/>
  <c r="D2636" i="106" s="1"/>
  <c r="E78" i="4"/>
  <c r="F9" i="146"/>
  <c r="I83" i="4"/>
  <c r="B6282" i="106" s="1"/>
  <c r="D6282" i="106" s="1"/>
  <c r="B6273" i="106"/>
  <c r="D6273" i="106" s="1"/>
  <c r="F8" i="146"/>
  <c r="F10" i="146" s="1"/>
  <c r="B10" i="146"/>
  <c r="H25" i="118"/>
  <c r="K24" i="118" s="1"/>
  <c r="O23" i="118" s="1"/>
  <c r="O25" i="118" s="1"/>
  <c r="K17" i="118"/>
  <c r="B7631" i="106"/>
  <c r="D7631" i="106" s="1"/>
  <c r="F177" i="34"/>
  <c r="K82" i="4"/>
  <c r="B3591" i="106"/>
  <c r="D3591" i="106" s="1"/>
  <c r="D65" i="36"/>
  <c r="B7835" i="106"/>
  <c r="D7835" i="106" s="1"/>
  <c r="F80" i="34"/>
  <c r="B7837" i="106" s="1"/>
  <c r="D7837" i="106" s="1"/>
  <c r="F176" i="34"/>
  <c r="H82" i="4"/>
  <c r="B1700" i="106"/>
  <c r="D1700" i="106" s="1"/>
  <c r="D62" i="36"/>
  <c r="B2601" i="106"/>
  <c r="D2601" i="106" s="1"/>
  <c r="F78" i="4"/>
  <c r="D81" i="4"/>
  <c r="B3239" i="106"/>
  <c r="D3239" i="106" s="1"/>
  <c r="H16" i="37"/>
  <c r="J82" i="4"/>
  <c r="B6266" i="106"/>
  <c r="D6266" i="106" s="1"/>
  <c r="D64" i="36"/>
  <c r="B2562" i="106"/>
  <c r="D2562" i="106" s="1"/>
  <c r="C78" i="4"/>
  <c r="B3262" i="106" l="1"/>
  <c r="D3262" i="106" s="1"/>
  <c r="G81" i="4"/>
  <c r="B3278" i="106"/>
  <c r="D3278" i="106" s="1"/>
  <c r="E81" i="4"/>
  <c r="D82" i="4"/>
  <c r="C11" i="146"/>
  <c r="B1644" i="106"/>
  <c r="D1644" i="106" s="1"/>
  <c r="D58" i="36"/>
  <c r="C81" i="4"/>
  <c r="B3233" i="106"/>
  <c r="D3233" i="106" s="1"/>
  <c r="B3256" i="106"/>
  <c r="D3256" i="106" s="1"/>
  <c r="F81" i="4"/>
  <c r="F178" i="34"/>
  <c r="B7878" i="106"/>
  <c r="D7878" i="106" s="1"/>
  <c r="B6275" i="106"/>
  <c r="D6275" i="106" s="1"/>
  <c r="K83" i="4"/>
  <c r="B6284" i="106" s="1"/>
  <c r="D6284" i="106" s="1"/>
  <c r="J83" i="4"/>
  <c r="B6283" i="106" s="1"/>
  <c r="D6283" i="106" s="1"/>
  <c r="B6274" i="106"/>
  <c r="D6274" i="106" s="1"/>
  <c r="H83" i="4"/>
  <c r="B6281" i="106" s="1"/>
  <c r="D6281" i="106" s="1"/>
  <c r="B6272" i="106"/>
  <c r="D6272" i="106" s="1"/>
  <c r="O16" i="118"/>
  <c r="D59" i="36" l="1"/>
  <c r="E82" i="4"/>
  <c r="B1658" i="106"/>
  <c r="D1658" i="106" s="1"/>
  <c r="D61" i="36"/>
  <c r="G82" i="4"/>
  <c r="B1686" i="106"/>
  <c r="D1686" i="106" s="1"/>
  <c r="H12" i="118"/>
  <c r="K12" i="118" s="1"/>
  <c r="B1630" i="106"/>
  <c r="D1630" i="106" s="1"/>
  <c r="B11" i="146"/>
  <c r="C82" i="4"/>
  <c r="J16" i="37"/>
  <c r="B4269" i="106" s="1"/>
  <c r="D4269" i="106" s="1"/>
  <c r="D57" i="36"/>
  <c r="F180" i="34"/>
  <c r="B7880" i="106" s="1"/>
  <c r="D7880" i="106" s="1"/>
  <c r="B7879" i="106"/>
  <c r="D7879" i="106" s="1"/>
  <c r="B1672" i="106"/>
  <c r="D1672" i="106" s="1"/>
  <c r="F82" i="4"/>
  <c r="D11" i="146"/>
  <c r="D60" i="36"/>
  <c r="D83" i="4"/>
  <c r="B6277" i="106" s="1"/>
  <c r="D6277" i="106" s="1"/>
  <c r="B6268" i="106"/>
  <c r="D6268" i="106" s="1"/>
  <c r="G83" i="4" l="1"/>
  <c r="B6280" i="106" s="1"/>
  <c r="D6280" i="106" s="1"/>
  <c r="B6271" i="106"/>
  <c r="D6271" i="106" s="1"/>
  <c r="B6269" i="106"/>
  <c r="D6269" i="106" s="1"/>
  <c r="E83" i="4"/>
  <c r="B6278" i="106" s="1"/>
  <c r="D6278" i="106" s="1"/>
  <c r="B6267" i="106"/>
  <c r="D6267" i="106" s="1"/>
  <c r="C83" i="4"/>
  <c r="B6276" i="106" s="1"/>
  <c r="D6276" i="106" s="1"/>
  <c r="F11" i="146"/>
  <c r="F83" i="4"/>
  <c r="B6279" i="106" s="1"/>
  <c r="D6279" i="106" s="1"/>
  <c r="B6270" i="106"/>
  <c r="D6270" i="106" s="1"/>
  <c r="O11" i="118"/>
  <c r="O13" i="118" s="1"/>
  <c r="J20" i="118"/>
  <c r="O17" i="118" l="1"/>
  <c r="O20" i="118" s="1"/>
  <c r="O35" i="118" s="1"/>
  <c r="O37" i="118" s="1"/>
  <c r="K20" i="118"/>
  <c r="C12" i="146"/>
  <c r="D29" i="36"/>
  <c r="J24"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<sst xmlns="http://schemas.openxmlformats.org/spreadsheetml/2006/main" count="5160" uniqueCount="2092">
  <si>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</si>
  <si>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</si>
  <si>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</si>
  <si>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</si>
  <si>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</si>
  <si>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</si>
  <si>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</si>
  <si>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</si>
  <si>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</si>
  <si>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</si>
  <si>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</si>
  <si>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</si>
  <si>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</si>
  <si>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</si>
  <si>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</si>
  <si>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</si>
  <si>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</si>
  <si>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</si>
  <si>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</si>
  <si>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</si>
  <si>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</si>
  <si>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</si>
  <si>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</si>
  <si>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</si>
  <si>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</si>
  <si>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</si>
  <si>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</si>
  <si>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</si>
  <si>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</si>
  <si>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</si>
  <si>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</si>
  <si>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</si>
  <si>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</si>
  <si>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</si>
  <si>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</si>
  <si>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</si>
  <si>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</si>
  <si>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</si>
  <si>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</si>
  <si>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</si>
  <si>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</si>
  <si>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</si>
  <si>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</si>
  <si>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</si>
  <si>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</si>
  <si>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</si>
  <si>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</si>
  <si>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</si>
  <si>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</si>
  <si>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</si>
  <si>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</si>
  <si>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</si>
  <si>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</si>
  <si>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</si>
  <si>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</si>
  <si>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</si>
  <si>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</si>
  <si>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</si>
  <si>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</si>
  <si>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</si>
  <si>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</si>
  <si>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</si>
  <si>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</si>
  <si>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</si>
  <si>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</si>
  <si>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</si>
  <si>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</si>
  <si>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</si>
  <si>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</si>
  <si>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</si>
  <si>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</si>
  <si>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</si>
  <si>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</si>
  <si>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</si>
  <si>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</si>
  <si>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</si>
  <si>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</si>
  <si>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</si>
  <si>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</si>
  <si>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</si>
  <si>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</si>
  <si>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</si>
  <si>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</si>
  <si>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</si>
  <si>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</si>
  <si>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</si>
  <si>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</si>
  <si>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</si>
  <si>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</si>
  <si>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</si>
  <si>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</si>
  <si>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</si>
  <si>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</si>
  <si>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</si>
  <si>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</si>
  <si>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</si>
  <si>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</si>
  <si>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</si>
  <si>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</si>
  <si>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</si>
  <si>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</si>
  <si>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</si>
  <si>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</si>
  <si>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</si>
  <si>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</si>
  <si>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</si>
  <si>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</si>
  <si>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</si>
  <si>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</si>
  <si>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</si>
  <si>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</si>
  <si>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</si>
  <si>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</si>
  <si>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</si>
  <si>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</si>
  <si>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</si>
  <si>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</si>
  <si>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</si>
  <si>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</si>
  <si>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</si>
  <si>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</si>
  <si>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</si>
  <si>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</si>
  <si>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</si>
  <si>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</si>
  <si>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</si>
  <si>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</si>
  <si>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</si>
  <si>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</si>
  <si>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</si>
  <si>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</si>
  <si>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</si>
  <si>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</si>
  <si>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</si>
  <si>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</si>
  <si>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</si>
  <si>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</si>
  <si>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</si>
  <si>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</si>
  <si>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</si>
  <si>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</si>
  <si>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</si>
  <si>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</si>
  <si>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</si>
  <si>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</si>
  <si>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</si>
  <si>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</si>
  <si>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</si>
  <si>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</si>
  <si>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</si>
  <si>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</si>
  <si>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</si>
  <si>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</si>
  <si>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</si>
  <si>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</si>
  <si>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</si>
  <si>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</si>
  <si>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</si>
  <si>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</si>
  <si>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</si>
  <si>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</si>
  <si>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</si>
  <si>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</si>
  <si>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</si>
  <si>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</si>
  <si>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</si>
  <si>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</si>
  <si>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</si>
  <si>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</si>
  <si>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</si>
  <si>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</si>
  <si>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</si>
  <si>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</si>
  <si>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</si>
  <si>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</si>
  <si>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</si>
  <si>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</si>
  <si>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</si>
  <si>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</si>
  <si>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</si>
  <si>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</si>
  <si>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</si>
  <si>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</si>
  <si>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</si>
  <si>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</si>
  <si>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</si>
  <si>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</si>
  <si>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</si>
  <si>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</si>
  <si>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</si>
  <si>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</si>
  <si>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</si>
  <si>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</si>
  <si>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</si>
  <si>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</si>
  <si>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</si>
  <si>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</si>
  <si>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</si>
  <si>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</si>
  <si>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</si>
  <si>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</si>
  <si>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</si>
  <si>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</si>
  <si>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</si>
  <si>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</si>
  <si>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</si>
  <si>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</si>
  <si>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</si>
  <si>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</si>
  <si>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</si>
  <si>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</si>
  <si>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</si>
  <si>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</si>
  <si>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</si>
  <si>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</si>
  <si>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</si>
  <si>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</si>
  <si>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</si>
  <si>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</si>
  <si>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</si>
  <si>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</si>
  <si>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</si>
  <si>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</si>
  <si>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</si>
  <si>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</si>
  <si>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</si>
  <si>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</si>
  <si>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</si>
  <si>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</si>
  <si>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</si>
  <si>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</si>
  <si>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</si>
  <si>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</si>
  <si>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</si>
  <si>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</si>
  <si>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</si>
  <si>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</si>
  <si>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</si>
  <si>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</si>
  <si>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</si>
  <si>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</si>
  <si>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</si>
  <si>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</si>
  <si>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</si>
  <si>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</si>
  <si>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</si>
  <si>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</si>
  <si>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</si>
  <si>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</si>
  <si>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</si>
  <si>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</si>
  <si>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</si>
  <si>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</si>
  <si>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</si>
  <si>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</si>
  <si>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</si>
  <si>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</si>
  <si>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</si>
  <si>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</si>
  <si>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</si>
  <si>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</si>
  <si>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</si>
  <si>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</si>
  <si>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</si>
  <si>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</si>
  <si>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</si>
  <si>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</si>
  <si>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</si>
  <si>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</si>
  <si>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</si>
  <si>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</si>
  <si>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</si>
  <si>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</si>
  <si>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</si>
  <si>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</si>
  <si>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</si>
  <si>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</si>
  <si>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</si>
  <si>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</si>
  <si>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</si>
  <si>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</si>
  <si>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</si>
  <si>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</si>
  <si>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</si>
  <si>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</si>
  <si>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</si>
  <si>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</si>
  <si>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</si>
  <si>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</si>
  <si>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</si>
  <si>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</si>
  <si>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</si>
  <si>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</si>
  <si>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</si>
  <si>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</si>
  <si>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</si>
  <si>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</si>
  <si>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</si>
  <si>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</si>
  <si>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</si>
  <si>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</si>
  <si>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</si>
  <si>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</si>
  <si>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</si>
  <si>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</si>
  <si>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</si>
  <si>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</si>
  <si>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</si>
  <si>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</si>
  <si>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</si>
  <si>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</si>
  <si>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</si>
  <si>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</si>
  <si>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</si>
  <si>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</si>
  <si>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</si>
  <si>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</si>
  <si>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</si>
  <si>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</si>
  <si>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</si>
  <si>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</si>
  <si>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</si>
  <si>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</si>
  <si>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</si>
  <si>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</si>
  <si>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</si>
  <si>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</si>
  <si>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</si>
  <si>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</si>
  <si>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</si>
  <si>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</si>
  <si>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</si>
  <si>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</si>
  <si>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</si>
  <si>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</si>
  <si>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</si>
  <si>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</si>
  <si>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</si>
  <si>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</si>
  <si>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</si>
  <si>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</si>
  <si>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</si>
  <si>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</si>
  <si>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</si>
  <si>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</si>
  <si>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</si>
  <si>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</si>
  <si>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</si>
  <si>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</si>
  <si>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</si>
  <si>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</si>
  <si>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</si>
  <si>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</si>
  <si>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</si>
  <si>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</si>
  <si>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</si>
  <si>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</si>
  <si>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</si>
  <si>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</si>
  <si>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</si>
  <si>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</si>
  <si>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</si>
  <si>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</si>
  <si>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</si>
  <si>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</si>
  <si>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</si>
  <si>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</si>
  <si>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</si>
  <si>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</si>
  <si>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</si>
  <si>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</si>
  <si>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</si>
  <si>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</si>
  <si>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</si>
  <si>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</si>
  <si>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</si>
  <si>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</si>
  <si>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</si>
  <si>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</si>
  <si>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</si>
  <si>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</si>
  <si>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</si>
  <si>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</si>
  <si>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</si>
  <si>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</si>
  <si>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</si>
  <si>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</si>
  <si>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</si>
  <si>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</si>
  <si>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</si>
  <si>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</si>
  <si>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</si>
  <si>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</si>
  <si>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</si>
  <si>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</si>
  <si>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</si>
  <si>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</si>
  <si>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</si>
  <si>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</si>
  <si>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</si>
  <si>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</si>
  <si>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</si>
  <si>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</si>
  <si>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</si>
  <si>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</si>
  <si>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</si>
  <si>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</si>
  <si>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</si>
  <si>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</si>
  <si>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</si>
  <si>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</si>
  <si>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</si>
  <si>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</si>
  <si>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</si>
  <si>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</si>
  <si>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</si>
  <si>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</si>
  <si>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</si>
  <si>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</si>
  <si>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</si>
  <si>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</si>
  <si>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</si>
  <si>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</si>
  <si>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</si>
  <si>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</si>
  <si>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</si>
  <si>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</si>
  <si>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</si>
  <si>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</si>
  <si>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</si>
  <si>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</si>
  <si>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</si>
  <si>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</si>
  <si>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</si>
  <si>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</si>
  <si>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</si>
  <si>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</si>
  <si>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</si>
  <si>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</si>
  <si>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</si>
  <si>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</si>
  <si>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</si>
  <si>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</si>
  <si>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</si>
  <si>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</si>
  <si>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</si>
  <si>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</si>
  <si>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</si>
  <si>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</si>
  <si>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</si>
  <si>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</si>
  <si>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</si>
  <si>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</si>
  <si>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</si>
  <si>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</si>
  <si>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</si>
  <si>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</si>
  <si>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</si>
  <si>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</si>
  <si>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</si>
  <si>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</si>
  <si>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</si>
  <si>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</si>
  <si>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</si>
  <si>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</si>
  <si>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</si>
  <si>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</si>
  <si>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</si>
  <si>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</si>
  <si>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</si>
  <si>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</si>
  <si>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</si>
  <si>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</si>
  <si>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</si>
  <si>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</si>
  <si>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</si>
  <si>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</si>
  <si>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</si>
  <si>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</si>
  <si>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</si>
  <si>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</si>
  <si>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</si>
  <si>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</si>
  <si>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</si>
  <si>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</si>
  <si>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</si>
  <si>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</si>
  <si>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</si>
  <si>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</si>
  <si>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</si>
  <si>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</si>
  <si>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</si>
  <si>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</si>
  <si>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</si>
  <si>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</si>
  <si>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</si>
  <si>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</si>
  <si>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</si>
  <si>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</si>
  <si>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</si>
  <si>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</si>
  <si>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</si>
  <si>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</si>
  <si>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</si>
  <si>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</si>
  <si>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</si>
  <si>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</si>
  <si>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</si>
  <si>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</si>
  <si>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</si>
  <si>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</si>
  <si>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</si>
  <si>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</si>
  <si>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</si>
  <si>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</si>
  <si>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</si>
  <si>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</si>
  <si>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</si>
  <si>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</si>
  <si>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</si>
  <si>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</si>
  <si>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</si>
  <si>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</si>
  <si>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</si>
  <si>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</si>
  <si>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</si>
  <si>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</si>
  <si>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</si>
  <si>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</si>
  <si>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</si>
  <si>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</si>
  <si>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</si>
  <si>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</si>
  <si>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</si>
  <si>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</si>
  <si>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</si>
  <si>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</si>
  <si>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</si>
  <si>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</si>
  <si>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</si>
  <si>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</si>
  <si>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</si>
  <si>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</si>
  <si>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</si>
  <si>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</si>
  <si>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</si>
  <si>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</si>
  <si>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</si>
  <si>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</si>
  <si>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</si>
  <si>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</si>
  <si>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</si>
  <si>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</si>
  <si>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</si>
  <si>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</si>
  <si>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</si>
  <si>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</si>
  <si>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</si>
  <si>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</si>
  <si>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</si>
  <si>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</si>
  <si>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</si>
  <si>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</si>
  <si>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</si>
  <si>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</si>
  <si>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</si>
  <si>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</si>
  <si>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</si>
  <si>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</si>
  <si>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</si>
  <si>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</si>
  <si>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</si>
  <si>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</si>
  <si>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</si>
  <si>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</si>
  <si>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</si>
  <si>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</si>
  <si>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</si>
  <si>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</si>
  <si>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</si>
  <si>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</si>
  <si>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</si>
  <si>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</si>
  <si>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</si>
  <si>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</si>
  <si>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</si>
  <si>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</si>
  <si>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</si>
  <si>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</si>
  <si>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</si>
  <si>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</si>
  <si>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</si>
  <si>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</si>
  <si>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</si>
  <si>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</si>
  <si>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</si>
  <si>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</si>
  <si>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</si>
  <si>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</si>
  <si>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</si>
  <si>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</si>
  <si>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</si>
  <si>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</si>
  <si>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</si>
  <si>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</si>
  <si>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</si>
  <si>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</si>
  <si>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</si>
  <si>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</si>
  <si>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</si>
  <si>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</si>
  <si>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</si>
  <si>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</si>
  <si>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</si>
  <si>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</si>
  <si>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</si>
  <si>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</si>
  <si>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</si>
  <si>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</si>
  <si>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</si>
  <si>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</si>
  <si>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</si>
  <si>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</si>
  <si>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</si>
  <si>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</si>
  <si>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</si>
  <si>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</si>
  <si>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</si>
  <si>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</si>
  <si>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</si>
  <si>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</si>
  <si>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</si>
  <si>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</si>
  <si>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</si>
  <si>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</si>
  <si>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</si>
  <si>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</si>
  <si>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</si>
  <si>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</si>
  <si>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</si>
  <si>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</si>
  <si>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</si>
  <si>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</si>
  <si>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</si>
  <si>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</si>
  <si>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</si>
  <si>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</si>
  <si>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</si>
  <si>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</si>
  <si>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</si>
  <si>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</si>
  <si>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</si>
  <si>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</si>
  <si>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</si>
  <si>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</si>
  <si>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</si>
  <si>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</si>
  <si>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</si>
  <si>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</si>
  <si>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</si>
  <si>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</si>
  <si>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</si>
  <si>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</si>
  <si>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</si>
  <si>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</si>
  <si>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</si>
  <si>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</si>
  <si>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</si>
  <si>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</si>
  <si>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</si>
  <si>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</si>
  <si>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</si>
  <si>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</si>
  <si>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</si>
  <si>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</si>
  <si>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</si>
  <si>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</si>
  <si>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</si>
  <si>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</si>
  <si>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</si>
  <si>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</si>
  <si>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</si>
  <si>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</si>
  <si>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</si>
  <si>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</si>
  <si>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</si>
  <si>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</si>
  <si>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</si>
  <si>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</si>
  <si>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</si>
  <si>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</si>
  <si>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</si>
  <si>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</si>
  <si>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</si>
  <si>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</si>
  <si>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</si>
  <si>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</si>
  <si>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</si>
  <si>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</si>
  <si>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</si>
  <si>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</si>
  <si>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</si>
  <si>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</si>
  <si>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</si>
  <si>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</si>
  <si>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</si>
  <si>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</si>
  <si>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</si>
  <si>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</si>
  <si>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</si>
  <si>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</si>
  <si>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</si>
  <si>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</si>
  <si>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</si>
  <si>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</si>
  <si>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</si>
  <si>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</si>
  <si>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</si>
  <si>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</si>
  <si>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</si>
  <si>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</si>
  <si>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</si>
  <si>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</si>
  <si>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</si>
  <si>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</si>
  <si>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</si>
  <si>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</si>
  <si>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</si>
  <si>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</si>
  <si>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</si>
  <si>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</si>
  <si>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</si>
  <si>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</si>
  <si>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</si>
  <si>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</si>
  <si>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</si>
  <si>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</si>
  <si>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</si>
  <si>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</si>
  <si>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</si>
  <si>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</si>
  <si>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</si>
  <si>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</si>
  <si>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</si>
  <si>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</si>
  <si>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</si>
  <si>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</si>
  <si>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</si>
  <si>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</si>
  <si>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</si>
  <si>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</si>
  <si>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</si>
  <si>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</si>
  <si>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</si>
  <si>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</si>
  <si>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</si>
  <si>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</si>
  <si>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</si>
  <si>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</si>
  <si>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</si>
  <si>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</si>
  <si>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</si>
  <si>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</si>
  <si>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</si>
  <si>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</si>
  <si>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</si>
  <si>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</si>
  <si>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</si>
  <si>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</si>
  <si>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</si>
  <si>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</si>
  <si>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</si>
  <si>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</si>
  <si>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</si>
  <si>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</si>
  <si>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</si>
  <si>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</si>
  <si>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</si>
  <si>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</si>
  <si>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</si>
  <si>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</si>
  <si>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</si>
  <si>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</si>
  <si>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</si>
  <si>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</si>
  <si>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</si>
  <si>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</si>
  <si>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</si>
  <si>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</si>
  <si>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</si>
  <si>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</si>
  <si>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</si>
  <si>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</si>
  <si>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</si>
  <si>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</si>
  <si>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</si>
  <si>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</si>
  <si>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</si>
  <si>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</si>
  <si>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</si>
  <si>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</si>
  <si>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</si>
  <si>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</si>
  <si>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</si>
  <si>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</si>
  <si>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</si>
  <si>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</si>
  <si>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</si>
  <si>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</si>
  <si>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</si>
  <si>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</si>
  <si>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</si>
  <si>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</si>
  <si>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</si>
  <si>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</si>
  <si>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</si>
  <si>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</si>
  <si>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</si>
  <si>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</si>
  <si>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</si>
  <si>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</si>
  <si>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</si>
  <si>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</si>
  <si>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</si>
  <si>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</si>
  <si>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</si>
  <si>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</si>
  <si>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</si>
  <si>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</si>
  <si>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</si>
  <si>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</si>
  <si>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</si>
  <si>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</si>
  <si>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</si>
  <si>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</si>
  <si>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</si>
  <si>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</si>
  <si>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</si>
  <si>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</si>
  <si>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</si>
  <si>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</si>
  <si>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</si>
  <si>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</si>
  <si>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</si>
  <si>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</si>
  <si>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</si>
  <si>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</si>
  <si>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</si>
  <si>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</si>
  <si>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</si>
  <si>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</si>
  <si>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</si>
  <si>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</si>
  <si>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</si>
  <si>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</si>
  <si>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</si>
  <si>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</si>
  <si>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</si>
  <si>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</si>
  <si>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</si>
  <si>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</si>
  <si>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</si>
  <si>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</si>
  <si>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</si>
  <si>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</si>
  <si>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</si>
  <si>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</si>
  <si>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</si>
  <si>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</si>
  <si>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</si>
  <si>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</si>
  <si>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</si>
  <si>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</si>
  <si>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</si>
  <si>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</si>
  <si>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</si>
  <si>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</si>
  <si>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</si>
  <si>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</si>
  <si>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</si>
  <si>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</si>
  <si>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</si>
  <si>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</si>
  <si>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</si>
  <si>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</si>
  <si>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</si>
  <si>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</si>
  <si>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</si>
  <si>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</si>
  <si>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</si>
  <si>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</si>
  <si>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</si>
  <si>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</si>
  <si>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</si>
  <si>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</si>
  <si>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</si>
  <si>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</si>
  <si>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</si>
  <si>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</si>
  <si>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</si>
  <si>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</si>
  <si>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</si>
  <si>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</si>
  <si>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</si>
  <si>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</si>
  <si>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</si>
  <si>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</si>
  <si>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</si>
  <si>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</si>
  <si>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</si>
  <si>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</si>
  <si>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</si>
  <si>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</si>
  <si>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</si>
  <si>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</si>
  <si>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</si>
  <si>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</si>
  <si>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</si>
  <si>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</si>
  <si>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</si>
  <si>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</si>
  <si>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</si>
  <si>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</si>
  <si>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</si>
  <si>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</si>
  <si>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</si>
  <si>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</si>
  <si>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</si>
  <si>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</si>
  <si>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</si>
  <si>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</si>
  <si>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</si>
  <si>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</si>
  <si>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</si>
  <si>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</si>
  <si>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</si>
  <si>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</si>
  <si>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</si>
  <si>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</si>
  <si>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</si>
  <si>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</si>
  <si>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</si>
  <si>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</si>
  <si>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</si>
  <si>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</si>
  <si>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</si>
  <si>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</si>
  <si>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</si>
  <si>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</si>
  <si>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</si>
  <si>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</si>
  <si>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</si>
  <si>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</si>
  <si>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</si>
  <si>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</si>
  <si>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</si>
  <si>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</si>
  <si>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</si>
  <si>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</si>
  <si>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</si>
  <si>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</si>
  <si>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</si>
  <si>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</si>
  <si>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</si>
  <si>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</si>
  <si>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</si>
  <si>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</si>
  <si>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</si>
  <si>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</si>
  <si>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</si>
  <si>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</si>
  <si>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</si>
  <si>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</si>
  <si>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</si>
  <si>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</si>
  <si>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</si>
  <si>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</si>
  <si>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</si>
  <si>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</si>
  <si>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</si>
  <si>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</si>
  <si>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</si>
  <si>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</si>
  <si>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</si>
  <si>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</si>
  <si>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</si>
  <si>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</si>
  <si>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</si>
  <si>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</si>
  <si>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</si>
  <si>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</si>
  <si>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</si>
  <si>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</si>
  <si>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</si>
  <si>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</si>
  <si>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</si>
  <si>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</si>
  <si>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</si>
  <si>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</si>
  <si>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</si>
  <si>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</si>
  <si>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</si>
  <si>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</si>
  <si>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</si>
  <si>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</si>
  <si>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</si>
  <si>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</si>
  <si>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</si>
  <si>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</si>
  <si>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</si>
  <si>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</si>
  <si>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</si>
  <si>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</si>
  <si>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</si>
  <si>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</si>
  <si>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</si>
  <si>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</si>
  <si>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</si>
  <si>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</si>
  <si>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</si>
  <si>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</si>
  <si>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</si>
  <si>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</si>
  <si>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</si>
  <si>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</si>
  <si>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</si>
  <si>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</si>
  <si>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</si>
  <si>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</si>
  <si>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</si>
  <si>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</si>
  <si>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</si>
  <si>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</si>
  <si>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</si>
  <si>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</si>
  <si>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</si>
  <si>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</si>
  <si>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</si>
  <si>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</si>
  <si>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</si>
  <si>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</si>
  <si>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</si>
  <si>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</si>
  <si>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</si>
  <si>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</si>
  <si>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</si>
  <si>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</si>
  <si>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</si>
  <si>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</si>
  <si>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</si>
  <si>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</si>
  <si>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</si>
  <si>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</si>
  <si>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</si>
  <si>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</si>
  <si>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</si>
  <si>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</si>
  <si>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</si>
  <si>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</si>
  <si>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</si>
  <si>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</si>
  <si>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</si>
  <si>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</si>
  <si>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</si>
  <si>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</si>
  <si>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</si>
  <si>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</si>
  <si>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</si>
  <si>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</si>
  <si>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</si>
  <si>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</si>
  <si>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</si>
  <si>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</si>
  <si>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</si>
  <si>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</si>
  <si>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</si>
  <si>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</si>
  <si>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</si>
  <si>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</si>
  <si>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</si>
  <si>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</si>
  <si>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</si>
  <si>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</si>
  <si>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</si>
  <si>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</si>
  <si>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</si>
  <si>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</si>
  <si>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</si>
  <si>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</si>
  <si>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</si>
  <si>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</si>
  <si>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</si>
  <si>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</si>
  <si>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</si>
  <si>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</si>
  <si>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</si>
  <si>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</si>
  <si>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</si>
  <si>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</si>
  <si>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</si>
  <si>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</si>
  <si>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</si>
  <si>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</si>
  <si>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</si>
  <si>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</si>
  <si>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</si>
  <si>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</si>
  <si>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</si>
  <si>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</si>
  <si>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</si>
  <si>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</si>
  <si>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</si>
  <si>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</si>
  <si>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</si>
  <si>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</si>
  <si>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</si>
  <si>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</si>
  <si>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</si>
  <si>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</si>
  <si>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</si>
  <si>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</si>
  <si>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</si>
  <si>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</si>
  <si>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</si>
  <si>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</si>
  <si>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</si>
  <si>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</si>
  <si>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</si>
  <si>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</si>
  <si>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</si>
  <si>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</si>
  <si>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</si>
  <si>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</si>
  <si>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</si>
  <si>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</si>
  <si>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</si>
  <si>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</si>
  <si>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</si>
  <si>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</si>
  <si>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</si>
  <si>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</si>
  <si>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</si>
  <si>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</si>
  <si>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</si>
  <si>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</si>
  <si>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</si>
  <si>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</si>
  <si>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</si>
  <si>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</si>
  <si>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</si>
  <si>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</si>
  <si>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</si>
  <si>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</si>
  <si>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</si>
  <si>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</si>
  <si>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</si>
  <si>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</si>
  <si>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</si>
  <si>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</si>
  <si>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</si>
  <si>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</si>
  <si>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</si>
  <si>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</si>
  <si>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</si>
  <si>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</si>
  <si>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</si>
  <si>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</si>
  <si>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</si>
  <si>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</si>
  <si>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</si>
  <si>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</si>
  <si>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</si>
  <si>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</si>
  <si>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</si>
  <si>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</si>
  <si>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</si>
  <si>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</si>
  <si>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</si>
  <si>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</si>
  <si>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</si>
  <si>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</si>
  <si>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</si>
  <si>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</si>
  <si>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</si>
  <si>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</si>
  <si>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</si>
  <si>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</si>
  <si>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</si>
  <si>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</si>
  <si>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</si>
  <si>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</si>
  <si>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</si>
  <si>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</si>
  <si>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</si>
  <si>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</si>
  <si>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</si>
  <si>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</si>
  <si>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</si>
  <si>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</si>
  <si>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</si>
  <si>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</si>
  <si>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</si>
  <si>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</si>
  <si>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</si>
  <si>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</si>
  <si>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</si>
  <si>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</si>
  <si>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</si>
  <si>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</si>
  <si>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</si>
  <si>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</si>
  <si>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</si>
  <si>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</si>
  <si>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</si>
  <si>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</si>
  <si>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</si>
  <si>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</si>
  <si>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</si>
  <si>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</si>
  <si>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</si>
  <si>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</si>
  <si>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</si>
  <si>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</si>
  <si>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</si>
  <si>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</si>
  <si>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</si>
  <si>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</si>
  <si>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</si>
  <si>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</si>
  <si>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</si>
  <si>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</si>
  <si>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</si>
  <si>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</si>
  <si>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</si>
  <si>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</si>
  <si>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</si>
  <si>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</si>
  <si>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</si>
  <si>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</si>
  <si>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</si>
  <si>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</si>
  <si>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</si>
  <si>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</si>
  <si>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</si>
  <si>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</si>
  <si>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</si>
  <si>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</si>
  <si>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</si>
  <si>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</si>
  <si>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</si>
  <si>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</si>
  <si>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</si>
  <si>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</si>
  <si>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</si>
  <si>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</si>
  <si>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</si>
  <si>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</si>
  <si>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</si>
  <si>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</si>
  <si>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</si>
  <si>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</si>
  <si>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</si>
  <si>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</si>
  <si>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</si>
  <si>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</si>
  <si>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</si>
  <si>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</si>
  <si>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</si>
  <si>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</si>
  <si>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</si>
  <si>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</si>
  <si>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</si>
  <si>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</si>
  <si>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</si>
  <si>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</si>
  <si>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</si>
  <si>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</si>
  <si>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</si>
  <si>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</si>
  <si>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</si>
  <si>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</si>
  <si>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</si>
  <si>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</si>
  <si>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</si>
  <si>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</si>
  <si>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</si>
  <si>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</si>
  <si>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</si>
  <si>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</si>
  <si>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</si>
  <si>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</si>
  <si>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</si>
  <si>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</si>
  <si>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</si>
  <si>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</si>
  <si>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</si>
  <si>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</si>
  <si>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</si>
  <si>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</si>
  <si>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</si>
  <si>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</si>
  <si>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</si>
  <si>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</si>
  <si>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</si>
  <si>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</si>
  <si>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</si>
  <si>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</si>
  <si>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</si>
  <si>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</si>
  <si>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</si>
  <si>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</si>
  <si>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</si>
  <si>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</si>
  <si>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</si>
  <si>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</si>
  <si>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</si>
  <si>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</si>
  <si>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</si>
  <si>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</si>
  <si>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</si>
  <si>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</si>
  <si>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</si>
  <si>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</si>
  <si>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</si>
  <si>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</si>
  <si>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</si>
  <si>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</si>
  <si>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</si>
  <si>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</si>
  <si>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</si>
  <si>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</si>
  <si>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</si>
  <si>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</si>
  <si>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</si>
  <si>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</si>
  <si>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</si>
  <si>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</si>
  <si>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</si>
  <si>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</si>
  <si>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</si>
  <si>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</si>
  <si>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</si>
  <si>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</si>
  <si>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</si>
  <si>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</si>
  <si>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</si>
  <si>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</si>
  <si>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</si>
  <si>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</si>
  <si>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</si>
  <si>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</si>
  <si>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</si>
  <si>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</si>
  <si>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</si>
  <si>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</si>
  <si>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</si>
  <si>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</si>
  <si>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</si>
  <si>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</si>
  <si>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</si>
  <si>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</si>
  <si>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</si>
  <si>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</si>
  <si>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</si>
  <si>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</si>
  <si>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</si>
  <si>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</si>
  <si>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</si>
  <si>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</si>
  <si>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</si>
  <si>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</si>
  <si>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</si>
  <si>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</si>
  <si>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</si>
  <si>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</si>
  <si>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</si>
  <si>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</si>
  <si>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</si>
  <si>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</si>
  <si>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</si>
  <si>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</si>
  <si>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</si>
  <si>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</si>
  <si>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</si>
  <si>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</si>
  <si>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</si>
  <si>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</si>
  <si>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</si>
  <si>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</si>
  <si>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</si>
  <si>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</si>
  <si>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</si>
  <si>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</si>
  <si>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</si>
  <si>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</si>
  <si>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</si>
  <si>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</si>
  <si>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</si>
  <si>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</si>
  <si>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</si>
  <si>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</si>
  <si>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</si>
  <si>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</si>
  <si>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</si>
  <si>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</si>
  <si>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</si>
  <si>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</si>
  <si>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</si>
  <si>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</si>
  <si>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</si>
  <si>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</si>
  <si>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</si>
  <si>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</si>
  <si>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</si>
  <si>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</si>
  <si>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</si>
  <si>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</si>
  <si>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</si>
  <si>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</si>
  <si>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</si>
  <si>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</si>
  <si>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</si>
  <si>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</si>
  <si>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</si>
  <si>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</si>
  <si>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</si>
  <si>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</si>
  <si>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</si>
  <si>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</si>
  <si>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</si>
  <si>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</si>
  <si>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</si>
  <si>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</si>
  <si>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</si>
  <si>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</si>
  <si>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</si>
  <si>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</si>
  <si>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</si>
  <si>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</si>
  <si>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</si>
  <si>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</si>
  <si>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</si>
  <si>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</si>
  <si>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</si>
  <si>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</si>
  <si>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</si>
  <si>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</si>
  <si>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</si>
  <si>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</si>
  <si>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</si>
  <si>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</si>
  <si>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</si>
  <si>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</si>
  <si>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</si>
  <si>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</si>
  <si>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</si>
  <si>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</si>
  <si>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</si>
  <si>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</si>
  <si>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</si>
  <si>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</si>
  <si>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</si>
  <si>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</si>
  <si>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</si>
  <si>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</si>
  <si>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</si>
  <si>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</si>
  <si>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</si>
  <si>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</si>
  <si>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</si>
  <si>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</si>
  <si>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</si>
  <si>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</si>
  <si>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</si>
  <si>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</si>
  <si>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</si>
  <si>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</si>
  <si>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</si>
  <si>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</si>
  <si>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</si>
  <si>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</si>
  <si>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</si>
  <si>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</si>
  <si>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</si>
  <si>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</si>
  <si>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</si>
  <si>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</si>
  <si>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</si>
  <si>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</si>
  <si>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</si>
  <si>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</si>
  <si>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</si>
  <si>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</si>
  <si>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</si>
  <si>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</si>
  <si>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</si>
  <si>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</si>
  <si>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</si>
  <si>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</si>
  <si>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</si>
  <si>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</si>
  <si>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</si>
  <si>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</si>
  <si>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</si>
  <si>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</si>
  <si>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</si>
  <si>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</si>
  <si>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</si>
  <si>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</si>
  <si>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</si>
  <si>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</si>
  <si>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</si>
  <si>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</si>
  <si>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</si>
  <si>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</si>
  <si>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</si>
  <si>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</si>
  <si>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</si>
  <si>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</si>
  <si>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</si>
  <si>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</si>
  <si>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</si>
  <si>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</si>
  <si>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</si>
  <si>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</si>
  <si>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</si>
  <si>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</si>
  <si>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</si>
  <si>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</si>
  <si>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</si>
  <si>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</si>
  <si>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</si>
  <si>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</si>
  <si>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</si>
  <si>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</si>
  <si>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</si>
  <si>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</si>
  <si>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</si>
  <si>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</si>
  <si>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</si>
  <si>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</si>
  <si>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</si>
  <si>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</si>
  <si>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</si>
  <si>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</si>
  <si>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</si>
  <si>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</si>
  <si>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</si>
  <si>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</si>
  <si>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</si>
  <si>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</si>
  <si>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</si>
  <si>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</si>
  <si>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</si>
  <si>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</si>
  <si>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</si>
  <si>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</si>
  <si>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</si>
  <si>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</si>
  <si>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</si>
  <si>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</si>
  <si>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</si>
  <si>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</si>
  <si>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</si>
  <si>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</si>
  <si>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</si>
  <si>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</si>
  <si>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</si>
  <si>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</si>
  <si>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</si>
  <si>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</si>
  <si>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</si>
  <si>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</si>
  <si>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</si>
  <si>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</si>
  <si>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</si>
  <si>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</si>
  <si>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</si>
  <si>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</si>
  <si>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</si>
  <si>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</si>
  <si>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</si>
  <si>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</si>
  <si>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</si>
  <si>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</si>
  <si>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</si>
  <si>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</si>
  <si>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</si>
  <si>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</si>
  <si>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</si>
  <si>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</si>
  <si>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</si>
  <si>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</si>
  <si>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</si>
  <si>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</si>
  <si>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</si>
  <si>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</si>
  <si>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</si>
  <si>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</si>
  <si>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</si>
  <si>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</si>
  <si>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</si>
  <si>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</si>
  <si>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</si>
  <si>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</si>
  <si>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</si>
  <si>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</si>
  <si>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</si>
  <si>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</si>
  <si>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</si>
  <si>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</si>
  <si>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</si>
  <si>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</si>
  <si>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</si>
  <si>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</si>
  <si>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</si>
  <si>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</si>
  <si>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</si>
  <si>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</si>
  <si>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</si>
  <si>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</si>
  <si>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</si>
  <si>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</si>
  <si>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</si>
  <si>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</si>
  <si>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</si>
  <si>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</si>
  <si>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</si>
  <si>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</si>
  <si>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</si>
  <si>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</si>
  <si>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</si>
  <si>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</si>
  <si>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</si>
  <si>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</si>
  <si>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</si>
  <si>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</si>
  <si>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</si>
  <si>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</si>
  <si>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</si>
  <si>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</si>
  <si>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</si>
  <si>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</si>
  <si>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</si>
  <si>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</si>
  <si>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</si>
  <si>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</si>
  <si>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</si>
  <si>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</si>
  <si>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</si>
  <si>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</si>
  <si>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</si>
  <si>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</si>
  <si>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</si>
  <si>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</si>
  <si>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</si>
  <si>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</si>
  <si>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</si>
  <si>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</si>
  <si>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</si>
  <si>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</si>
  <si>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</si>
  <si>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</si>
  <si>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</si>
  <si>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</si>
  <si>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</si>
  <si>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</si>
  <si>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</si>
  <si>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</si>
  <si>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</si>
  <si>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</si>
  <si>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</si>
  <si>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</si>
  <si>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</si>
  <si>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</si>
  <si>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</si>
  <si>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</si>
  <si>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</si>
  <si>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</si>
  <si>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</si>
  <si>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</si>
  <si>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</si>
  <si>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</si>
  <si>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</si>
  <si>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</si>
  <si>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</si>
  <si>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</si>
  <si>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</si>
  <si>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</si>
  <si>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</si>
  <si>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</si>
  <si>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</si>
  <si>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</si>
  <si>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</si>
  <si>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</si>
  <si>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</si>
  <si>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</si>
  <si>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</si>
  <si>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</si>
  <si>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</si>
  <si>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</si>
  <si>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</si>
  <si>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</si>
  <si>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</si>
  <si>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</si>
  <si>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</si>
  <si>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</si>
  <si>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</si>
  <si>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</si>
  <si>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</si>
  <si>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</si>
  <si>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</si>
  <si>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</si>
  <si>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</si>
  <si>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</si>
  <si>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</si>
  <si>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</si>
  <si>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</si>
  <si>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</si>
  <si>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</si>
  <si>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</si>
  <si>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</si>
  <si>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</si>
  <si>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</si>
  <si>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</si>
  <si>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</si>
  <si>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</si>
  <si>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</si>
  <si>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</si>
  <si>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</si>
  <si>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</si>
  <si>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</si>
  <si>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</si>
  <si>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</si>
  <si>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</si>
  <si>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</si>
  <si>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</si>
  <si>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</si>
  <si>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</si>
  <si>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</si>
  <si>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</si>
  <si>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</si>
  <si>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</si>
  <si>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</si>
  <si>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</si>
  <si>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</si>
  <si>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</si>
  <si>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</si>
  <si>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</si>
  <si>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</si>
  <si>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</si>
  <si>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</si>
  <si>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</si>
  <si>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</si>
  <si>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</si>
  <si>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</si>
  <si>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</si>
  <si>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</si>
  <si>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</si>
  <si>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</si>
  <si>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</si>
  <si>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</si>
  <si>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</si>
  <si>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</si>
  <si>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</si>
  <si>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</si>
  <si>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</si>
  <si>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</si>
  <si>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</si>
  <si>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</si>
  <si>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</si>
  <si>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</si>
  <si>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</si>
  <si>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</si>
  <si>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</si>
  <si>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</si>
  <si>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</si>
  <si>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</si>
  <si>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</si>
  <si>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</si>
  <si>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</si>
  <si>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</si>
  <si>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</si>
  <si>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</si>
  <si>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</si>
  <si>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</si>
  <si>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</si>
  <si>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</si>
  <si>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</si>
  <si>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</si>
  <si>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</si>
  <si>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</si>
  <si>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</si>
  <si>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</si>
  <si>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</si>
  <si>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</si>
  <si>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</si>
  <si>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</si>
  <si>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</si>
  <si>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</si>
  <si>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</si>
  <si>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</si>
  <si>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</si>
  <si>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</si>
  <si>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</si>
  <si>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</si>
  <si>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</si>
  <si>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</si>
  <si>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</si>
  <si>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</si>
  <si>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</si>
  <si>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</si>
  <si>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</si>
  <si>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</si>
  <si>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</si>
  <si>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</si>
  <si>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</si>
  <si>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</si>
  <si>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</si>
  <si>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</si>
  <si>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</si>
  <si>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</si>
  <si>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</si>
  <si>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</si>
  <si>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</si>
  <si>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</si>
  <si>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</si>
  <si>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</si>
  <si>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</si>
  <si>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</si>
  <si>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</si>
  <si>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</si>
  <si>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</si>
  <si>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</si>
  <si>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</si>
  <si>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</si>
  <si>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</si>
  <si>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</si>
  <si>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</si>
  <si>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</si>
  <si>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</si>
  <si>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</si>
  <si>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</si>
  <si>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</si>
  <si>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</si>
  <si>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</si>
  <si>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</si>
  <si>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</si>
  <si>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</si>
  <si>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</si>
  <si>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</si>
  <si>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</si>
  <si>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</si>
  <si>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</si>
  <si>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</si>
  <si>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</si>
  <si>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</si>
  <si>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</si>
  <si>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</si>
  <si>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</si>
  <si>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</si>
  <si>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</si>
  <si>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</si>
  <si>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</si>
  <si>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</si>
  <si>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</si>
  <si>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</si>
  <si>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</si>
  <si>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</si>
  <si>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</si>
  <si>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</si>
  <si>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</si>
  <si>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</si>
  <si>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</si>
  <si>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</si>
  <si>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</si>
  <si>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</si>
  <si>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</si>
  <si>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</si>
  <si>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</si>
  <si>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</si>
  <si>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</si>
  <si>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</si>
  <si>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</si>
  <si>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</si>
  <si>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</si>
  <si>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</si>
  <si>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</si>
  <si>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</si>
  <si>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</si>
  <si>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</si>
  <si>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</si>
  <si>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</si>
  <si>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</si>
  <si>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</si>
  <si>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</si>
  <si>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</si>
  <si>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</si>
  <si>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</si>
  <si>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</si>
  <si>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</si>
  <si>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</si>
  <si>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</si>
  <si>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</si>
  <si>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</si>
  <si>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</si>
  <si>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</si>
  <si>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</si>
  <si>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</si>
  <si>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</si>
  <si>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</si>
  <si>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</si>
  <si>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</si>
  <si>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</si>
  <si>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</si>
  <si>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</si>
  <si>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</si>
  <si>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</si>
  <si>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</si>
  <si>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</si>
  <si>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</si>
  <si>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</si>
  <si>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</si>
  <si>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</si>
  <si>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</si>
  <si>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</si>
  <si>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</si>
  <si>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</si>
  <si>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</si>
  <si>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</si>
  <si>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</si>
  <si>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</si>
  <si>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</si>
  <si>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</si>
  <si>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</si>
  <si>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</si>
  <si>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</si>
  <si>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</si>
  <si>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</si>
  <si>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</si>
  <si>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</si>
  <si>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</si>
  <si>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</si>
  <si>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</si>
  <si>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</si>
  <si>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</si>
  <si>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</si>
  <si>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</si>
  <si>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</si>
  <si>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</si>
  <si>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</si>
  <si>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</si>
  <si>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</si>
  <si>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</si>
  <si>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</si>
  <si>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</si>
  <si>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</si>
  <si>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</si>
  <si>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</si>
  <si>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</si>
  <si>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</si>
  <si>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</si>
  <si>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</si>
  <si>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</si>
  <si>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</si>
  <si>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</si>
  <si>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</si>
  <si>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</si>
  <si>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</si>
  <si>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</si>
  <si>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</si>
  <si>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</si>
  <si>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</si>
  <si>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</si>
  <si>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</si>
  <si>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</si>
  <si>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</si>
  <si>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</si>
  <si>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</si>
  <si>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</si>
  <si>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</si>
  <si>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</si>
  <si>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</si>
  <si>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</si>
  <si>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</si>
  <si>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</si>
  <si>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</si>
  <si>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</si>
  <si>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</si>
  <si>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</si>
  <si>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</si>
  <si>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</si>
  <si>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</si>
  <si>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</si>
  <si>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</si>
  <si>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</si>
  <si>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</si>
  <si>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</si>
  <si>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</si>
  <si>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</si>
  <si>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</si>
  <si>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</si>
  <si>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</si>
  <si>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</si>
  <si>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</si>
  <si>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</si>
  <si>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</si>
  <si>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</si>
  <si>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</si>
  <si>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</si>
  <si>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</si>
  <si>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</si>
  <si>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</si>
  <si>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</si>
  <si>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</si>
  <si>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</si>
  <si>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</si>
  <si>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</si>
  <si>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</si>
  <si>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</si>
  <si>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</si>
  <si>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</si>
  <si>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</si>
  <si>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</si>
  <si>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</si>
  <si>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</si>
  <si>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</si>
  <si>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</si>
  <si>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</si>
  <si>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</si>
  <si>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</si>
  <si>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</si>
  <si>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</si>
  <si>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</si>
  <si>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</si>
  <si>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</si>
  <si>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</si>
  <si>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</si>
  <si>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</si>
  <si>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</si>
  <si>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</si>
  <si>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</si>
  <si>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</si>
  <si>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</si>
  <si>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</si>
  <si>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</si>
  <si>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</si>
  <si>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</si>
  <si>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</si>
  <si>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</si>
  <si>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</si>
  <si>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</si>
  <si>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Gorenz and Associates, Ltd.</t>
  </si>
  <si>
    <t>4200 N Knoxville Ave.</t>
  </si>
  <si>
    <t>Peoria</t>
  </si>
  <si>
    <t>IL</t>
  </si>
  <si>
    <t>309-685-7621</t>
  </si>
  <si>
    <t>309-685-4758</t>
  </si>
  <si>
    <t>066-005027</t>
  </si>
  <si>
    <t>NOT A SINGLE AUDIT</t>
  </si>
  <si>
    <t>TRANS-Pupil Trans-Purchased Services</t>
  </si>
  <si>
    <t>Santander Leasing</t>
  </si>
  <si>
    <t>x</t>
  </si>
  <si>
    <t>Distance Learning Class with Wethersfield</t>
  </si>
  <si>
    <t>Henry-Stark Education Co-op</t>
  </si>
  <si>
    <t>QC VoTech, 5 District House Building Consortium</t>
  </si>
  <si>
    <t>Sports Co-op with Rowva &amp; Williamsfield</t>
  </si>
  <si>
    <t>Henry</t>
  </si>
  <si>
    <t>224 Morgan Road</t>
  </si>
  <si>
    <t>Galva</t>
  </si>
  <si>
    <t>doriley@galva224.org</t>
  </si>
  <si>
    <t>Doug O'Riley</t>
  </si>
  <si>
    <t>309-932-2108</t>
  </si>
  <si>
    <t>309-932-8326</t>
  </si>
  <si>
    <t>Thomas R. Peffer, CPA</t>
  </si>
  <si>
    <t xml:space="preserve">                                  Truth in Taxation</t>
  </si>
  <si>
    <t xml:space="preserve">        2019-001</t>
  </si>
  <si>
    <t xml:space="preserve">                                           Resolved</t>
  </si>
  <si>
    <t>tpeffer@gorenzcpa.com</t>
  </si>
  <si>
    <t>General Obligation Working Cash Bonds 2016</t>
  </si>
  <si>
    <t>Debt Certificates 2017</t>
  </si>
  <si>
    <t>02/29/19</t>
  </si>
  <si>
    <t>Debt Certificate</t>
  </si>
  <si>
    <t>Page 10, Line 81 - Uniform Fees</t>
  </si>
  <si>
    <t>Page 18, Line 171 - Bond Agent Fees</t>
  </si>
  <si>
    <t>Operations &amp; Maintenance Fund: Ameren Refund ($762),  Insurance Proceeds from Roof Claim ($60,695) and Sale of Excess Equipment ($58)</t>
  </si>
  <si>
    <t xml:space="preserve"> Transportation  Fund - Refund</t>
  </si>
  <si>
    <t>Page 11, Line 107 - Educational Fund: Lunch ID Cards, e-Rate Reimbursements, Transcripts, Athletic Workers &amp; Misc. Refunds</t>
  </si>
  <si>
    <t>Page 12, Line 168 - Library Grant</t>
  </si>
  <si>
    <t>Page 14, Line 265 - LEAD/SEED Grant ($25,853), Reap Grant ($12,982)</t>
  </si>
  <si>
    <t>See PDF version</t>
  </si>
  <si>
    <t xml:space="preserve">   Galva CUSD 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</si>
</sst>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2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495300</xdr:colOff>
          <xdr:row>9</xdr:row>
          <xdr:rowOff>76200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1504950</xdr:colOff>
          <xdr:row>9</xdr:row>
          <xdr:rowOff>76200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0">
        <f>+'AFR20'!E4</f>
        <v>44119</v>
      </c>
      <c r="C1" s="2120"/>
      <c r="D1" s="2121"/>
      <c r="I1" s="2079" t="s">
        <v>402</v>
      </c>
      <c r="J1" s="2080"/>
      <c r="K1" s="2080"/>
      <c r="L1" s="2080"/>
      <c r="M1" s="2080"/>
      <c r="N1" s="2080"/>
      <c r="O1" s="2080"/>
      <c r="P1" s="2080"/>
      <c r="Q1" s="2080"/>
      <c r="R1" s="2080"/>
      <c r="S1" s="2080"/>
    </row>
    <row r="2" spans="1:32" ht="12" customHeight="1" x14ac:dyDescent="0.2">
      <c r="A2" s="1831" t="str">
        <f>"Due to ISBE on "</f>
        <v xml:space="preserve">Due to ISBE on </v>
      </c>
      <c r="B2" s="2122">
        <f>+'AFR20'!F4</f>
        <v>44151</v>
      </c>
      <c r="C2" s="2122"/>
      <c r="D2" s="2123"/>
      <c r="I2" s="2081" t="s">
        <v>2003</v>
      </c>
      <c r="J2" s="2080"/>
      <c r="K2" s="2080"/>
      <c r="L2" s="2080"/>
      <c r="M2" s="2080"/>
      <c r="N2" s="2080"/>
      <c r="O2" s="2080"/>
      <c r="P2" s="2080"/>
      <c r="Q2" s="2080"/>
      <c r="R2" s="2080"/>
      <c r="S2" s="2080"/>
    </row>
    <row r="3" spans="1:32" ht="12" customHeight="1" x14ac:dyDescent="0.2">
      <c r="A3" s="1834" t="str">
        <f>"SD/JA"&amp;MID('AFR20'!E2,3,2)</f>
        <v>SD/JA20</v>
      </c>
      <c r="B3" s="151"/>
      <c r="C3" s="151"/>
      <c r="D3" s="152"/>
      <c r="I3" s="2081" t="s">
        <v>52</v>
      </c>
      <c r="J3" s="2080"/>
      <c r="K3" s="2080"/>
      <c r="L3" s="2080"/>
      <c r="M3" s="2080"/>
      <c r="N3" s="2080"/>
      <c r="O3" s="2080"/>
      <c r="P3" s="2080"/>
      <c r="Q3" s="2080"/>
      <c r="R3" s="2080"/>
      <c r="S3" s="2080"/>
    </row>
    <row r="4" spans="1:32" ht="12" customHeight="1" x14ac:dyDescent="0.2">
      <c r="A4" s="37"/>
      <c r="I4" s="2081" t="s">
        <v>521</v>
      </c>
      <c r="J4" s="2080"/>
      <c r="K4" s="2080"/>
      <c r="L4" s="2080"/>
      <c r="M4" s="2080"/>
      <c r="N4" s="2080"/>
      <c r="O4" s="2080"/>
      <c r="P4" s="2080"/>
      <c r="Q4" s="2080"/>
      <c r="R4" s="2080"/>
      <c r="S4" s="2080"/>
    </row>
    <row r="5" spans="1:32" ht="14.1" customHeight="1" x14ac:dyDescent="0.2">
      <c r="B5" s="101" t="s">
        <v>2051</v>
      </c>
      <c r="C5" s="26" t="s">
        <v>904</v>
      </c>
      <c r="D5" s="81"/>
      <c r="E5" s="81"/>
      <c r="H5" s="38"/>
      <c r="I5" s="2089" t="s">
        <v>675</v>
      </c>
      <c r="J5" s="2088"/>
      <c r="K5" s="2088"/>
      <c r="L5" s="2088"/>
      <c r="M5" s="2088"/>
      <c r="N5" s="2088"/>
      <c r="O5" s="2088"/>
      <c r="P5" s="2088"/>
      <c r="Q5" s="2088"/>
      <c r="R5" s="2088"/>
      <c r="S5" s="2088"/>
      <c r="AF5" s="1827"/>
    </row>
    <row r="6" spans="1:32" ht="14.1" customHeight="1" x14ac:dyDescent="0.2">
      <c r="B6" s="101"/>
      <c r="C6" s="26" t="s">
        <v>905</v>
      </c>
      <c r="D6" s="81"/>
      <c r="E6" s="81"/>
      <c r="I6" s="2087" t="s">
        <v>877</v>
      </c>
      <c r="J6" s="2088"/>
      <c r="K6" s="2088"/>
      <c r="L6" s="2088"/>
      <c r="M6" s="2088"/>
      <c r="N6" s="2088"/>
      <c r="O6" s="2088"/>
      <c r="P6" s="2088"/>
      <c r="Q6" s="2088"/>
      <c r="R6" s="2088"/>
      <c r="S6" s="2088"/>
    </row>
    <row r="7" spans="1:32" ht="12.2" customHeight="1" x14ac:dyDescent="0.2">
      <c r="I7" s="2082" t="str">
        <f>"June 30, "&amp;'AFR20'!E2</f>
        <v>June 30, 2020</v>
      </c>
      <c r="J7" s="2083"/>
      <c r="K7" s="2083"/>
      <c r="L7" s="2083"/>
      <c r="M7" s="2083"/>
      <c r="N7" s="2083"/>
      <c r="O7" s="2083"/>
      <c r="P7" s="2083"/>
      <c r="Q7" s="2083"/>
      <c r="R7" s="2083"/>
      <c r="S7" s="208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4" t="s">
        <v>669</v>
      </c>
      <c r="J9" s="2085"/>
      <c r="K9" s="2085"/>
      <c r="L9" s="2085"/>
      <c r="M9" s="2085"/>
      <c r="N9" s="2085"/>
      <c r="O9" s="2085"/>
      <c r="P9" s="2085"/>
      <c r="Q9" s="2085"/>
      <c r="R9" s="2085"/>
      <c r="S9" s="2086"/>
      <c r="T9" s="2137" t="s">
        <v>530</v>
      </c>
      <c r="U9" s="2138"/>
      <c r="V9" s="2138"/>
      <c r="W9" s="2138"/>
      <c r="X9" s="2138"/>
      <c r="Y9" s="2138"/>
      <c r="Z9" s="2138"/>
      <c r="AA9" s="2139"/>
    </row>
    <row r="10" spans="1:32" ht="13.5" customHeight="1" x14ac:dyDescent="0.2">
      <c r="A10" s="2144" t="s">
        <v>670</v>
      </c>
      <c r="B10" s="2145"/>
      <c r="C10" s="2145"/>
      <c r="D10" s="2145"/>
      <c r="E10" s="2145"/>
      <c r="F10" s="2145"/>
      <c r="G10" s="2145"/>
      <c r="H10" s="2146"/>
      <c r="I10" s="29"/>
      <c r="J10" s="30"/>
      <c r="K10" s="28"/>
      <c r="R10" s="30"/>
      <c r="S10" s="30"/>
      <c r="T10" s="2140"/>
      <c r="U10" s="2088"/>
      <c r="V10" s="2088"/>
      <c r="W10" s="2088"/>
      <c r="X10" s="2088"/>
      <c r="Y10" s="2088"/>
      <c r="Z10" s="2088"/>
      <c r="AA10" s="2094"/>
    </row>
    <row r="11" spans="1:32" ht="14.25" customHeight="1" x14ac:dyDescent="0.2">
      <c r="A11" s="2147" t="s">
        <v>949</v>
      </c>
      <c r="B11" s="2148"/>
      <c r="C11" s="2148"/>
      <c r="D11" s="2148"/>
      <c r="E11" s="2148"/>
      <c r="F11" s="2148"/>
      <c r="G11" s="2148"/>
      <c r="H11" s="2149"/>
      <c r="I11" s="27"/>
      <c r="J11" s="71"/>
      <c r="K11" s="27"/>
      <c r="O11" s="144" t="s">
        <v>2051</v>
      </c>
      <c r="P11" s="97" t="s">
        <v>199</v>
      </c>
      <c r="Q11" s="30"/>
      <c r="R11" s="28"/>
      <c r="S11" s="27"/>
      <c r="T11" s="2141"/>
      <c r="U11" s="2142"/>
      <c r="V11" s="2142"/>
      <c r="W11" s="2142"/>
      <c r="X11" s="2142"/>
      <c r="Y11" s="2142"/>
      <c r="Z11" s="2142"/>
      <c r="AA11" s="2143"/>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0">
        <v>28037224026</v>
      </c>
      <c r="B13" s="2101"/>
      <c r="C13" s="2101"/>
      <c r="D13" s="2101"/>
      <c r="E13" s="2101"/>
      <c r="F13" s="2101"/>
      <c r="G13" s="2101"/>
      <c r="H13" s="2102"/>
      <c r="I13" s="31"/>
      <c r="J13" s="30"/>
      <c r="K13" s="28"/>
      <c r="L13" s="30"/>
      <c r="M13" s="30"/>
      <c r="N13" s="30"/>
      <c r="O13" s="30"/>
      <c r="P13" s="30"/>
      <c r="Q13" s="30"/>
      <c r="R13" s="30"/>
      <c r="S13" s="30"/>
      <c r="T13" s="2106" t="s">
        <v>2052</v>
      </c>
      <c r="U13" s="2107"/>
      <c r="V13" s="2107"/>
      <c r="W13" s="2107"/>
      <c r="X13" s="2107"/>
      <c r="Y13" s="2108"/>
      <c r="Z13" s="2108"/>
      <c r="AA13" s="2109"/>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3" t="s">
        <v>2067</v>
      </c>
      <c r="B15" s="2104"/>
      <c r="C15" s="2104"/>
      <c r="D15" s="2104"/>
      <c r="E15" s="2104"/>
      <c r="F15" s="2104"/>
      <c r="G15" s="2104"/>
      <c r="H15" s="2105"/>
      <c r="T15" s="2110" t="s">
        <v>2074</v>
      </c>
      <c r="U15" s="2067"/>
      <c r="V15" s="2067"/>
      <c r="W15" s="2067"/>
      <c r="X15" s="2067"/>
      <c r="Y15" s="2111"/>
      <c r="Z15" s="2111"/>
      <c r="AA15" s="2112"/>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3" t="s">
        <v>2091</v>
      </c>
      <c r="B17" s="2074"/>
      <c r="C17" s="2074"/>
      <c r="D17" s="2074"/>
      <c r="E17" s="2074"/>
      <c r="F17" s="2074"/>
      <c r="G17" s="2074"/>
      <c r="H17" s="2099"/>
      <c r="T17" s="2117" t="s">
        <v>2053</v>
      </c>
      <c r="U17" s="2118"/>
      <c r="V17" s="2118"/>
      <c r="W17" s="2118"/>
      <c r="X17" s="2118"/>
      <c r="Y17" s="2118"/>
      <c r="Z17" s="2118"/>
      <c r="AA17" s="2119"/>
    </row>
    <row r="18" spans="1:27" ht="13.5" customHeight="1" x14ac:dyDescent="0.2">
      <c r="A18" s="82" t="s">
        <v>527</v>
      </c>
      <c r="B18" s="73"/>
      <c r="C18" s="69"/>
      <c r="D18" s="73"/>
      <c r="E18" s="73"/>
      <c r="F18" s="73"/>
      <c r="G18" s="73"/>
      <c r="H18" s="53"/>
      <c r="I18" s="2098" t="s">
        <v>671</v>
      </c>
      <c r="J18" s="2049"/>
      <c r="K18" s="2049"/>
      <c r="L18" s="2049"/>
      <c r="M18" s="2049"/>
      <c r="N18" s="2049"/>
      <c r="O18" s="2049"/>
      <c r="P18" s="2049"/>
      <c r="Q18" s="2049"/>
      <c r="R18" s="2049"/>
      <c r="S18" s="2050"/>
      <c r="T18" s="82" t="s">
        <v>706</v>
      </c>
      <c r="U18" s="48"/>
      <c r="V18" s="69"/>
      <c r="W18" s="47"/>
      <c r="X18" s="82" t="s">
        <v>264</v>
      </c>
      <c r="Y18" s="78"/>
      <c r="Z18" s="154" t="s">
        <v>672</v>
      </c>
      <c r="AA18" s="44"/>
    </row>
    <row r="19" spans="1:27" ht="13.5" customHeight="1" x14ac:dyDescent="0.2">
      <c r="A19" s="2103" t="s">
        <v>2068</v>
      </c>
      <c r="B19" s="2059"/>
      <c r="C19" s="2059"/>
      <c r="D19" s="2059"/>
      <c r="E19" s="2059"/>
      <c r="F19" s="2059"/>
      <c r="G19" s="2059"/>
      <c r="H19" s="2039"/>
      <c r="I19" s="30"/>
      <c r="J19" s="96"/>
      <c r="K19" s="40"/>
      <c r="L19" s="38"/>
      <c r="M19" s="109" t="s">
        <v>312</v>
      </c>
      <c r="P19" s="27"/>
      <c r="Q19" s="27"/>
      <c r="R19" s="27"/>
      <c r="S19" s="31"/>
      <c r="T19" s="2103" t="s">
        <v>2054</v>
      </c>
      <c r="U19" s="2038"/>
      <c r="V19" s="2038"/>
      <c r="W19" s="2039"/>
      <c r="X19" s="2115" t="s">
        <v>2055</v>
      </c>
      <c r="Y19" s="2116"/>
      <c r="Z19" s="2113">
        <v>61614</v>
      </c>
      <c r="AA19" s="2114"/>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7" t="s">
        <v>2069</v>
      </c>
      <c r="B21" s="2038"/>
      <c r="C21" s="2038"/>
      <c r="D21" s="2038"/>
      <c r="E21" s="2038"/>
      <c r="F21" s="2038"/>
      <c r="G21" s="2038"/>
      <c r="H21" s="2039"/>
      <c r="I21" s="2093" t="s">
        <v>673</v>
      </c>
      <c r="J21" s="2088"/>
      <c r="K21" s="2088"/>
      <c r="L21" s="2088"/>
      <c r="M21" s="2088"/>
      <c r="N21" s="2088"/>
      <c r="O21" s="2088"/>
      <c r="P21" s="2088"/>
      <c r="Q21" s="2088"/>
      <c r="R21" s="2088"/>
      <c r="S21" s="2094"/>
      <c r="T21" s="2128" t="s">
        <v>2056</v>
      </c>
      <c r="U21" s="2129"/>
      <c r="V21" s="2129"/>
      <c r="W21" s="2129"/>
      <c r="X21" s="2134" t="s">
        <v>2057</v>
      </c>
      <c r="Y21" s="2135"/>
      <c r="Z21" s="2135"/>
      <c r="AA21" s="2136"/>
    </row>
    <row r="22" spans="1:27" ht="13.5" customHeight="1" x14ac:dyDescent="0.2">
      <c r="A22" s="84" t="s">
        <v>528</v>
      </c>
      <c r="B22" s="56"/>
      <c r="C22" s="56"/>
      <c r="D22" s="56"/>
      <c r="E22" s="56"/>
      <c r="F22" s="56"/>
      <c r="G22" s="56"/>
      <c r="H22" s="57"/>
      <c r="I22" s="2095" t="s">
        <v>1412</v>
      </c>
      <c r="J22" s="2096"/>
      <c r="K22" s="2096"/>
      <c r="L22" s="2096"/>
      <c r="M22" s="2096"/>
      <c r="N22" s="2096"/>
      <c r="O22" s="2096"/>
      <c r="P22" s="2096"/>
      <c r="Q22" s="2096"/>
      <c r="R22" s="2096"/>
      <c r="S22" s="2097"/>
      <c r="T22" s="82" t="s">
        <v>1499</v>
      </c>
      <c r="U22" s="48"/>
      <c r="V22" s="69"/>
      <c r="W22" s="48"/>
      <c r="X22" s="155" t="s">
        <v>1307</v>
      </c>
      <c r="Z22" s="43"/>
      <c r="AA22" s="44"/>
    </row>
    <row r="23" spans="1:27" ht="13.5" customHeight="1" x14ac:dyDescent="0.2">
      <c r="A23" s="2090" t="s">
        <v>2070</v>
      </c>
      <c r="B23" s="2091"/>
      <c r="C23" s="2091"/>
      <c r="D23" s="2091"/>
      <c r="E23" s="2091"/>
      <c r="F23" s="2091"/>
      <c r="G23" s="2091"/>
      <c r="H23" s="2092"/>
      <c r="T23" s="2073" t="s">
        <v>2058</v>
      </c>
      <c r="U23" s="2127"/>
      <c r="V23" s="2127"/>
      <c r="W23" s="2127"/>
      <c r="X23" s="2131">
        <v>44501</v>
      </c>
      <c r="Y23" s="2132"/>
      <c r="Z23" s="2132"/>
      <c r="AA23" s="2133"/>
    </row>
    <row r="24" spans="1:27" ht="14.1" customHeight="1" x14ac:dyDescent="0.2">
      <c r="A24" s="85" t="s">
        <v>672</v>
      </c>
      <c r="B24" s="46"/>
      <c r="C24" s="46"/>
      <c r="D24" s="46"/>
      <c r="E24" s="46"/>
      <c r="F24" s="46"/>
      <c r="G24" s="46"/>
      <c r="H24" s="58"/>
      <c r="J24" s="2060">
        <f>IF(B5="x",IF(AUDITCHECK!D29="AFR form Incomplete.","",IF(AUDITCHECK!D29="Deficit reduction plan is required.","School District must complete a deficit reduction plan in the 2020-2021 Budget",)),"")</f>
        <v>0</v>
      </c>
      <c r="K24" s="2060"/>
      <c r="L24" s="2060"/>
      <c r="M24" s="2060"/>
      <c r="N24" s="2060"/>
      <c r="O24" s="2060"/>
      <c r="P24" s="2060"/>
      <c r="Q24" s="2060"/>
      <c r="R24" s="2060"/>
      <c r="S24" s="2061"/>
      <c r="T24" s="102" t="s">
        <v>528</v>
      </c>
      <c r="U24" s="103"/>
      <c r="V24" s="103"/>
      <c r="W24" s="103"/>
      <c r="X24" s="104"/>
      <c r="Y24" s="104"/>
      <c r="Z24" s="104"/>
      <c r="AA24" s="105"/>
    </row>
    <row r="25" spans="1:27" ht="14.1" customHeight="1" x14ac:dyDescent="0.2">
      <c r="A25" s="2037">
        <v>61434</v>
      </c>
      <c r="B25" s="2038"/>
      <c r="C25" s="2038"/>
      <c r="D25" s="2038"/>
      <c r="E25" s="2038"/>
      <c r="F25" s="2038"/>
      <c r="G25" s="2038"/>
      <c r="H25" s="2039"/>
      <c r="I25" s="110"/>
      <c r="J25" s="2062"/>
      <c r="K25" s="2062"/>
      <c r="L25" s="2062"/>
      <c r="M25" s="2062"/>
      <c r="N25" s="2062"/>
      <c r="O25" s="2062"/>
      <c r="P25" s="2062"/>
      <c r="Q25" s="2062"/>
      <c r="R25" s="2062"/>
      <c r="S25" s="2063"/>
      <c r="T25" s="2124" t="s">
        <v>2078</v>
      </c>
      <c r="U25" s="2125"/>
      <c r="V25" s="2125"/>
      <c r="W25" s="2125"/>
      <c r="X25" s="2125"/>
      <c r="Y25" s="2125"/>
      <c r="Z25" s="2125"/>
      <c r="AA25" s="212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48" t="s">
        <v>1494</v>
      </c>
      <c r="J27" s="2049"/>
      <c r="K27" s="2049"/>
      <c r="L27" s="2049"/>
      <c r="M27" s="2049"/>
      <c r="N27" s="2049"/>
      <c r="O27" s="2049"/>
      <c r="P27" s="2049"/>
      <c r="Q27" s="2049"/>
      <c r="R27" s="2049"/>
      <c r="S27" s="2050"/>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2051</v>
      </c>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2051</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59"/>
      <c r="Q35" s="2038"/>
      <c r="R35" s="203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3" t="s">
        <v>2071</v>
      </c>
      <c r="B38" s="2074"/>
      <c r="C38" s="2074"/>
      <c r="D38" s="2074"/>
      <c r="E38" s="2074"/>
      <c r="F38" s="2038"/>
      <c r="G38" s="2038"/>
      <c r="H38" s="2039"/>
      <c r="I38" s="2066"/>
      <c r="J38" s="2067"/>
      <c r="K38" s="2067"/>
      <c r="L38" s="2067"/>
      <c r="M38" s="2067"/>
      <c r="N38" s="2067"/>
      <c r="O38" s="2067"/>
      <c r="P38" s="2068"/>
      <c r="Q38" s="2068"/>
      <c r="R38" s="2068"/>
      <c r="S38" s="2069"/>
      <c r="T38" s="2110"/>
      <c r="U38" s="2067"/>
      <c r="V38" s="2067"/>
      <c r="W38" s="2067"/>
      <c r="X38" s="2068"/>
      <c r="Y38" s="2068"/>
      <c r="Z38" s="2068"/>
      <c r="AA38" s="2069"/>
    </row>
    <row r="39" spans="1:27" ht="12" customHeight="1" x14ac:dyDescent="0.2">
      <c r="A39" s="2043" t="s">
        <v>528</v>
      </c>
      <c r="B39" s="2044"/>
      <c r="C39" s="69"/>
      <c r="D39" s="66"/>
      <c r="E39" s="66"/>
      <c r="F39" s="76"/>
      <c r="G39" s="66"/>
      <c r="H39" s="53"/>
      <c r="I39" s="2043" t="s">
        <v>528</v>
      </c>
      <c r="J39" s="2044"/>
      <c r="K39" s="2044"/>
      <c r="L39" s="2044"/>
      <c r="M39" s="2044"/>
      <c r="N39" s="64"/>
      <c r="O39" s="69"/>
      <c r="P39" s="69"/>
      <c r="Q39" s="75"/>
      <c r="R39" s="69"/>
      <c r="S39" s="53"/>
      <c r="T39" s="69" t="s">
        <v>528</v>
      </c>
      <c r="U39" s="48"/>
      <c r="V39" s="69"/>
      <c r="W39" s="47"/>
      <c r="X39" s="75"/>
      <c r="Y39" s="43"/>
      <c r="Z39" s="43"/>
      <c r="AA39" s="44"/>
    </row>
    <row r="40" spans="1:27" ht="13.5" customHeight="1" x14ac:dyDescent="0.2">
      <c r="A40" s="2051" t="s">
        <v>2070</v>
      </c>
      <c r="B40" s="2052"/>
      <c r="C40" s="2053"/>
      <c r="D40" s="2053"/>
      <c r="E40" s="2053"/>
      <c r="F40" s="2054"/>
      <c r="G40" s="2054"/>
      <c r="H40" s="2055"/>
      <c r="I40" s="2076"/>
      <c r="J40" s="2077"/>
      <c r="K40" s="2077"/>
      <c r="L40" s="2077"/>
      <c r="M40" s="2077"/>
      <c r="N40" s="2077"/>
      <c r="O40" s="2077"/>
      <c r="P40" s="2077"/>
      <c r="Q40" s="2077"/>
      <c r="R40" s="2077"/>
      <c r="S40" s="2078"/>
      <c r="T40" s="2076"/>
      <c r="U40" s="2130"/>
      <c r="V40" s="2077"/>
      <c r="W40" s="2077"/>
      <c r="X40" s="2077"/>
      <c r="Y40" s="2077"/>
      <c r="Z40" s="2077"/>
      <c r="AA40" s="2078"/>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5" t="s">
        <v>2072</v>
      </c>
      <c r="B42" s="2057"/>
      <c r="C42" s="2058"/>
      <c r="D42" s="2056" t="s">
        <v>2073</v>
      </c>
      <c r="E42" s="2057"/>
      <c r="F42" s="2057"/>
      <c r="G42" s="2057"/>
      <c r="H42" s="2058"/>
      <c r="I42" s="2040"/>
      <c r="J42" s="2041"/>
      <c r="K42" s="2041"/>
      <c r="L42" s="2041"/>
      <c r="M42" s="2041"/>
      <c r="N42" s="2041"/>
      <c r="O42" s="2042"/>
      <c r="P42" s="2075"/>
      <c r="Q42" s="2041"/>
      <c r="R42" s="2041"/>
      <c r="S42" s="2042"/>
      <c r="T42" s="2040"/>
      <c r="U42" s="2041"/>
      <c r="V42" s="2041"/>
      <c r="W42" s="2042"/>
      <c r="X42" s="2075"/>
      <c r="Y42" s="2041"/>
      <c r="Z42" s="2041"/>
      <c r="AA42" s="2042"/>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0"/>
      <c r="B44" s="2071"/>
      <c r="C44" s="2071"/>
      <c r="D44" s="2071"/>
      <c r="E44" s="2071"/>
      <c r="F44" s="2071"/>
      <c r="G44" s="2071"/>
      <c r="H44" s="2072"/>
      <c r="I44" s="2045"/>
      <c r="J44" s="2046"/>
      <c r="K44" s="2046"/>
      <c r="L44" s="2046"/>
      <c r="M44" s="2046"/>
      <c r="N44" s="2046"/>
      <c r="O44" s="2046"/>
      <c r="P44" s="2046"/>
      <c r="Q44" s="2046"/>
      <c r="R44" s="2046"/>
      <c r="S44" s="2047"/>
      <c r="T44" s="2045"/>
      <c r="U44" s="2064"/>
      <c r="V44" s="2064"/>
      <c r="W44" s="2064"/>
      <c r="X44" s="2064"/>
      <c r="Y44" s="2064"/>
      <c r="Z44" s="2046"/>
      <c r="AA44" s="2047"/>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fitToHeight="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3" t="s">
        <v>1056</v>
      </c>
      <c r="B35" s="2153"/>
      <c r="C35" s="2153"/>
      <c r="D35" s="2153"/>
      <c r="E35" s="215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0" t="s">
        <v>686</v>
      </c>
      <c r="B40" s="2150"/>
      <c r="C40" s="2150"/>
      <c r="D40" s="2150"/>
      <c r="E40" s="2150"/>
    </row>
    <row r="41" spans="1:5" x14ac:dyDescent="0.2">
      <c r="A41" s="2151" t="s">
        <v>1591</v>
      </c>
      <c r="B41" s="2151"/>
      <c r="C41" s="2151"/>
      <c r="D41" s="2151"/>
      <c r="E41" s="2151"/>
    </row>
    <row r="42" spans="1:5" ht="12.75" customHeight="1" x14ac:dyDescent="0.2">
      <c r="A42" s="2152" t="s">
        <v>1015</v>
      </c>
      <c r="B42" s="2152"/>
      <c r="C42" s="2152"/>
      <c r="D42" s="2152"/>
      <c r="E42" s="2152"/>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4" t="s">
        <v>1158</v>
      </c>
      <c r="B2" s="2154"/>
      <c r="C2" s="2154"/>
      <c r="D2" s="2154"/>
      <c r="E2" s="2154"/>
      <c r="F2" s="2154"/>
      <c r="G2" s="2154"/>
      <c r="H2" s="2154"/>
      <c r="I2" s="2154"/>
      <c r="J2" s="2154"/>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8" t="s">
        <v>1616</v>
      </c>
      <c r="B35" s="2169"/>
      <c r="C35" s="2169"/>
      <c r="D35" s="2169"/>
      <c r="E35" s="2170"/>
      <c r="F35" s="2170"/>
      <c r="G35" s="2170"/>
      <c r="H35" s="2170"/>
      <c r="I35" s="217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8" t="s">
        <v>310</v>
      </c>
      <c r="B47" s="2171"/>
      <c r="C47" s="2171"/>
      <c r="D47" s="2171"/>
      <c r="E47" s="2172"/>
      <c r="F47" s="2172"/>
      <c r="G47" s="2172"/>
      <c r="H47" s="2172"/>
      <c r="I47" s="217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5"/>
      <c r="C57" s="2176"/>
      <c r="D57" s="2176"/>
      <c r="E57" s="2176"/>
      <c r="F57" s="2176"/>
      <c r="G57" s="2176"/>
      <c r="H57" s="2176"/>
      <c r="I57" s="2176"/>
      <c r="J57" s="2177"/>
    </row>
    <row r="58" spans="1:10" s="176" customFormat="1" x14ac:dyDescent="0.2">
      <c r="A58" s="248"/>
      <c r="B58" s="2178"/>
      <c r="C58" s="2179"/>
      <c r="D58" s="2179"/>
      <c r="E58" s="2179"/>
      <c r="F58" s="2179"/>
      <c r="G58" s="2179"/>
      <c r="H58" s="2179"/>
      <c r="I58" s="2179"/>
      <c r="J58" s="2180"/>
    </row>
    <row r="59" spans="1:10" s="176" customFormat="1" x14ac:dyDescent="0.2">
      <c r="A59" s="248"/>
      <c r="B59" s="2178"/>
      <c r="C59" s="2179"/>
      <c r="D59" s="2179"/>
      <c r="E59" s="2179"/>
      <c r="F59" s="2179"/>
      <c r="G59" s="2179"/>
      <c r="H59" s="2179"/>
      <c r="I59" s="2179"/>
      <c r="J59" s="2180"/>
    </row>
    <row r="60" spans="1:10" s="176" customFormat="1" x14ac:dyDescent="0.2">
      <c r="A60" s="248"/>
      <c r="B60" s="2178"/>
      <c r="C60" s="2179"/>
      <c r="D60" s="2179"/>
      <c r="E60" s="2179"/>
      <c r="F60" s="2179"/>
      <c r="G60" s="2179"/>
      <c r="H60" s="2179"/>
      <c r="I60" s="2179"/>
      <c r="J60" s="2180"/>
    </row>
    <row r="61" spans="1:10" s="176" customFormat="1" x14ac:dyDescent="0.2">
      <c r="A61" s="248"/>
      <c r="B61" s="2178"/>
      <c r="C61" s="2179"/>
      <c r="D61" s="2179"/>
      <c r="E61" s="2179"/>
      <c r="F61" s="2179"/>
      <c r="G61" s="2179"/>
      <c r="H61" s="2179"/>
      <c r="I61" s="2179"/>
      <c r="J61" s="2180"/>
    </row>
    <row r="62" spans="1:10" s="176" customFormat="1" x14ac:dyDescent="0.2">
      <c r="A62" s="248"/>
      <c r="B62" s="2178"/>
      <c r="C62" s="2179"/>
      <c r="D62" s="2179"/>
      <c r="E62" s="2179"/>
      <c r="F62" s="2179"/>
      <c r="G62" s="2179"/>
      <c r="H62" s="2179"/>
      <c r="I62" s="2179"/>
      <c r="J62" s="2180"/>
    </row>
    <row r="63" spans="1:10" s="176" customFormat="1" x14ac:dyDescent="0.2">
      <c r="A63" s="248"/>
      <c r="B63" s="2178"/>
      <c r="C63" s="2179"/>
      <c r="D63" s="2179"/>
      <c r="E63" s="2179"/>
      <c r="F63" s="2179"/>
      <c r="G63" s="2179"/>
      <c r="H63" s="2179"/>
      <c r="I63" s="2179"/>
      <c r="J63" s="2180"/>
    </row>
    <row r="64" spans="1:10" s="176" customFormat="1" x14ac:dyDescent="0.2">
      <c r="A64" s="248"/>
      <c r="B64" s="2178"/>
      <c r="C64" s="2179"/>
      <c r="D64" s="2179"/>
      <c r="E64" s="2179"/>
      <c r="F64" s="2179"/>
      <c r="G64" s="2179"/>
      <c r="H64" s="2179"/>
      <c r="I64" s="2179"/>
      <c r="J64" s="2180"/>
    </row>
    <row r="65" spans="1:11" s="176" customFormat="1" x14ac:dyDescent="0.2">
      <c r="A65" s="248"/>
      <c r="B65" s="2178"/>
      <c r="C65" s="2179"/>
      <c r="D65" s="2179"/>
      <c r="E65" s="2179"/>
      <c r="F65" s="2179"/>
      <c r="G65" s="2179"/>
      <c r="H65" s="2179"/>
      <c r="I65" s="2179"/>
      <c r="J65" s="2180"/>
    </row>
    <row r="66" spans="1:11" s="176" customFormat="1" x14ac:dyDescent="0.2">
      <c r="A66" s="248"/>
      <c r="B66" s="2178"/>
      <c r="C66" s="2179"/>
      <c r="D66" s="2179"/>
      <c r="E66" s="2179"/>
      <c r="F66" s="2179"/>
      <c r="G66" s="2179"/>
      <c r="H66" s="2179"/>
      <c r="I66" s="2179"/>
      <c r="J66" s="2180"/>
    </row>
    <row r="67" spans="1:11" s="176" customFormat="1" ht="9" customHeight="1" x14ac:dyDescent="0.2">
      <c r="A67" s="249"/>
      <c r="B67" s="2181"/>
      <c r="C67" s="2182"/>
      <c r="D67" s="2182"/>
      <c r="E67" s="2182"/>
      <c r="F67" s="2182"/>
      <c r="G67" s="2182"/>
      <c r="H67" s="2182"/>
      <c r="I67" s="2182"/>
      <c r="J67" s="218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8" t="s">
        <v>1312</v>
      </c>
      <c r="B70" s="2171"/>
      <c r="C70" s="2171"/>
      <c r="D70" s="2171"/>
      <c r="E70" s="2172"/>
      <c r="F70" s="2172"/>
      <c r="G70" s="2172"/>
      <c r="H70" s="2172"/>
      <c r="I70" s="2172"/>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3" t="s">
        <v>1309</v>
      </c>
      <c r="B83" s="2173"/>
      <c r="C83" s="2173"/>
      <c r="D83" s="2174"/>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4" t="s">
        <v>1989</v>
      </c>
      <c r="B85" s="2184"/>
      <c r="C85" s="2184"/>
      <c r="D85" s="2185"/>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6" t="s">
        <v>1989</v>
      </c>
      <c r="B88" s="2187"/>
      <c r="C88" s="2187"/>
      <c r="D88" s="2188"/>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5"/>
      <c r="C102" s="2156"/>
      <c r="D102" s="2156"/>
      <c r="E102" s="2156"/>
      <c r="F102" s="2156"/>
      <c r="G102" s="2156"/>
      <c r="H102" s="2156"/>
      <c r="I102" s="2157"/>
    </row>
    <row r="103" spans="1:9" s="176" customFormat="1" ht="11.25" customHeight="1" x14ac:dyDescent="0.2">
      <c r="A103" s="294"/>
      <c r="B103" s="2158"/>
      <c r="C103" s="2159"/>
      <c r="D103" s="2159"/>
      <c r="E103" s="2159"/>
      <c r="F103" s="2159"/>
      <c r="G103" s="2159"/>
      <c r="H103" s="2159"/>
      <c r="I103" s="2160"/>
    </row>
    <row r="104" spans="1:9" s="176" customFormat="1" ht="11.25" customHeight="1" x14ac:dyDescent="0.2">
      <c r="A104" s="294"/>
      <c r="B104" s="2158"/>
      <c r="C104" s="2159"/>
      <c r="D104" s="2159"/>
      <c r="E104" s="2159"/>
      <c r="F104" s="2159"/>
      <c r="G104" s="2159"/>
      <c r="H104" s="2159"/>
      <c r="I104" s="2160"/>
    </row>
    <row r="105" spans="1:9" s="176" customFormat="1" x14ac:dyDescent="0.2">
      <c r="A105" s="294"/>
      <c r="B105" s="2158"/>
      <c r="C105" s="2159"/>
      <c r="D105" s="2159"/>
      <c r="E105" s="2159"/>
      <c r="F105" s="2159"/>
      <c r="G105" s="2159"/>
      <c r="H105" s="2159"/>
      <c r="I105" s="2160"/>
    </row>
    <row r="106" spans="1:9" s="176" customFormat="1" ht="11.25" customHeight="1" x14ac:dyDescent="0.2">
      <c r="A106" s="294"/>
      <c r="B106" s="2158"/>
      <c r="C106" s="2159"/>
      <c r="D106" s="2159"/>
      <c r="E106" s="2159"/>
      <c r="F106" s="2159"/>
      <c r="G106" s="2159"/>
      <c r="H106" s="2159"/>
      <c r="I106" s="2160"/>
    </row>
    <row r="107" spans="1:9" s="176" customFormat="1" ht="11.25" customHeight="1" x14ac:dyDescent="0.2">
      <c r="A107" s="294"/>
      <c r="B107" s="2158"/>
      <c r="C107" s="2159"/>
      <c r="D107" s="2159"/>
      <c r="E107" s="2159"/>
      <c r="F107" s="2159"/>
      <c r="G107" s="2159"/>
      <c r="H107" s="2159"/>
      <c r="I107" s="2160"/>
    </row>
    <row r="108" spans="1:9" s="176" customFormat="1" ht="11.25" customHeight="1" x14ac:dyDescent="0.2">
      <c r="A108" s="294"/>
      <c r="B108" s="2158"/>
      <c r="C108" s="2159"/>
      <c r="D108" s="2159"/>
      <c r="E108" s="2159"/>
      <c r="F108" s="2159"/>
      <c r="G108" s="2159"/>
      <c r="H108" s="2159"/>
      <c r="I108" s="2160"/>
    </row>
    <row r="109" spans="1:9" s="176" customFormat="1" ht="11.25" customHeight="1" x14ac:dyDescent="0.2">
      <c r="A109" s="294"/>
      <c r="B109" s="2158"/>
      <c r="C109" s="2159"/>
      <c r="D109" s="2159"/>
      <c r="E109" s="2159"/>
      <c r="F109" s="2159"/>
      <c r="G109" s="2159"/>
      <c r="H109" s="2159"/>
      <c r="I109" s="2160"/>
    </row>
    <row r="110" spans="1:9" s="176" customFormat="1" ht="11.25" customHeight="1" x14ac:dyDescent="0.2">
      <c r="A110" s="294"/>
      <c r="B110" s="2158"/>
      <c r="C110" s="2159"/>
      <c r="D110" s="2159"/>
      <c r="E110" s="2159"/>
      <c r="F110" s="2159"/>
      <c r="G110" s="2159"/>
      <c r="H110" s="2159"/>
      <c r="I110" s="2160"/>
    </row>
    <row r="111" spans="1:9" s="176" customFormat="1" ht="11.25" customHeight="1" x14ac:dyDescent="0.2">
      <c r="A111" s="294"/>
      <c r="B111" s="2158"/>
      <c r="C111" s="2159"/>
      <c r="D111" s="2159"/>
      <c r="E111" s="2159"/>
      <c r="F111" s="2159"/>
      <c r="G111" s="2159"/>
      <c r="H111" s="2159"/>
      <c r="I111" s="2160"/>
    </row>
    <row r="112" spans="1:9" s="176" customFormat="1" ht="11.25" customHeight="1" x14ac:dyDescent="0.2">
      <c r="A112" s="294"/>
      <c r="B112" s="2161"/>
      <c r="C112" s="2162"/>
      <c r="D112" s="2162"/>
      <c r="E112" s="2162"/>
      <c r="F112" s="2162"/>
      <c r="G112" s="2162"/>
      <c r="H112" s="2162"/>
      <c r="I112" s="216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4" t="s">
        <v>2052</v>
      </c>
      <c r="D114" s="2164"/>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5" t="s">
        <v>1319</v>
      </c>
      <c r="D117" s="2166"/>
      <c r="E117" s="2167"/>
      <c r="F117" s="2167"/>
      <c r="G117" s="2167"/>
      <c r="H117" s="2167"/>
      <c r="I117" s="282"/>
    </row>
    <row r="118" spans="1:9" s="176" customFormat="1" ht="24" customHeight="1" x14ac:dyDescent="0.2">
      <c r="A118" s="294"/>
      <c r="B118" s="294"/>
      <c r="C118" s="294"/>
      <c r="D118" s="301" t="s">
        <v>2090</v>
      </c>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4"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9" t="s">
        <v>383</v>
      </c>
      <c r="B1" s="2189"/>
      <c r="C1" s="2189"/>
      <c r="D1" s="2189"/>
      <c r="E1" s="2189"/>
      <c r="F1" s="2189"/>
      <c r="G1" s="2189"/>
      <c r="H1" s="2189"/>
      <c r="I1" s="2189"/>
      <c r="J1" s="2189"/>
      <c r="K1" s="2189"/>
      <c r="L1" s="2189"/>
      <c r="M1" s="218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85205794</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2.2963000000000001E-2</v>
      </c>
      <c r="E10" s="333" t="s">
        <v>998</v>
      </c>
      <c r="F10" s="332">
        <v>6.607E-3</v>
      </c>
      <c r="G10" s="333" t="s">
        <v>998</v>
      </c>
      <c r="H10" s="332">
        <v>1.9580000000000001E-3</v>
      </c>
      <c r="I10" s="333" t="s">
        <v>999</v>
      </c>
      <c r="J10" s="1424">
        <f>ROUND(D10+F10+H10,5)</f>
        <v>3.1530000000000002E-2</v>
      </c>
      <c r="K10" s="217"/>
      <c r="L10" s="332">
        <v>4.8999999999999998E-4</v>
      </c>
      <c r="M10" s="217"/>
    </row>
    <row r="11" spans="1:14" ht="7.5" customHeight="1" x14ac:dyDescent="0.2">
      <c r="B11" s="217"/>
      <c r="C11" s="217"/>
      <c r="D11" s="2199" t="str">
        <f>IF(SUM(J10)&lt;=0.0999999,"","Enter the Tax Rates by moving the decimal two places to the left.")</f>
        <v/>
      </c>
      <c r="E11" s="2200"/>
      <c r="F11" s="2200"/>
      <c r="G11" s="2200"/>
      <c r="H11" s="2200"/>
      <c r="I11" s="2200"/>
      <c r="J11" s="220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5295632</v>
      </c>
      <c r="E16" s="1547"/>
      <c r="F16" s="1546">
        <f>SUM('Acct Summary 7-8'!C17,'Acct Summary 7-8'!D17,'Acct Summary 7-8'!F17)</f>
        <v>5688304</v>
      </c>
      <c r="G16" s="1547"/>
      <c r="H16" s="1546">
        <f>SUM(D16-F16)</f>
        <v>-392672</v>
      </c>
      <c r="I16" s="1548"/>
      <c r="J16" s="1546">
        <f>SUM('Acct Summary 7-8'!C81,'Acct Summary 7-8'!D81,'Acct Summary 7-8'!F81,'Acct Summary 7-8'!I81)</f>
        <v>3215729</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11758399.572000001</v>
      </c>
      <c r="I31" s="345"/>
      <c r="J31" s="217"/>
      <c r="K31" s="217"/>
      <c r="L31" s="217"/>
      <c r="M31" s="217"/>
    </row>
    <row r="32" spans="1:13" ht="13.35" customHeight="1" x14ac:dyDescent="0.2">
      <c r="B32" s="346" t="s">
        <v>2051</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630000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0"/>
      <c r="C54" s="2191"/>
      <c r="D54" s="2191"/>
      <c r="E54" s="2191"/>
      <c r="F54" s="2191"/>
      <c r="G54" s="2191"/>
      <c r="H54" s="2191"/>
      <c r="I54" s="2191"/>
      <c r="J54" s="2191"/>
      <c r="K54" s="2191"/>
      <c r="L54" s="2192"/>
      <c r="M54" s="357"/>
    </row>
    <row r="55" spans="1:13" ht="12.75" customHeight="1" x14ac:dyDescent="0.2">
      <c r="B55" s="2193"/>
      <c r="C55" s="2194"/>
      <c r="D55" s="2194"/>
      <c r="E55" s="2194"/>
      <c r="F55" s="2194"/>
      <c r="G55" s="2194"/>
      <c r="H55" s="2194"/>
      <c r="I55" s="2194"/>
      <c r="J55" s="2194"/>
      <c r="K55" s="2194"/>
      <c r="L55" s="2195"/>
      <c r="M55" s="357"/>
    </row>
    <row r="56" spans="1:13" ht="12.75" customHeight="1" x14ac:dyDescent="0.2">
      <c r="B56" s="2193"/>
      <c r="C56" s="2194"/>
      <c r="D56" s="2194"/>
      <c r="E56" s="2194"/>
      <c r="F56" s="2194"/>
      <c r="G56" s="2194"/>
      <c r="H56" s="2194"/>
      <c r="I56" s="2194"/>
      <c r="J56" s="2194"/>
      <c r="K56" s="2194"/>
      <c r="L56" s="2195"/>
      <c r="M56" s="217"/>
    </row>
    <row r="57" spans="1:13" ht="12.75" customHeight="1" x14ac:dyDescent="0.2">
      <c r="B57" s="2193"/>
      <c r="C57" s="2194"/>
      <c r="D57" s="2194"/>
      <c r="E57" s="2194"/>
      <c r="F57" s="2194"/>
      <c r="G57" s="2194"/>
      <c r="H57" s="2194"/>
      <c r="I57" s="2194"/>
      <c r="J57" s="2194"/>
      <c r="K57" s="2194"/>
      <c r="L57" s="2195"/>
      <c r="M57" s="217"/>
    </row>
    <row r="58" spans="1:13" x14ac:dyDescent="0.2">
      <c r="B58" s="2196"/>
      <c r="C58" s="2197"/>
      <c r="D58" s="2197"/>
      <c r="E58" s="2197"/>
      <c r="F58" s="2197"/>
      <c r="G58" s="2197"/>
      <c r="H58" s="2197"/>
      <c r="I58" s="2197"/>
      <c r="J58" s="2197"/>
      <c r="K58" s="2197"/>
      <c r="L58" s="219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1"/>
      <c r="D61" s="220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4"/>
      <c r="B1" s="2205"/>
      <c r="C1" s="2205"/>
      <c r="D1" s="361"/>
      <c r="E1" s="361"/>
      <c r="F1" s="361"/>
      <c r="G1" s="361"/>
      <c r="H1" s="361"/>
      <c r="I1" s="361"/>
      <c r="J1" s="361"/>
      <c r="K1" s="361"/>
      <c r="L1" s="361"/>
      <c r="M1" s="361"/>
      <c r="N1" s="361"/>
      <c r="O1" s="2204"/>
      <c r="P1" s="2205"/>
      <c r="Q1" s="2205"/>
    </row>
    <row r="2" spans="1:18" ht="15" x14ac:dyDescent="0.2">
      <c r="A2" s="2208" t="s">
        <v>552</v>
      </c>
      <c r="B2" s="2208"/>
      <c r="C2" s="2208"/>
      <c r="D2" s="2208"/>
      <c r="E2" s="2208"/>
      <c r="F2" s="2208"/>
      <c r="G2" s="2208"/>
      <c r="H2" s="2208"/>
      <c r="I2" s="2208"/>
      <c r="J2" s="2208"/>
      <c r="K2" s="2208"/>
      <c r="L2" s="2208"/>
      <c r="M2" s="2208"/>
      <c r="N2" s="2208"/>
      <c r="O2" s="2208"/>
      <c r="P2" s="2208"/>
      <c r="Q2" s="2208"/>
      <c r="R2" s="2208"/>
    </row>
    <row r="3" spans="1:18" ht="12.75" x14ac:dyDescent="0.2">
      <c r="A3" s="2209" t="s">
        <v>1396</v>
      </c>
      <c r="B3" s="2209"/>
      <c r="C3" s="2209"/>
      <c r="D3" s="2209"/>
      <c r="E3" s="2209"/>
      <c r="F3" s="2209"/>
      <c r="G3" s="2209"/>
      <c r="H3" s="2209"/>
      <c r="I3" s="2209"/>
      <c r="J3" s="2209"/>
      <c r="K3" s="2209"/>
      <c r="L3" s="2209"/>
      <c r="M3" s="2209"/>
      <c r="N3" s="2209"/>
      <c r="O3" s="2209"/>
      <c r="P3" s="2209"/>
      <c r="Q3" s="2209"/>
      <c r="R3" s="2209"/>
    </row>
    <row r="4" spans="1:18" x14ac:dyDescent="0.2">
      <c r="A4" s="2210" t="s">
        <v>1537</v>
      </c>
      <c r="B4" s="2210"/>
      <c r="C4" s="2210"/>
      <c r="D4" s="2210"/>
      <c r="E4" s="2210"/>
      <c r="F4" s="2210"/>
      <c r="G4" s="2210"/>
      <c r="H4" s="2210"/>
      <c r="I4" s="2210"/>
      <c r="J4" s="2210"/>
      <c r="K4" s="2210"/>
      <c r="L4" s="2210"/>
      <c r="M4" s="2210"/>
      <c r="N4" s="2210"/>
      <c r="O4" s="2210"/>
      <c r="P4" s="2210"/>
      <c r="Q4" s="2210"/>
      <c r="R4" s="221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Galva CUSD 224</v>
      </c>
      <c r="E7" s="368"/>
      <c r="G7" s="247"/>
      <c r="H7" s="364"/>
      <c r="I7" s="364"/>
      <c r="J7" s="364"/>
      <c r="K7" s="364"/>
      <c r="L7" s="307"/>
      <c r="M7" s="307"/>
      <c r="N7" s="307"/>
      <c r="O7" s="307"/>
      <c r="P7" s="307"/>
    </row>
    <row r="8" spans="1:18" ht="12.75" x14ac:dyDescent="0.2">
      <c r="A8" s="307"/>
      <c r="B8" s="307"/>
      <c r="C8" s="366" t="s">
        <v>1115</v>
      </c>
      <c r="D8" s="369">
        <f>COVER!A13</f>
        <v>28037224026</v>
      </c>
      <c r="E8" s="370"/>
      <c r="G8" s="307"/>
      <c r="H8" s="307"/>
      <c r="I8" s="307"/>
      <c r="J8" s="307"/>
      <c r="K8" s="307"/>
      <c r="L8" s="307"/>
      <c r="M8" s="307"/>
      <c r="N8" s="307"/>
      <c r="O8" s="307"/>
      <c r="P8" s="307"/>
    </row>
    <row r="9" spans="1:18" ht="12.75" x14ac:dyDescent="0.2">
      <c r="A9" s="307"/>
      <c r="B9" s="307"/>
      <c r="C9" s="366" t="s">
        <v>708</v>
      </c>
      <c r="D9" s="371" t="str">
        <f>COVER!A15</f>
        <v>Henry</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3215729</v>
      </c>
      <c r="I12" s="380"/>
      <c r="J12" s="380"/>
      <c r="K12" s="1559">
        <f>TRUNC((H12/H13*100000),5)/100000</f>
        <v>0.60724177960000003</v>
      </c>
      <c r="L12" s="381"/>
      <c r="M12" s="337" t="s">
        <v>1134</v>
      </c>
      <c r="N12" s="337"/>
      <c r="O12" s="1562">
        <v>0.35</v>
      </c>
      <c r="P12" s="213"/>
      <c r="Q12" s="213"/>
    </row>
    <row r="13" spans="1:18" s="382" customFormat="1" ht="12.75" x14ac:dyDescent="0.2">
      <c r="A13" s="213"/>
      <c r="B13" s="377"/>
      <c r="C13" s="2206" t="s">
        <v>1313</v>
      </c>
      <c r="D13" s="2207"/>
      <c r="E13" s="213"/>
      <c r="F13" s="383" t="s">
        <v>788</v>
      </c>
      <c r="G13" s="378"/>
      <c r="H13" s="1551">
        <f>SUM('Acct Summary 7-8'!C8+'Acct Summary 7-8'!D8+'Acct Summary 7-8'!F8+'Acct Summary 7-8'!I8)+H14</f>
        <v>5295632</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t="str">
        <f>IF(K17&gt;1.2,"1",IF(K17&gt;1.1,"2",IF(K17&gt;1,"3",4)))</f>
        <v>3</v>
      </c>
      <c r="P16" s="211"/>
      <c r="R16" s="361"/>
    </row>
    <row r="17" spans="1:18" s="382" customFormat="1" ht="11.25" x14ac:dyDescent="0.2">
      <c r="A17" s="213"/>
      <c r="B17" s="377"/>
      <c r="C17" s="213" t="s">
        <v>792</v>
      </c>
      <c r="D17" s="213"/>
      <c r="E17" s="213"/>
      <c r="F17" s="213" t="s">
        <v>441</v>
      </c>
      <c r="G17" s="378"/>
      <c r="H17" s="1551">
        <f>SUM('Acct Summary 7-8'!C17+'Acct Summary 7-8'!D17+'Acct Summary 7-8'!F17)</f>
        <v>5688304</v>
      </c>
      <c r="I17" s="380"/>
      <c r="J17" s="389"/>
      <c r="K17" s="1559">
        <f>TRUNC((H17/H18*100000),5)/100000</f>
        <v>1.0741501675</v>
      </c>
      <c r="L17" s="381"/>
      <c r="M17" s="390" t="s">
        <v>1161</v>
      </c>
      <c r="O17" s="1565" t="str">
        <f>IF(AND(O16="2", J20 &gt; 2),"1",IF(AND(O16 = "1", J20 &gt; 2),"2",IF(AND(O16="1", J20 &gt;1),"1","0")))</f>
        <v>0</v>
      </c>
      <c r="P17" s="213"/>
    </row>
    <row r="18" spans="1:18" s="382" customFormat="1" ht="11.25" x14ac:dyDescent="0.2">
      <c r="A18" s="213"/>
      <c r="B18" s="377"/>
      <c r="C18" s="2206" t="s">
        <v>1306</v>
      </c>
      <c r="D18" s="2207"/>
      <c r="E18" s="213"/>
      <c r="F18" s="391" t="s">
        <v>789</v>
      </c>
      <c r="G18" s="378"/>
      <c r="H18" s="1551">
        <f>SUM('Acct Summary 7-8'!C8+'Acct Summary 7-8'!D8+'Acct Summary 7-8'!F8+'Acct Summary 7-8'!I8)+H19</f>
        <v>5295632</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f>IF(K17&lt;=1,"0",TRUNC(((K12-0.1)/(K17-1)*100),5)/100)</f>
        <v>6.8407367999999993</v>
      </c>
      <c r="K20" s="1559" t="str">
        <f>IF(K17&lt;=1,"0",IF(AND(O16="2", J20 &gt; 2),TRUNC(((K12-0.1)/(K17-1)*100),5)/100,IF(AND(O16 = "1", J20 &gt; 2),TRUNC(((K12-0.1)/(K17-1)*100),5)/100,IF(AND(O16="1", J20 &gt;1),TRUNC(((K12-0.1)/(K17-1)*100),5)/100,""))))</f>
        <v/>
      </c>
      <c r="L20" s="213"/>
      <c r="M20" s="337" t="s">
        <v>1135</v>
      </c>
      <c r="N20" s="337"/>
      <c r="O20" s="1563">
        <f>(O16+O17)*O18</f>
        <v>1.0499999999999998</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03" t="s">
        <v>1395</v>
      </c>
      <c r="D24" s="2203"/>
      <c r="E24" s="213"/>
      <c r="F24" s="213" t="s">
        <v>442</v>
      </c>
      <c r="G24" s="378"/>
      <c r="H24" s="1551">
        <f>SUM('Assets-Liab 5-6'!C4+'Assets-Liab 5-6'!D4+'Assets-Liab 5-6'!F4+'Assets-Liab 5-6'!I4+'Assets-Liab 5-6'!C5+'Assets-Liab 5-6'!D5+'Assets-Liab 5-6'!F5+'Assets-Liab 5-6'!I5)</f>
        <v>3215729</v>
      </c>
      <c r="I24" s="394"/>
      <c r="J24" s="394"/>
      <c r="K24" s="1555">
        <f>TRUNC(((H24/H25*100000)/100000),2)</f>
        <v>203.51</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15800.844440000001</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2283557.8821</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630000</v>
      </c>
      <c r="I32" s="392"/>
      <c r="J32" s="392"/>
      <c r="K32" s="1555">
        <f>TRUNC(100-((((H32/H33*100))*100)/100),2)</f>
        <v>94.64</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11758399.572000001</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3.6499999999999995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F79" sqref="F79"/>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1"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2"/>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3" t="s">
        <v>967</v>
      </c>
      <c r="B3" s="2214"/>
      <c r="C3" s="1306"/>
      <c r="D3" s="1307"/>
      <c r="E3" s="1307"/>
      <c r="F3" s="1307"/>
      <c r="G3" s="1307"/>
      <c r="H3" s="1307"/>
      <c r="I3" s="1307"/>
      <c r="J3" s="1307"/>
      <c r="K3" s="1307"/>
      <c r="L3" s="1307"/>
      <c r="M3" s="1308"/>
      <c r="N3" s="1309"/>
    </row>
    <row r="4" spans="1:14" ht="13.5" customHeight="1" x14ac:dyDescent="0.2">
      <c r="A4" s="427" t="s">
        <v>1632</v>
      </c>
      <c r="B4" s="428"/>
      <c r="C4" s="1572">
        <v>115578</v>
      </c>
      <c r="D4" s="1573">
        <v>333648</v>
      </c>
      <c r="E4" s="1573">
        <v>97012</v>
      </c>
      <c r="F4" s="1573">
        <v>145331</v>
      </c>
      <c r="G4" s="1573">
        <v>78990</v>
      </c>
      <c r="H4" s="1573">
        <v>117730</v>
      </c>
      <c r="I4" s="1573">
        <v>21954</v>
      </c>
      <c r="J4" s="1574">
        <v>215492</v>
      </c>
      <c r="K4" s="1573">
        <v>22690</v>
      </c>
      <c r="L4" s="1573">
        <v>109689</v>
      </c>
      <c r="M4" s="1575"/>
      <c r="N4" s="1576"/>
    </row>
    <row r="5" spans="1:14" x14ac:dyDescent="0.2">
      <c r="A5" s="427" t="s">
        <v>985</v>
      </c>
      <c r="B5" s="429">
        <v>120</v>
      </c>
      <c r="C5" s="1572">
        <v>1875034</v>
      </c>
      <c r="D5" s="1573">
        <v>368538</v>
      </c>
      <c r="E5" s="1573">
        <v>50000</v>
      </c>
      <c r="F5" s="1573">
        <v>350000</v>
      </c>
      <c r="G5" s="1573">
        <v>250000</v>
      </c>
      <c r="H5" s="1573">
        <v>0</v>
      </c>
      <c r="I5" s="1573">
        <v>5646</v>
      </c>
      <c r="J5" s="1574">
        <v>150000</v>
      </c>
      <c r="K5" s="1577">
        <v>50000</v>
      </c>
      <c r="L5" s="1578">
        <v>0</v>
      </c>
      <c r="M5" s="1575"/>
      <c r="N5" s="1576"/>
    </row>
    <row r="6" spans="1:14" ht="13.5" customHeight="1" x14ac:dyDescent="0.2">
      <c r="A6" s="430" t="s">
        <v>414</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415</v>
      </c>
      <c r="B7" s="429">
        <v>140</v>
      </c>
      <c r="C7" s="1581">
        <v>0</v>
      </c>
      <c r="D7" s="1574">
        <v>0</v>
      </c>
      <c r="E7" s="1574"/>
      <c r="F7" s="1574">
        <v>0</v>
      </c>
      <c r="G7" s="1574"/>
      <c r="H7" s="1574"/>
      <c r="I7" s="1574">
        <v>0</v>
      </c>
      <c r="J7" s="1574"/>
      <c r="K7" s="1574"/>
      <c r="L7" s="1582"/>
      <c r="M7" s="1575"/>
      <c r="N7" s="1576"/>
    </row>
    <row r="8" spans="1:14" ht="13.5" customHeight="1" x14ac:dyDescent="0.2">
      <c r="A8" s="430" t="s">
        <v>267</v>
      </c>
      <c r="B8" s="429">
        <v>150</v>
      </c>
      <c r="C8" s="1581">
        <v>0</v>
      </c>
      <c r="D8" s="1574">
        <v>0</v>
      </c>
      <c r="E8" s="1574"/>
      <c r="F8" s="1574">
        <v>0</v>
      </c>
      <c r="G8" s="1583">
        <v>0</v>
      </c>
      <c r="H8" s="1574">
        <v>0</v>
      </c>
      <c r="I8" s="1579"/>
      <c r="J8" s="1579"/>
      <c r="K8" s="1584"/>
      <c r="L8" s="1585"/>
      <c r="M8" s="1575"/>
      <c r="N8" s="1576"/>
    </row>
    <row r="9" spans="1:14" ht="13.5" customHeight="1" x14ac:dyDescent="0.2">
      <c r="A9" s="430" t="s">
        <v>268</v>
      </c>
      <c r="B9" s="429">
        <v>160</v>
      </c>
      <c r="C9" s="1581">
        <v>0</v>
      </c>
      <c r="D9" s="1574">
        <v>0</v>
      </c>
      <c r="E9" s="1574">
        <v>0</v>
      </c>
      <c r="F9" s="1574">
        <v>0</v>
      </c>
      <c r="G9" s="1574">
        <v>0</v>
      </c>
      <c r="H9" s="1583">
        <v>0</v>
      </c>
      <c r="I9" s="1574">
        <v>0</v>
      </c>
      <c r="J9" s="1574">
        <v>0</v>
      </c>
      <c r="K9" s="1574">
        <v>0</v>
      </c>
      <c r="L9" s="1574">
        <v>0</v>
      </c>
      <c r="M9" s="1575"/>
      <c r="N9" s="1576"/>
    </row>
    <row r="10" spans="1:14" ht="13.5" customHeight="1" x14ac:dyDescent="0.2">
      <c r="A10" s="430" t="s">
        <v>984</v>
      </c>
      <c r="B10" s="429">
        <v>170</v>
      </c>
      <c r="C10" s="1572">
        <v>0</v>
      </c>
      <c r="D10" s="1573">
        <v>0</v>
      </c>
      <c r="E10" s="1574"/>
      <c r="F10" s="1573">
        <v>0</v>
      </c>
      <c r="G10" s="1583"/>
      <c r="H10" s="1586">
        <v>0</v>
      </c>
      <c r="I10" s="1574"/>
      <c r="J10" s="1574"/>
      <c r="K10" s="1586">
        <v>0</v>
      </c>
      <c r="L10" s="1586">
        <v>0</v>
      </c>
      <c r="M10" s="1576"/>
      <c r="N10" s="1576"/>
    </row>
    <row r="11" spans="1:14" ht="13.5" customHeight="1" x14ac:dyDescent="0.2">
      <c r="A11" s="430" t="s">
        <v>269</v>
      </c>
      <c r="B11" s="429">
        <v>180</v>
      </c>
      <c r="C11" s="1581">
        <v>0</v>
      </c>
      <c r="D11" s="1574">
        <v>0</v>
      </c>
      <c r="E11" s="1574"/>
      <c r="F11" s="1574">
        <v>0</v>
      </c>
      <c r="G11" s="1574">
        <v>0</v>
      </c>
      <c r="H11" s="1574">
        <v>0</v>
      </c>
      <c r="I11" s="1583">
        <v>0</v>
      </c>
      <c r="J11" s="1583"/>
      <c r="K11" s="1574">
        <v>0</v>
      </c>
      <c r="L11" s="1574">
        <v>0</v>
      </c>
      <c r="M11" s="1576"/>
      <c r="N11" s="1576"/>
    </row>
    <row r="12" spans="1:14" ht="13.5" customHeight="1" x14ac:dyDescent="0.2">
      <c r="A12" s="430" t="s">
        <v>416</v>
      </c>
      <c r="B12" s="429">
        <v>190</v>
      </c>
      <c r="C12" s="1572">
        <v>0</v>
      </c>
      <c r="D12" s="1573">
        <v>0</v>
      </c>
      <c r="E12" s="1573">
        <v>0</v>
      </c>
      <c r="F12" s="1573">
        <v>0</v>
      </c>
      <c r="G12" s="1573">
        <v>0</v>
      </c>
      <c r="H12" s="1573">
        <v>0</v>
      </c>
      <c r="I12" s="1573">
        <v>0</v>
      </c>
      <c r="J12" s="1574">
        <v>0</v>
      </c>
      <c r="K12" s="1573">
        <v>0</v>
      </c>
      <c r="L12" s="1573">
        <v>0</v>
      </c>
      <c r="M12" s="1576"/>
      <c r="N12" s="1576"/>
    </row>
    <row r="13" spans="1:14" ht="13.5" customHeight="1" thickBot="1" x14ac:dyDescent="0.25">
      <c r="A13" s="1426" t="s">
        <v>639</v>
      </c>
      <c r="B13" s="1407"/>
      <c r="C13" s="1587">
        <f>SUM(C4:C12)</f>
        <v>1990612</v>
      </c>
      <c r="D13" s="1587">
        <f t="shared" ref="D13:L13" si="0">SUM(D4:D12)</f>
        <v>702186</v>
      </c>
      <c r="E13" s="1587">
        <f t="shared" si="0"/>
        <v>147012</v>
      </c>
      <c r="F13" s="1587">
        <f t="shared" si="0"/>
        <v>495331</v>
      </c>
      <c r="G13" s="1587">
        <f t="shared" si="0"/>
        <v>328990</v>
      </c>
      <c r="H13" s="1587">
        <f t="shared" si="0"/>
        <v>117730</v>
      </c>
      <c r="I13" s="1587">
        <f t="shared" si="0"/>
        <v>27600</v>
      </c>
      <c r="J13" s="1587">
        <f t="shared" si="0"/>
        <v>365492</v>
      </c>
      <c r="K13" s="1587">
        <f t="shared" si="0"/>
        <v>72690</v>
      </c>
      <c r="L13" s="1587">
        <f t="shared" si="0"/>
        <v>109689</v>
      </c>
      <c r="M13" s="1575"/>
      <c r="N13" s="1576"/>
    </row>
    <row r="14" spans="1:14" ht="18" customHeight="1" thickTop="1" x14ac:dyDescent="0.2">
      <c r="A14" s="2215" t="s">
        <v>146</v>
      </c>
      <c r="B14" s="2216"/>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v>0</v>
      </c>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36210</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4768693</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2210967</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1314183</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v>7227</v>
      </c>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147012</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482988</v>
      </c>
    </row>
    <row r="23" spans="1:14" ht="13.5" customHeight="1" thickBot="1" x14ac:dyDescent="0.25">
      <c r="A23" s="1426" t="s">
        <v>638</v>
      </c>
      <c r="B23" s="1429"/>
      <c r="C23" s="1575"/>
      <c r="D23" s="1575"/>
      <c r="E23" s="1575"/>
      <c r="F23" s="1575"/>
      <c r="G23" s="1575"/>
      <c r="H23" s="1575"/>
      <c r="I23" s="1575"/>
      <c r="J23" s="1575"/>
      <c r="K23" s="1575"/>
      <c r="L23" s="1575"/>
      <c r="M23" s="1594">
        <f>SUM(M15:M22)</f>
        <v>8337280</v>
      </c>
      <c r="N23" s="1594">
        <f>SUM(N21:N22)</f>
        <v>630000</v>
      </c>
    </row>
    <row r="24" spans="1:14" ht="18" customHeight="1" thickTop="1" x14ac:dyDescent="0.2">
      <c r="A24" s="2217" t="s">
        <v>594</v>
      </c>
      <c r="B24" s="2218"/>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0</v>
      </c>
      <c r="F25" s="1583">
        <v>0</v>
      </c>
      <c r="G25" s="1583">
        <v>0</v>
      </c>
      <c r="H25" s="1584">
        <v>0</v>
      </c>
      <c r="I25" s="1575"/>
      <c r="J25" s="1583">
        <v>0</v>
      </c>
      <c r="K25" s="1583">
        <v>0</v>
      </c>
      <c r="L25" s="1575"/>
      <c r="M25" s="1575"/>
      <c r="N25" s="1575"/>
    </row>
    <row r="26" spans="1:14" x14ac:dyDescent="0.2">
      <c r="A26" s="430" t="s">
        <v>641</v>
      </c>
      <c r="B26" s="429">
        <v>420</v>
      </c>
      <c r="C26" s="1574">
        <v>0</v>
      </c>
      <c r="D26" s="1574">
        <v>0</v>
      </c>
      <c r="E26" s="1574">
        <v>0</v>
      </c>
      <c r="F26" s="1574">
        <v>0</v>
      </c>
      <c r="G26" s="1574">
        <v>0</v>
      </c>
      <c r="H26" s="1574">
        <v>0</v>
      </c>
      <c r="I26" s="1574">
        <v>0</v>
      </c>
      <c r="J26" s="1579">
        <v>0</v>
      </c>
      <c r="K26" s="1574">
        <v>0</v>
      </c>
      <c r="L26" s="1575"/>
      <c r="M26" s="1575"/>
      <c r="N26" s="1575"/>
    </row>
    <row r="27" spans="1:14" ht="13.5" customHeight="1" x14ac:dyDescent="0.2">
      <c r="A27" s="430" t="s">
        <v>642</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644</v>
      </c>
      <c r="B29" s="429">
        <v>460</v>
      </c>
      <c r="C29" s="1597">
        <v>0</v>
      </c>
      <c r="D29" s="1598">
        <v>0</v>
      </c>
      <c r="E29" s="1579">
        <v>0</v>
      </c>
      <c r="F29" s="1574">
        <v>0</v>
      </c>
      <c r="G29" s="1579">
        <v>0</v>
      </c>
      <c r="H29" s="1579">
        <v>0</v>
      </c>
      <c r="I29" s="1579">
        <v>0</v>
      </c>
      <c r="J29" s="1579">
        <v>0</v>
      </c>
      <c r="K29" s="1574">
        <v>0</v>
      </c>
      <c r="L29" s="1575"/>
      <c r="M29" s="1575"/>
      <c r="N29" s="1575"/>
    </row>
    <row r="30" spans="1:14" ht="13.5" customHeight="1" x14ac:dyDescent="0.2">
      <c r="A30" s="430" t="s">
        <v>645</v>
      </c>
      <c r="B30" s="429">
        <v>470</v>
      </c>
      <c r="C30" s="1574">
        <v>0</v>
      </c>
      <c r="D30" s="1579">
        <v>0</v>
      </c>
      <c r="E30" s="1574"/>
      <c r="F30" s="1574">
        <v>0</v>
      </c>
      <c r="G30" s="1574">
        <v>0</v>
      </c>
      <c r="H30" s="1574">
        <v>0</v>
      </c>
      <c r="I30" s="1574"/>
      <c r="J30" s="1574">
        <v>0</v>
      </c>
      <c r="K30" s="1583">
        <v>0</v>
      </c>
      <c r="L30" s="1575"/>
      <c r="M30" s="1575"/>
      <c r="N30" s="1575"/>
    </row>
    <row r="31" spans="1:14" ht="13.5" customHeight="1" x14ac:dyDescent="0.2">
      <c r="A31" s="430" t="s">
        <v>646</v>
      </c>
      <c r="B31" s="429">
        <v>480</v>
      </c>
      <c r="C31" s="1573">
        <v>0</v>
      </c>
      <c r="D31" s="1574">
        <v>0</v>
      </c>
      <c r="E31" s="1574"/>
      <c r="F31" s="1573">
        <v>0</v>
      </c>
      <c r="G31" s="1574">
        <v>0</v>
      </c>
      <c r="H31" s="1574">
        <v>0</v>
      </c>
      <c r="I31" s="1574"/>
      <c r="J31" s="1574">
        <v>0</v>
      </c>
      <c r="K31" s="1574">
        <v>0</v>
      </c>
      <c r="L31" s="1575"/>
      <c r="M31" s="1575"/>
      <c r="N31" s="1575"/>
    </row>
    <row r="32" spans="1:14" ht="13.5" customHeight="1" x14ac:dyDescent="0.2">
      <c r="A32" s="434" t="s">
        <v>647</v>
      </c>
      <c r="B32" s="435">
        <v>490</v>
      </c>
      <c r="C32" s="1599">
        <v>0</v>
      </c>
      <c r="D32" s="1599">
        <v>0</v>
      </c>
      <c r="E32" s="1579">
        <v>0</v>
      </c>
      <c r="F32" s="1579">
        <v>0</v>
      </c>
      <c r="G32" s="1579">
        <v>0</v>
      </c>
      <c r="H32" s="1579">
        <v>0</v>
      </c>
      <c r="I32" s="1579">
        <v>0</v>
      </c>
      <c r="J32" s="1579">
        <v>0</v>
      </c>
      <c r="K32" s="1584">
        <v>0</v>
      </c>
      <c r="L32" s="1575"/>
      <c r="M32" s="1575"/>
      <c r="N32" s="1575"/>
    </row>
    <row r="33" spans="1:14" ht="13.5" customHeight="1" x14ac:dyDescent="0.2">
      <c r="A33" s="436" t="s">
        <v>300</v>
      </c>
      <c r="B33" s="435">
        <v>493</v>
      </c>
      <c r="C33" s="1574">
        <v>0</v>
      </c>
      <c r="D33" s="1574"/>
      <c r="E33" s="1574"/>
      <c r="F33" s="1574"/>
      <c r="G33" s="1574"/>
      <c r="H33" s="1574"/>
      <c r="I33" s="1574"/>
      <c r="J33" s="1574"/>
      <c r="K33" s="1574"/>
      <c r="L33" s="1574">
        <v>109689</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109689</v>
      </c>
      <c r="M34" s="1575"/>
      <c r="N34" s="1585"/>
    </row>
    <row r="35" spans="1:14" ht="18" customHeight="1" thickTop="1" x14ac:dyDescent="0.2">
      <c r="A35" s="2219" t="s">
        <v>526</v>
      </c>
      <c r="B35" s="2220"/>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630000</v>
      </c>
    </row>
    <row r="37" spans="1:14" ht="13.5" thickBot="1" x14ac:dyDescent="0.25">
      <c r="A37" s="1426" t="s">
        <v>648</v>
      </c>
      <c r="B37" s="1429"/>
      <c r="C37" s="1582"/>
      <c r="D37" s="1582"/>
      <c r="E37" s="1582"/>
      <c r="F37" s="1582"/>
      <c r="G37" s="1582"/>
      <c r="H37" s="1582"/>
      <c r="I37" s="1582"/>
      <c r="J37" s="1582"/>
      <c r="K37" s="1582"/>
      <c r="L37" s="1585"/>
      <c r="M37" s="1575"/>
      <c r="N37" s="1594">
        <f>SUM(N36:N36)</f>
        <v>630000</v>
      </c>
    </row>
    <row r="38" spans="1:14" s="307" customFormat="1" ht="13.5" customHeight="1" thickTop="1" x14ac:dyDescent="0.2">
      <c r="A38" s="438" t="s">
        <v>417</v>
      </c>
      <c r="B38" s="432">
        <v>714</v>
      </c>
      <c r="C38" s="1573">
        <v>142983</v>
      </c>
      <c r="D38" s="1573">
        <v>50000</v>
      </c>
      <c r="E38" s="1573">
        <v>0</v>
      </c>
      <c r="F38" s="1573">
        <v>0</v>
      </c>
      <c r="G38" s="1573">
        <v>83712</v>
      </c>
      <c r="H38" s="1573">
        <v>17708</v>
      </c>
      <c r="I38" s="1573">
        <v>0</v>
      </c>
      <c r="J38" s="1574">
        <v>0</v>
      </c>
      <c r="K38" s="1573">
        <v>0</v>
      </c>
      <c r="L38" s="1586">
        <v>0</v>
      </c>
      <c r="M38" s="1604"/>
      <c r="N38" s="1604"/>
    </row>
    <row r="39" spans="1:14" s="307" customFormat="1" ht="13.5" customHeight="1" x14ac:dyDescent="0.2">
      <c r="A39" s="438" t="s">
        <v>339</v>
      </c>
      <c r="B39" s="432">
        <v>730</v>
      </c>
      <c r="C39" s="1573">
        <v>1847629</v>
      </c>
      <c r="D39" s="1573">
        <v>652186</v>
      </c>
      <c r="E39" s="1573">
        <v>147012</v>
      </c>
      <c r="F39" s="1573">
        <v>495331</v>
      </c>
      <c r="G39" s="1573">
        <v>245278</v>
      </c>
      <c r="H39" s="1573">
        <v>100022</v>
      </c>
      <c r="I39" s="1573">
        <v>27600</v>
      </c>
      <c r="J39" s="1574">
        <v>365492</v>
      </c>
      <c r="K39" s="1573">
        <v>72690</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8337280</v>
      </c>
      <c r="N40" s="1604"/>
    </row>
    <row r="41" spans="1:14" ht="13.5" customHeight="1" thickBot="1" x14ac:dyDescent="0.25">
      <c r="A41" s="1426" t="s">
        <v>650</v>
      </c>
      <c r="B41" s="1405"/>
      <c r="C41" s="1594">
        <f>(SUM(C34,C37,C38,C39))</f>
        <v>1990612</v>
      </c>
      <c r="D41" s="1594">
        <f t="shared" ref="D41:L41" si="2">SUM(D34,D37,D38:D39)</f>
        <v>702186</v>
      </c>
      <c r="E41" s="1594">
        <f t="shared" si="2"/>
        <v>147012</v>
      </c>
      <c r="F41" s="1594">
        <f t="shared" si="2"/>
        <v>495331</v>
      </c>
      <c r="G41" s="1594">
        <f t="shared" si="2"/>
        <v>328990</v>
      </c>
      <c r="H41" s="1594">
        <f t="shared" si="2"/>
        <v>117730</v>
      </c>
      <c r="I41" s="1594">
        <f t="shared" si="2"/>
        <v>27600</v>
      </c>
      <c r="J41" s="1594">
        <f t="shared" si="2"/>
        <v>365492</v>
      </c>
      <c r="K41" s="1594">
        <f t="shared" si="2"/>
        <v>72690</v>
      </c>
      <c r="L41" s="1594">
        <f t="shared" si="2"/>
        <v>109689</v>
      </c>
      <c r="M41" s="1594">
        <f>SUM(M40)</f>
        <v>8337280</v>
      </c>
      <c r="N41" s="1594">
        <f>SUM(N37)</f>
        <v>630000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F79" sqref="F79"/>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9"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0"/>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1" t="s">
        <v>1165</v>
      </c>
      <c r="B3" s="2242"/>
      <c r="C3" s="1311"/>
      <c r="D3" s="1312"/>
      <c r="E3" s="1312"/>
      <c r="F3" s="1312"/>
      <c r="G3" s="1312"/>
      <c r="H3" s="1312"/>
      <c r="I3" s="1312"/>
      <c r="J3" s="1312"/>
      <c r="K3" s="1313"/>
      <c r="L3" s="446"/>
    </row>
    <row r="4" spans="1:13" ht="15.75" customHeight="1" x14ac:dyDescent="0.2">
      <c r="A4" s="1537" t="s">
        <v>1482</v>
      </c>
      <c r="B4" s="1538">
        <v>1000</v>
      </c>
      <c r="C4" s="1606">
        <f>'Revenues 9-14'!C109</f>
        <v>2289198</v>
      </c>
      <c r="D4" s="1606">
        <f>'Revenues 9-14'!D109</f>
        <v>619329</v>
      </c>
      <c r="E4" s="1606">
        <f>'Revenues 9-14'!E109</f>
        <v>322232</v>
      </c>
      <c r="F4" s="1606">
        <f>'Revenues 9-14'!F109</f>
        <v>169710</v>
      </c>
      <c r="G4" s="1606">
        <f>'Revenues 9-14'!G109</f>
        <v>204315</v>
      </c>
      <c r="H4" s="1606">
        <f>'Revenues 9-14'!H109</f>
        <v>153682</v>
      </c>
      <c r="I4" s="1606">
        <f>'Revenues 9-14'!I109</f>
        <v>58449</v>
      </c>
      <c r="J4" s="1606">
        <f>'Revenues 9-14'!J109</f>
        <v>639808</v>
      </c>
      <c r="K4" s="1606">
        <f>'Revenues 9-14'!K109</f>
        <v>41391</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1318360</v>
      </c>
      <c r="D6" s="1607">
        <f>'Revenues 9-14'!D170</f>
        <v>59964</v>
      </c>
      <c r="E6" s="1607">
        <f>'Revenues 9-14'!E170</f>
        <v>0</v>
      </c>
      <c r="F6" s="1607">
        <f>'Revenues 9-14'!F170</f>
        <v>203466</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577156</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4184714</v>
      </c>
      <c r="D8" s="1594">
        <f t="shared" ref="D8:K8" si="0">SUM(D4:D7)</f>
        <v>679293</v>
      </c>
      <c r="E8" s="1594">
        <f t="shared" si="0"/>
        <v>322232</v>
      </c>
      <c r="F8" s="1594">
        <f t="shared" si="0"/>
        <v>373176</v>
      </c>
      <c r="G8" s="1594">
        <f t="shared" si="0"/>
        <v>204315</v>
      </c>
      <c r="H8" s="1594">
        <f t="shared" si="0"/>
        <v>153682</v>
      </c>
      <c r="I8" s="1594">
        <f t="shared" si="0"/>
        <v>58449</v>
      </c>
      <c r="J8" s="1594">
        <f t="shared" si="0"/>
        <v>639808</v>
      </c>
      <c r="K8" s="1594">
        <f t="shared" si="0"/>
        <v>41391</v>
      </c>
      <c r="L8" s="325"/>
    </row>
    <row r="9" spans="1:13" ht="15.75" thickTop="1" x14ac:dyDescent="0.2">
      <c r="A9" s="449" t="s">
        <v>1634</v>
      </c>
      <c r="B9" s="450">
        <v>3998</v>
      </c>
      <c r="C9" s="1586">
        <v>2018664</v>
      </c>
      <c r="D9" s="1613"/>
      <c r="E9" s="1586"/>
      <c r="F9" s="1586"/>
      <c r="G9" s="1614"/>
      <c r="H9" s="1586"/>
      <c r="I9" s="1609" t="s">
        <v>1159</v>
      </c>
      <c r="J9" s="1583"/>
      <c r="K9" s="1586"/>
      <c r="L9" s="325"/>
    </row>
    <row r="10" spans="1:13" s="452" customFormat="1" ht="13.5" thickBot="1" x14ac:dyDescent="0.25">
      <c r="A10" s="1426" t="s">
        <v>1163</v>
      </c>
      <c r="B10" s="1407"/>
      <c r="C10" s="1594">
        <f>SUM(C8:C9)</f>
        <v>6203378</v>
      </c>
      <c r="D10" s="1594">
        <f t="shared" ref="D10:K10" si="1">SUM(D8:D9)</f>
        <v>679293</v>
      </c>
      <c r="E10" s="1594">
        <f t="shared" si="1"/>
        <v>322232</v>
      </c>
      <c r="F10" s="1594">
        <f t="shared" si="1"/>
        <v>373176</v>
      </c>
      <c r="G10" s="1594">
        <f t="shared" si="1"/>
        <v>204315</v>
      </c>
      <c r="H10" s="1594">
        <f t="shared" si="1"/>
        <v>153682</v>
      </c>
      <c r="I10" s="1594">
        <f t="shared" si="1"/>
        <v>58449</v>
      </c>
      <c r="J10" s="1594">
        <f t="shared" si="1"/>
        <v>639808</v>
      </c>
      <c r="K10" s="1594">
        <f t="shared" si="1"/>
        <v>41391</v>
      </c>
      <c r="L10" s="451"/>
    </row>
    <row r="11" spans="1:13" s="452" customFormat="1" ht="16.7" customHeight="1" thickTop="1" x14ac:dyDescent="0.2">
      <c r="A11" s="2215" t="s">
        <v>1166</v>
      </c>
      <c r="B11" s="2216"/>
      <c r="C11" s="1602"/>
      <c r="D11" s="1603"/>
      <c r="E11" s="1603"/>
      <c r="F11" s="1603"/>
      <c r="G11" s="1603"/>
      <c r="H11" s="1603"/>
      <c r="I11" s="1603"/>
      <c r="J11" s="1603"/>
      <c r="K11" s="1615"/>
      <c r="L11" s="451"/>
    </row>
    <row r="12" spans="1:13" ht="15.75" customHeight="1" x14ac:dyDescent="0.2">
      <c r="A12" s="1314" t="s">
        <v>453</v>
      </c>
      <c r="B12" s="1316">
        <v>1000</v>
      </c>
      <c r="C12" s="1606">
        <f>'Expenditures 15-22'!K33</f>
        <v>2534249</v>
      </c>
      <c r="D12" s="1616" t="s">
        <v>1159</v>
      </c>
      <c r="E12" s="1575" t="s">
        <v>1159</v>
      </c>
      <c r="F12" s="1575" t="s">
        <v>1159</v>
      </c>
      <c r="G12" s="1606">
        <f>'Expenditures 15-22'!K229</f>
        <v>46187</v>
      </c>
      <c r="H12" s="1617"/>
      <c r="I12" s="1575" t="s">
        <v>1159</v>
      </c>
      <c r="J12" s="1575" t="s">
        <v>1159</v>
      </c>
      <c r="K12" s="1617" t="s">
        <v>1159</v>
      </c>
      <c r="L12" s="325"/>
    </row>
    <row r="13" spans="1:13" ht="15.75" customHeight="1" x14ac:dyDescent="0.2">
      <c r="A13" s="1314" t="s">
        <v>454</v>
      </c>
      <c r="B13" s="1316">
        <v>2000</v>
      </c>
      <c r="C13" s="1607">
        <f>'Expenditures 15-22'!K74</f>
        <v>1238652</v>
      </c>
      <c r="D13" s="1607">
        <f>'Expenditures 15-22'!K129</f>
        <v>737494</v>
      </c>
      <c r="E13" s="1576" t="s">
        <v>1159</v>
      </c>
      <c r="F13" s="1607">
        <f>'Expenditures 15-22'!K184</f>
        <v>377220</v>
      </c>
      <c r="G13" s="1607">
        <f>'Expenditures 15-22'!K279</f>
        <v>153240</v>
      </c>
      <c r="H13" s="1607">
        <f>'Expenditures 15-22'!K303</f>
        <v>191399</v>
      </c>
      <c r="I13" s="1575" t="s">
        <v>1159</v>
      </c>
      <c r="J13" s="1607">
        <f>'Expenditures 15-22'!K330</f>
        <v>546458</v>
      </c>
      <c r="K13" s="1618">
        <f>'Expenditures 15-22'!K352</f>
        <v>0</v>
      </c>
      <c r="L13" s="325"/>
    </row>
    <row r="14" spans="1:13" ht="15.75" customHeight="1" x14ac:dyDescent="0.2">
      <c r="A14" s="1314" t="s">
        <v>446</v>
      </c>
      <c r="B14" s="1316">
        <v>3000</v>
      </c>
      <c r="C14" s="1607">
        <f>'Expenditures 15-22'!K75</f>
        <v>17068</v>
      </c>
      <c r="D14" s="1607">
        <f>'Expenditures 15-22'!K130</f>
        <v>0</v>
      </c>
      <c r="E14" s="1616" t="s">
        <v>1159</v>
      </c>
      <c r="F14" s="1607">
        <f>'Expenditures 15-22'!K185</f>
        <v>0</v>
      </c>
      <c r="G14" s="1607">
        <f>'Expenditures 15-22'!K280</f>
        <v>2900</v>
      </c>
      <c r="H14" s="1612"/>
      <c r="I14" s="1575" t="s">
        <v>1159</v>
      </c>
      <c r="J14" s="1575" t="s">
        <v>1159</v>
      </c>
      <c r="K14" s="1612" t="s">
        <v>1159</v>
      </c>
      <c r="L14" s="325"/>
    </row>
    <row r="15" spans="1:13" ht="15.75" customHeight="1" x14ac:dyDescent="0.2">
      <c r="A15" s="1314" t="s">
        <v>107</v>
      </c>
      <c r="B15" s="1316">
        <v>4000</v>
      </c>
      <c r="C15" s="1607">
        <f>'Expenditures 15-22'!K102</f>
        <v>783621</v>
      </c>
      <c r="D15" s="1607">
        <f>'Expenditures 15-22'!K139</f>
        <v>0</v>
      </c>
      <c r="E15" s="1607">
        <f>'Expenditures 15-22'!K160</f>
        <v>0</v>
      </c>
      <c r="F15" s="1607">
        <f>'Expenditures 15-22'!K196</f>
        <v>0</v>
      </c>
      <c r="G15" s="1607">
        <f>'Expenditures 15-22'!K285</f>
        <v>19342</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322450</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4573590</v>
      </c>
      <c r="D17" s="1594">
        <f t="shared" si="2"/>
        <v>737494</v>
      </c>
      <c r="E17" s="1594">
        <f t="shared" si="2"/>
        <v>322450</v>
      </c>
      <c r="F17" s="1594">
        <f t="shared" si="2"/>
        <v>377220</v>
      </c>
      <c r="G17" s="1594">
        <f t="shared" si="2"/>
        <v>221669</v>
      </c>
      <c r="H17" s="1594">
        <f t="shared" si="2"/>
        <v>191399</v>
      </c>
      <c r="I17" s="1575"/>
      <c r="J17" s="1594">
        <f>SUM(J12:J16)</f>
        <v>546458</v>
      </c>
      <c r="K17" s="1594">
        <f>SUM(K12:K16)</f>
        <v>0</v>
      </c>
      <c r="L17" s="325"/>
    </row>
    <row r="18" spans="1:12" ht="15" customHeight="1" thickTop="1" x14ac:dyDescent="0.2">
      <c r="A18" s="1430" t="s">
        <v>1635</v>
      </c>
      <c r="B18" s="1431">
        <v>4180</v>
      </c>
      <c r="C18" s="1606">
        <f t="shared" ref="C18:H18" si="3">C9</f>
        <v>2018664</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6592254</v>
      </c>
      <c r="D19" s="1594">
        <f t="shared" si="4"/>
        <v>737494</v>
      </c>
      <c r="E19" s="1594">
        <f t="shared" si="4"/>
        <v>322450</v>
      </c>
      <c r="F19" s="1594">
        <f t="shared" si="4"/>
        <v>377220</v>
      </c>
      <c r="G19" s="1594">
        <f t="shared" si="4"/>
        <v>221669</v>
      </c>
      <c r="H19" s="1594">
        <f t="shared" si="4"/>
        <v>191399</v>
      </c>
      <c r="I19" s="1575"/>
      <c r="J19" s="1594">
        <f>SUM(J17:J18)</f>
        <v>546458</v>
      </c>
      <c r="K19" s="1594">
        <f>SUM(K17:K18)</f>
        <v>0</v>
      </c>
      <c r="L19" s="325"/>
    </row>
    <row r="20" spans="1:12" ht="16.5" thickTop="1" thickBot="1" x14ac:dyDescent="0.25">
      <c r="A20" s="2231" t="s">
        <v>1636</v>
      </c>
      <c r="B20" s="2232"/>
      <c r="C20" s="1622">
        <f>C8-C17</f>
        <v>-388876</v>
      </c>
      <c r="D20" s="1622">
        <f t="shared" ref="D20:K20" si="5">D8-D17</f>
        <v>-58201</v>
      </c>
      <c r="E20" s="1622">
        <f t="shared" si="5"/>
        <v>-218</v>
      </c>
      <c r="F20" s="1622">
        <f t="shared" si="5"/>
        <v>-4044</v>
      </c>
      <c r="G20" s="1622">
        <f t="shared" si="5"/>
        <v>-17354</v>
      </c>
      <c r="H20" s="1622">
        <f t="shared" si="5"/>
        <v>-37717</v>
      </c>
      <c r="I20" s="1622">
        <f t="shared" si="5"/>
        <v>58449</v>
      </c>
      <c r="J20" s="1622">
        <f t="shared" si="5"/>
        <v>93350</v>
      </c>
      <c r="K20" s="1622">
        <f t="shared" si="5"/>
        <v>41391</v>
      </c>
      <c r="L20" s="325"/>
    </row>
    <row r="21" spans="1:12" ht="16.7" customHeight="1" thickTop="1" x14ac:dyDescent="0.2">
      <c r="A21" s="2243" t="s">
        <v>591</v>
      </c>
      <c r="B21" s="2244"/>
      <c r="C21" s="1602"/>
      <c r="D21" s="1603"/>
      <c r="E21" s="1603"/>
      <c r="F21" s="1603"/>
      <c r="G21" s="1603"/>
      <c r="H21" s="1603"/>
      <c r="I21" s="1603"/>
      <c r="J21" s="1603"/>
      <c r="K21" s="1615"/>
      <c r="L21" s="453"/>
    </row>
    <row r="22" spans="1:12" ht="15.75" customHeight="1" collapsed="1" x14ac:dyDescent="0.2">
      <c r="A22" s="2239" t="s">
        <v>592</v>
      </c>
      <c r="B22" s="2240"/>
      <c r="C22" s="1582"/>
      <c r="D22" s="1582"/>
      <c r="E22" s="1582"/>
      <c r="F22" s="1582"/>
      <c r="G22" s="1582"/>
      <c r="H22" s="1582"/>
      <c r="I22" s="1582"/>
      <c r="J22" s="1582"/>
      <c r="K22" s="1582"/>
      <c r="L22" s="325"/>
    </row>
    <row r="23" spans="1:12" s="433" customFormat="1" ht="15.75" customHeight="1" x14ac:dyDescent="0.2">
      <c r="A23" s="2235" t="s">
        <v>290</v>
      </c>
      <c r="B23" s="2236"/>
      <c r="C23" s="1585"/>
      <c r="D23" s="1582"/>
      <c r="E23" s="1582"/>
      <c r="F23" s="1582"/>
      <c r="G23" s="1582"/>
      <c r="H23" s="1582"/>
      <c r="I23" s="1582"/>
      <c r="J23" s="1582"/>
      <c r="K23" s="1582"/>
      <c r="L23" s="453"/>
    </row>
    <row r="24" spans="1:12" s="433" customFormat="1" ht="13.5" customHeight="1" x14ac:dyDescent="0.2">
      <c r="A24" s="1260" t="s">
        <v>1637</v>
      </c>
      <c r="B24" s="454">
        <v>7110</v>
      </c>
      <c r="C24" s="1574">
        <v>0</v>
      </c>
      <c r="D24" s="1582"/>
      <c r="E24" s="1582"/>
      <c r="F24" s="1582"/>
      <c r="G24" s="1582"/>
      <c r="H24" s="1582"/>
      <c r="I24" s="1582"/>
      <c r="J24" s="1582"/>
      <c r="K24" s="1582"/>
      <c r="L24" s="453"/>
    </row>
    <row r="25" spans="1:12" s="433" customFormat="1" ht="13.5" customHeight="1" x14ac:dyDescent="0.2">
      <c r="A25" s="1260" t="s">
        <v>1638</v>
      </c>
      <c r="B25" s="454">
        <v>7110</v>
      </c>
      <c r="C25" s="1574">
        <v>730000</v>
      </c>
      <c r="D25" s="1574">
        <v>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1771</v>
      </c>
      <c r="B30" s="455">
        <v>7160</v>
      </c>
      <c r="C30" s="1582"/>
      <c r="D30" s="1574">
        <v>0</v>
      </c>
      <c r="E30" s="1582"/>
      <c r="F30" s="1582"/>
      <c r="G30" s="1582"/>
      <c r="H30" s="1582"/>
      <c r="I30" s="1582"/>
      <c r="J30" s="1582"/>
      <c r="K30" s="1582"/>
      <c r="L30" s="453"/>
    </row>
    <row r="31" spans="1:12" s="433" customFormat="1" ht="26.25" x14ac:dyDescent="0.2">
      <c r="A31" s="1260" t="s">
        <v>1775</v>
      </c>
      <c r="B31" s="455">
        <v>7170</v>
      </c>
      <c r="C31" s="1582"/>
      <c r="D31" s="1582"/>
      <c r="E31" s="1579">
        <v>0</v>
      </c>
      <c r="F31" s="1582"/>
      <c r="G31" s="1582"/>
      <c r="H31" s="1582"/>
      <c r="I31" s="1582"/>
      <c r="J31" s="1582"/>
      <c r="K31" s="1582"/>
      <c r="L31" s="453"/>
    </row>
    <row r="32" spans="1:12" s="433" customFormat="1" ht="15.75" customHeight="1" x14ac:dyDescent="0.2">
      <c r="A32" s="2237" t="s">
        <v>974</v>
      </c>
      <c r="B32" s="2238"/>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0</v>
      </c>
      <c r="J33" s="1574">
        <v>0</v>
      </c>
      <c r="K33" s="1574">
        <v>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0</v>
      </c>
      <c r="D36" s="1574">
        <v>0</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0</v>
      </c>
      <c r="F43" s="1574">
        <v>0</v>
      </c>
      <c r="G43" s="1574">
        <v>0</v>
      </c>
      <c r="H43" s="1574">
        <v>0</v>
      </c>
      <c r="I43" s="1574">
        <v>0</v>
      </c>
      <c r="J43" s="1574">
        <v>0</v>
      </c>
      <c r="K43" s="1574">
        <v>0</v>
      </c>
      <c r="L43" s="453"/>
    </row>
    <row r="44" spans="1:12" s="433" customFormat="1" ht="13.5" customHeight="1" thickBot="1" x14ac:dyDescent="0.25">
      <c r="A44" s="2245" t="s">
        <v>371</v>
      </c>
      <c r="B44" s="2246"/>
      <c r="C44" s="1624">
        <f>SUM(C24:C43)</f>
        <v>730000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39" t="s">
        <v>108</v>
      </c>
      <c r="B45" s="2240"/>
      <c r="C45" s="1625"/>
      <c r="D45" s="1625"/>
      <c r="E45" s="1625"/>
      <c r="F45" s="1625"/>
      <c r="G45" s="1625"/>
      <c r="H45" s="1625"/>
      <c r="I45" s="1625"/>
      <c r="J45" s="1625"/>
      <c r="K45" s="1625"/>
      <c r="L45" s="325"/>
    </row>
    <row r="46" spans="1:12" s="433" customFormat="1" ht="15.75" customHeight="1" x14ac:dyDescent="0.2">
      <c r="A46" s="2247" t="s">
        <v>109</v>
      </c>
      <c r="B46" s="2248"/>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730000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0</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0</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0</v>
      </c>
      <c r="E75" s="1626">
        <v>0</v>
      </c>
      <c r="F75" s="1628">
        <v>0</v>
      </c>
      <c r="G75" s="1628">
        <v>0</v>
      </c>
      <c r="H75" s="1628">
        <v>0</v>
      </c>
      <c r="I75" s="1626">
        <v>0</v>
      </c>
      <c r="J75" s="1626">
        <v>0</v>
      </c>
      <c r="K75" s="1628">
        <v>0</v>
      </c>
      <c r="L75" s="453"/>
    </row>
    <row r="76" spans="1:12" s="433" customFormat="1" ht="14.25" thickTop="1" thickBot="1" x14ac:dyDescent="0.25">
      <c r="A76" s="2221" t="s">
        <v>437</v>
      </c>
      <c r="B76" s="2222"/>
      <c r="C76" s="1624">
        <f t="shared" ref="C76:K76" si="7">SUM(C47:C75)</f>
        <v>0</v>
      </c>
      <c r="D76" s="1624">
        <f t="shared" si="7"/>
        <v>0</v>
      </c>
      <c r="E76" s="1624">
        <f t="shared" si="7"/>
        <v>0</v>
      </c>
      <c r="F76" s="1624">
        <f t="shared" si="7"/>
        <v>0</v>
      </c>
      <c r="G76" s="1624">
        <f t="shared" si="7"/>
        <v>0</v>
      </c>
      <c r="H76" s="1624">
        <f t="shared" si="7"/>
        <v>0</v>
      </c>
      <c r="I76" s="1624">
        <f t="shared" si="7"/>
        <v>730000</v>
      </c>
      <c r="J76" s="1624">
        <f t="shared" si="7"/>
        <v>0</v>
      </c>
      <c r="K76" s="1624">
        <f t="shared" si="7"/>
        <v>0</v>
      </c>
      <c r="L76" s="453"/>
    </row>
    <row r="77" spans="1:12" ht="14.25" thickTop="1" thickBot="1" x14ac:dyDescent="0.25">
      <c r="A77" s="2223" t="s">
        <v>1167</v>
      </c>
      <c r="B77" s="2224"/>
      <c r="C77" s="1624">
        <f t="shared" ref="C77:K77" si="8">C44-C76</f>
        <v>730000</v>
      </c>
      <c r="D77" s="1624">
        <f t="shared" si="8"/>
        <v>0</v>
      </c>
      <c r="E77" s="1624">
        <f t="shared" si="8"/>
        <v>0</v>
      </c>
      <c r="F77" s="1624">
        <f t="shared" si="8"/>
        <v>0</v>
      </c>
      <c r="G77" s="1624">
        <f t="shared" si="8"/>
        <v>0</v>
      </c>
      <c r="H77" s="1624">
        <f t="shared" si="8"/>
        <v>0</v>
      </c>
      <c r="I77" s="1624">
        <f t="shared" si="8"/>
        <v>-730000</v>
      </c>
      <c r="J77" s="1624">
        <f t="shared" si="8"/>
        <v>0</v>
      </c>
      <c r="K77" s="1624">
        <f t="shared" si="8"/>
        <v>0</v>
      </c>
      <c r="L77" s="325"/>
    </row>
    <row r="78" spans="1:12" ht="21.75" customHeight="1" thickTop="1" thickBot="1" x14ac:dyDescent="0.25">
      <c r="A78" s="2227" t="s">
        <v>593</v>
      </c>
      <c r="B78" s="2228"/>
      <c r="C78" s="1629">
        <f t="shared" ref="C78:K78" si="9">C20+C77</f>
        <v>341124</v>
      </c>
      <c r="D78" s="1629">
        <f t="shared" si="9"/>
        <v>-58201</v>
      </c>
      <c r="E78" s="1629">
        <f t="shared" si="9"/>
        <v>-218</v>
      </c>
      <c r="F78" s="1629">
        <f t="shared" si="9"/>
        <v>-4044</v>
      </c>
      <c r="G78" s="1629">
        <f t="shared" si="9"/>
        <v>-17354</v>
      </c>
      <c r="H78" s="1629">
        <f t="shared" si="9"/>
        <v>-37717</v>
      </c>
      <c r="I78" s="1629">
        <f t="shared" si="9"/>
        <v>-671551</v>
      </c>
      <c r="J78" s="1629">
        <f t="shared" si="9"/>
        <v>93350</v>
      </c>
      <c r="K78" s="1629">
        <f t="shared" si="9"/>
        <v>41391</v>
      </c>
      <c r="L78" s="457"/>
    </row>
    <row r="79" spans="1:12" ht="13.5" thickTop="1" x14ac:dyDescent="0.2">
      <c r="A79" s="1844" t="str">
        <f>"Fund Balances - July 1, "&amp;'AFR20'!E2-1</f>
        <v>Fund Balances - July 1, 2019</v>
      </c>
      <c r="B79" s="458"/>
      <c r="C79" s="1583">
        <v>1649488</v>
      </c>
      <c r="D79" s="1583">
        <v>760387</v>
      </c>
      <c r="E79" s="1630">
        <v>147230</v>
      </c>
      <c r="F79" s="1630">
        <v>499375</v>
      </c>
      <c r="G79" s="1630">
        <v>346344</v>
      </c>
      <c r="H79" s="1630">
        <v>155447</v>
      </c>
      <c r="I79" s="1630">
        <v>699151</v>
      </c>
      <c r="J79" s="1630">
        <v>272142</v>
      </c>
      <c r="K79" s="1630">
        <v>31299</v>
      </c>
      <c r="L79" s="325"/>
    </row>
    <row r="80" spans="1:12" x14ac:dyDescent="0.2">
      <c r="A80" s="2233" t="s">
        <v>1772</v>
      </c>
      <c r="B80" s="2234"/>
      <c r="C80" s="1574">
        <v>0</v>
      </c>
      <c r="D80" s="1574">
        <v>0</v>
      </c>
      <c r="E80" s="1574">
        <v>0</v>
      </c>
      <c r="F80" s="1574">
        <v>0</v>
      </c>
      <c r="G80" s="1574">
        <v>0</v>
      </c>
      <c r="H80" s="1574">
        <v>0</v>
      </c>
      <c r="I80" s="1574">
        <v>0</v>
      </c>
      <c r="J80" s="1574">
        <v>0</v>
      </c>
      <c r="K80" s="1574">
        <v>0</v>
      </c>
      <c r="L80" s="325"/>
    </row>
    <row r="81" spans="1:12" ht="13.5" thickBot="1" x14ac:dyDescent="0.25">
      <c r="A81" s="2225" t="str">
        <f>"Fund Balances - June 30, "&amp;'AFR20'!E2</f>
        <v>Fund Balances - June 30, 2020</v>
      </c>
      <c r="B81" s="2226"/>
      <c r="C81" s="1594">
        <f>(SUM(C78:C80))</f>
        <v>1990612</v>
      </c>
      <c r="D81" s="1594">
        <f>SUM(D78:D80)</f>
        <v>702186</v>
      </c>
      <c r="E81" s="1594">
        <f t="shared" ref="E81:K81" si="10">SUM(E78:E80)</f>
        <v>147012</v>
      </c>
      <c r="F81" s="1594">
        <f t="shared" si="10"/>
        <v>495331</v>
      </c>
      <c r="G81" s="1594">
        <f t="shared" si="10"/>
        <v>328990</v>
      </c>
      <c r="H81" s="1594">
        <f t="shared" si="10"/>
        <v>117730</v>
      </c>
      <c r="I81" s="1594">
        <f t="shared" si="10"/>
        <v>27600</v>
      </c>
      <c r="J81" s="1594">
        <f t="shared" si="10"/>
        <v>365492</v>
      </c>
      <c r="K81" s="1594">
        <f t="shared" si="10"/>
        <v>72690</v>
      </c>
      <c r="L81" s="325"/>
    </row>
    <row r="82" spans="1:12" ht="0.75" customHeight="1" thickTop="1" thickBot="1" x14ac:dyDescent="0.25">
      <c r="A82" s="459" t="s">
        <v>340</v>
      </c>
      <c r="B82" s="460"/>
      <c r="C82" s="461">
        <f>(C81-C79)</f>
        <v>341124</v>
      </c>
      <c r="D82" s="461">
        <f t="shared" ref="D82:K82" si="11">(D81-D79)</f>
        <v>-58201</v>
      </c>
      <c r="E82" s="461">
        <f t="shared" si="11"/>
        <v>-218</v>
      </c>
      <c r="F82" s="461">
        <f t="shared" si="11"/>
        <v>-4044</v>
      </c>
      <c r="G82" s="461">
        <f t="shared" si="11"/>
        <v>-17354</v>
      </c>
      <c r="H82" s="461">
        <f t="shared" si="11"/>
        <v>-37717</v>
      </c>
      <c r="I82" s="461">
        <f t="shared" si="11"/>
        <v>-671551</v>
      </c>
      <c r="J82" s="461">
        <f t="shared" si="11"/>
        <v>93350</v>
      </c>
      <c r="K82" s="461">
        <f t="shared" si="11"/>
        <v>41391</v>
      </c>
    </row>
    <row r="83" spans="1:12" ht="14.25" hidden="1" thickTop="1" thickBot="1" x14ac:dyDescent="0.25">
      <c r="A83" s="462" t="s">
        <v>341</v>
      </c>
      <c r="B83" s="428"/>
      <c r="C83" s="463">
        <f>C82/C81</f>
        <v>0.1713663938527448</v>
      </c>
      <c r="D83" s="463">
        <f t="shared" ref="D83:K83" si="12">D82/D81</f>
        <v>-8.2885446306249347E-2</v>
      </c>
      <c r="E83" s="463">
        <f t="shared" si="12"/>
        <v>-1.4828721464914428E-3</v>
      </c>
      <c r="F83" s="463">
        <f t="shared" si="12"/>
        <v>-8.1642376511867829E-3</v>
      </c>
      <c r="G83" s="463">
        <f t="shared" si="12"/>
        <v>-5.2749323687650083E-2</v>
      </c>
      <c r="H83" s="463">
        <f t="shared" si="12"/>
        <v>-0.32036864010872335</v>
      </c>
      <c r="I83" s="463">
        <f t="shared" si="12"/>
        <v>-24.331557971014494</v>
      </c>
      <c r="J83" s="463">
        <f t="shared" si="12"/>
        <v>0.25540914712223522</v>
      </c>
      <c r="K83" s="463">
        <f t="shared" si="12"/>
        <v>0.56941807676434175</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F79" sqref="F79"/>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9" t="s">
        <v>1779</v>
      </c>
      <c r="B1" s="416"/>
      <c r="C1" s="417" t="s">
        <v>422</v>
      </c>
      <c r="D1" s="417" t="s">
        <v>423</v>
      </c>
      <c r="E1" s="417" t="s">
        <v>424</v>
      </c>
      <c r="F1" s="417" t="s">
        <v>425</v>
      </c>
      <c r="G1" s="417" t="s">
        <v>426</v>
      </c>
      <c r="H1" s="417" t="s">
        <v>427</v>
      </c>
      <c r="I1" s="417" t="s">
        <v>428</v>
      </c>
      <c r="J1" s="417" t="s">
        <v>429</v>
      </c>
      <c r="K1" s="417" t="s">
        <v>751</v>
      </c>
    </row>
    <row r="2" spans="1:12" ht="36" x14ac:dyDescent="0.2">
      <c r="A2" s="2230"/>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1918034</v>
      </c>
      <c r="D5" s="1586">
        <v>551455</v>
      </c>
      <c r="E5" s="1573">
        <v>257609</v>
      </c>
      <c r="F5" s="1631">
        <v>163411</v>
      </c>
      <c r="G5" s="1573">
        <v>73518</v>
      </c>
      <c r="H5" s="1573">
        <v>0</v>
      </c>
      <c r="I5" s="1573">
        <v>40875</v>
      </c>
      <c r="J5" s="1574">
        <v>636549</v>
      </c>
      <c r="K5" s="1573">
        <v>40875</v>
      </c>
    </row>
    <row r="6" spans="1:12" ht="15" x14ac:dyDescent="0.2">
      <c r="A6" s="427" t="s">
        <v>1643</v>
      </c>
      <c r="B6" s="429">
        <v>1130</v>
      </c>
      <c r="C6" s="1573">
        <v>40875</v>
      </c>
      <c r="D6" s="1573">
        <v>0</v>
      </c>
      <c r="E6" s="1580"/>
      <c r="F6" s="1580"/>
      <c r="G6" s="1575"/>
      <c r="H6" s="1575"/>
      <c r="I6" s="1575"/>
      <c r="J6" s="1575"/>
      <c r="K6" s="1575"/>
    </row>
    <row r="7" spans="1:12" x14ac:dyDescent="0.2">
      <c r="A7" s="427" t="s">
        <v>110</v>
      </c>
      <c r="B7" s="471">
        <v>1140</v>
      </c>
      <c r="C7" s="1573">
        <v>32700</v>
      </c>
      <c r="D7" s="1573">
        <v>0</v>
      </c>
      <c r="E7" s="1575"/>
      <c r="F7" s="1574">
        <v>0</v>
      </c>
      <c r="G7" s="1574">
        <v>0</v>
      </c>
      <c r="H7" s="1574">
        <v>0</v>
      </c>
      <c r="I7" s="1575"/>
      <c r="J7" s="1575"/>
      <c r="K7" s="1575"/>
    </row>
    <row r="8" spans="1:12" x14ac:dyDescent="0.2">
      <c r="A8" s="427" t="s">
        <v>410</v>
      </c>
      <c r="B8" s="429">
        <v>1150</v>
      </c>
      <c r="C8" s="1580"/>
      <c r="D8" s="1580"/>
      <c r="E8" s="1582"/>
      <c r="F8" s="1582"/>
      <c r="G8" s="1586">
        <v>117252</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411</v>
      </c>
      <c r="B11" s="472">
        <v>1190</v>
      </c>
      <c r="C11" s="1632">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3">
        <f t="shared" ref="C12:K12" si="0">SUM(C5:C11)</f>
        <v>1991609</v>
      </c>
      <c r="D12" s="1633">
        <f t="shared" si="0"/>
        <v>551455</v>
      </c>
      <c r="E12" s="1633">
        <f t="shared" si="0"/>
        <v>257609</v>
      </c>
      <c r="F12" s="1633">
        <f t="shared" si="0"/>
        <v>163411</v>
      </c>
      <c r="G12" s="1633">
        <f t="shared" si="0"/>
        <v>190770</v>
      </c>
      <c r="H12" s="1633">
        <f t="shared" si="0"/>
        <v>0</v>
      </c>
      <c r="I12" s="1633">
        <f t="shared" si="0"/>
        <v>40875</v>
      </c>
      <c r="J12" s="1633">
        <f t="shared" si="0"/>
        <v>636549</v>
      </c>
      <c r="K12" s="1594">
        <f t="shared" si="0"/>
        <v>40875</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0</v>
      </c>
      <c r="D14" s="1573">
        <v>0</v>
      </c>
      <c r="E14" s="1573">
        <v>0</v>
      </c>
      <c r="F14" s="1573">
        <v>0</v>
      </c>
      <c r="G14" s="1573">
        <v>0</v>
      </c>
      <c r="H14" s="1573">
        <v>0</v>
      </c>
      <c r="I14" s="1573">
        <v>0</v>
      </c>
      <c r="J14" s="1574">
        <v>0</v>
      </c>
      <c r="K14" s="1573">
        <v>0</v>
      </c>
    </row>
    <row r="15" spans="1:12" ht="12.75" customHeight="1" x14ac:dyDescent="0.2">
      <c r="A15" s="427" t="s">
        <v>95</v>
      </c>
      <c r="B15" s="429">
        <v>1220</v>
      </c>
      <c r="C15" s="1632">
        <v>491</v>
      </c>
      <c r="D15" s="1573">
        <v>136</v>
      </c>
      <c r="E15" s="1573">
        <v>65</v>
      </c>
      <c r="F15" s="1573">
        <v>40</v>
      </c>
      <c r="G15" s="1573">
        <v>44</v>
      </c>
      <c r="H15" s="1573">
        <v>0</v>
      </c>
      <c r="I15" s="1573">
        <v>10</v>
      </c>
      <c r="J15" s="1574">
        <v>139</v>
      </c>
      <c r="K15" s="1573">
        <v>10</v>
      </c>
    </row>
    <row r="16" spans="1:12" ht="15" customHeight="1" x14ac:dyDescent="0.2">
      <c r="A16" s="427" t="s">
        <v>1644</v>
      </c>
      <c r="B16" s="471">
        <v>1230</v>
      </c>
      <c r="C16" s="1632">
        <v>141849</v>
      </c>
      <c r="D16" s="1573">
        <v>0</v>
      </c>
      <c r="E16" s="1573">
        <v>0</v>
      </c>
      <c r="F16" s="1573">
        <v>0</v>
      </c>
      <c r="G16" s="1573">
        <v>9663</v>
      </c>
      <c r="H16" s="1573">
        <v>0</v>
      </c>
      <c r="I16" s="1573">
        <v>0</v>
      </c>
      <c r="J16" s="1574">
        <v>0</v>
      </c>
      <c r="K16" s="1573">
        <v>0</v>
      </c>
    </row>
    <row r="17" spans="1:11" ht="12.75" customHeight="1" x14ac:dyDescent="0.2">
      <c r="A17" s="427" t="s">
        <v>802</v>
      </c>
      <c r="B17" s="429">
        <v>1290</v>
      </c>
      <c r="C17" s="1632">
        <v>0</v>
      </c>
      <c r="D17" s="1573">
        <v>0</v>
      </c>
      <c r="E17" s="1573">
        <v>0</v>
      </c>
      <c r="F17" s="1573">
        <v>0</v>
      </c>
      <c r="G17" s="1573">
        <v>0</v>
      </c>
      <c r="H17" s="1573">
        <v>0</v>
      </c>
      <c r="I17" s="1573">
        <v>0</v>
      </c>
      <c r="J17" s="1574">
        <v>0</v>
      </c>
      <c r="K17" s="1573">
        <v>0</v>
      </c>
    </row>
    <row r="18" spans="1:11" ht="12.75" customHeight="1" thickBot="1" x14ac:dyDescent="0.25">
      <c r="A18" s="1406" t="s">
        <v>534</v>
      </c>
      <c r="B18" s="1407"/>
      <c r="C18" s="1635">
        <f>SUM(C14:C17)</f>
        <v>142340</v>
      </c>
      <c r="D18" s="1635">
        <f t="shared" ref="D18:K18" si="1">SUM(D14:D17)</f>
        <v>136</v>
      </c>
      <c r="E18" s="1635">
        <f t="shared" si="1"/>
        <v>65</v>
      </c>
      <c r="F18" s="1635">
        <f t="shared" si="1"/>
        <v>40</v>
      </c>
      <c r="G18" s="1635">
        <f t="shared" si="1"/>
        <v>9707</v>
      </c>
      <c r="H18" s="1635">
        <f t="shared" si="1"/>
        <v>0</v>
      </c>
      <c r="I18" s="1635">
        <f t="shared" si="1"/>
        <v>10</v>
      </c>
      <c r="J18" s="1635">
        <f t="shared" si="1"/>
        <v>139</v>
      </c>
      <c r="K18" s="1636">
        <f t="shared" si="1"/>
        <v>10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0</v>
      </c>
      <c r="D20" s="1575"/>
      <c r="E20" s="1575"/>
      <c r="F20" s="1575"/>
      <c r="G20" s="1575"/>
      <c r="H20" s="1575"/>
      <c r="I20" s="1575"/>
      <c r="J20" s="1575"/>
      <c r="K20" s="1575"/>
    </row>
    <row r="21" spans="1:11" ht="12.75" customHeight="1" x14ac:dyDescent="0.2">
      <c r="A21" s="427" t="s">
        <v>827</v>
      </c>
      <c r="B21" s="429">
        <v>1312</v>
      </c>
      <c r="C21" s="1632">
        <v>0</v>
      </c>
      <c r="D21" s="1575"/>
      <c r="E21" s="1575"/>
      <c r="F21" s="1575"/>
      <c r="G21" s="1575"/>
      <c r="H21" s="1575"/>
      <c r="I21" s="1575"/>
      <c r="J21" s="1575"/>
      <c r="K21" s="1575"/>
    </row>
    <row r="22" spans="1:11" ht="12.75" customHeight="1" x14ac:dyDescent="0.2">
      <c r="A22" s="427" t="s">
        <v>1065</v>
      </c>
      <c r="B22" s="429">
        <v>1313</v>
      </c>
      <c r="C22" s="1632">
        <v>0</v>
      </c>
      <c r="D22" s="1575"/>
      <c r="E22" s="1575"/>
      <c r="F22" s="1575"/>
      <c r="G22" s="1575"/>
      <c r="H22" s="1575"/>
      <c r="I22" s="1575"/>
      <c r="J22" s="1575"/>
      <c r="K22" s="1575"/>
    </row>
    <row r="23" spans="1:11" ht="12.75" customHeight="1" x14ac:dyDescent="0.2">
      <c r="A23" s="427" t="s">
        <v>1066</v>
      </c>
      <c r="B23" s="429">
        <v>1314</v>
      </c>
      <c r="C23" s="1598">
        <v>0</v>
      </c>
      <c r="D23" s="1575"/>
      <c r="E23" s="1575"/>
      <c r="F23" s="1575"/>
      <c r="G23" s="1575"/>
      <c r="H23" s="1575"/>
      <c r="I23" s="1575"/>
      <c r="J23" s="1575"/>
      <c r="K23" s="1575"/>
    </row>
    <row r="24" spans="1:11" ht="12.75" customHeight="1" x14ac:dyDescent="0.2">
      <c r="A24" s="427" t="s">
        <v>1020</v>
      </c>
      <c r="B24" s="429">
        <v>1321</v>
      </c>
      <c r="C24" s="1632">
        <v>0</v>
      </c>
      <c r="D24" s="1575"/>
      <c r="E24" s="1575"/>
      <c r="F24" s="1575"/>
      <c r="G24" s="1575"/>
      <c r="H24" s="1575"/>
      <c r="I24" s="1575"/>
      <c r="J24" s="1575"/>
      <c r="K24" s="1575"/>
    </row>
    <row r="25" spans="1:11" ht="12.75" customHeight="1" x14ac:dyDescent="0.2">
      <c r="A25" s="427" t="s">
        <v>828</v>
      </c>
      <c r="B25" s="429">
        <v>1322</v>
      </c>
      <c r="C25" s="1632">
        <v>0</v>
      </c>
      <c r="D25" s="1575"/>
      <c r="E25" s="1575"/>
      <c r="F25" s="1575"/>
      <c r="G25" s="1575"/>
      <c r="H25" s="1575"/>
      <c r="I25" s="1575"/>
      <c r="J25" s="1575"/>
      <c r="K25" s="1575"/>
    </row>
    <row r="26" spans="1:11" ht="12.75" customHeight="1" x14ac:dyDescent="0.2">
      <c r="A26" s="427" t="s">
        <v>1092</v>
      </c>
      <c r="B26" s="429">
        <v>1323</v>
      </c>
      <c r="C26" s="1632">
        <v>0</v>
      </c>
      <c r="D26" s="1575"/>
      <c r="E26" s="1575"/>
      <c r="F26" s="1575"/>
      <c r="G26" s="1575"/>
      <c r="H26" s="1575"/>
      <c r="I26" s="1575"/>
      <c r="J26" s="1575"/>
      <c r="K26" s="1575"/>
    </row>
    <row r="27" spans="1:11" ht="12.75" customHeight="1" x14ac:dyDescent="0.2">
      <c r="A27" s="427" t="s">
        <v>1016</v>
      </c>
      <c r="B27" s="429">
        <v>1324</v>
      </c>
      <c r="C27" s="1598">
        <v>0</v>
      </c>
      <c r="D27" s="1575"/>
      <c r="E27" s="1575"/>
      <c r="F27" s="1575"/>
      <c r="G27" s="1575"/>
      <c r="H27" s="1575"/>
      <c r="I27" s="1575"/>
      <c r="J27" s="1575"/>
      <c r="K27" s="1575"/>
    </row>
    <row r="28" spans="1:11" ht="12.75" customHeight="1" x14ac:dyDescent="0.2">
      <c r="A28" s="427" t="s">
        <v>1017</v>
      </c>
      <c r="B28" s="429">
        <v>1331</v>
      </c>
      <c r="C28" s="1632">
        <v>0</v>
      </c>
      <c r="D28" s="1575"/>
      <c r="E28" s="1575"/>
      <c r="F28" s="1575"/>
      <c r="G28" s="1575"/>
      <c r="H28" s="1575"/>
      <c r="I28" s="1575"/>
      <c r="J28" s="1575"/>
      <c r="K28" s="1575"/>
    </row>
    <row r="29" spans="1:11" ht="12.75" customHeight="1" x14ac:dyDescent="0.2">
      <c r="A29" s="427" t="s">
        <v>829</v>
      </c>
      <c r="B29" s="429">
        <v>1332</v>
      </c>
      <c r="C29" s="1632">
        <v>0</v>
      </c>
      <c r="D29" s="1575"/>
      <c r="E29" s="1575"/>
      <c r="F29" s="1575"/>
      <c r="G29" s="1575"/>
      <c r="H29" s="1575"/>
      <c r="I29" s="1575"/>
      <c r="J29" s="1575"/>
      <c r="K29" s="1575"/>
    </row>
    <row r="30" spans="1:11" ht="12.75" customHeight="1" x14ac:dyDescent="0.2">
      <c r="A30" s="427" t="s">
        <v>1019</v>
      </c>
      <c r="B30" s="429">
        <v>1333</v>
      </c>
      <c r="C30" s="1632">
        <v>0</v>
      </c>
      <c r="D30" s="1575"/>
      <c r="E30" s="1575"/>
      <c r="F30" s="1575"/>
      <c r="G30" s="1575"/>
      <c r="H30" s="1575"/>
      <c r="I30" s="1575"/>
      <c r="J30" s="1575"/>
      <c r="K30" s="1575"/>
    </row>
    <row r="31" spans="1:11" ht="12.75" customHeight="1" x14ac:dyDescent="0.2">
      <c r="A31" s="427" t="s">
        <v>1018</v>
      </c>
      <c r="B31" s="429">
        <v>1334</v>
      </c>
      <c r="C31" s="1598">
        <v>0</v>
      </c>
      <c r="D31" s="1575"/>
      <c r="E31" s="1575"/>
      <c r="F31" s="1575"/>
      <c r="G31" s="1575"/>
      <c r="H31" s="1575"/>
      <c r="I31" s="1575"/>
      <c r="J31" s="1575"/>
      <c r="K31" s="1575"/>
    </row>
    <row r="32" spans="1:11" ht="12.75" customHeight="1" x14ac:dyDescent="0.2">
      <c r="A32" s="427" t="s">
        <v>491</v>
      </c>
      <c r="B32" s="429">
        <v>1341</v>
      </c>
      <c r="C32" s="1632">
        <v>0</v>
      </c>
      <c r="D32" s="1575"/>
      <c r="E32" s="1575"/>
      <c r="F32" s="1575"/>
      <c r="G32" s="1575"/>
      <c r="H32" s="1575"/>
      <c r="I32" s="1575"/>
      <c r="J32" s="1575"/>
      <c r="K32" s="1575"/>
    </row>
    <row r="33" spans="1:11" ht="12.75" customHeight="1" x14ac:dyDescent="0.2">
      <c r="A33" s="427" t="s">
        <v>830</v>
      </c>
      <c r="B33" s="429">
        <v>1342</v>
      </c>
      <c r="C33" s="1632">
        <v>0</v>
      </c>
      <c r="D33" s="1575"/>
      <c r="E33" s="1575"/>
      <c r="F33" s="1575"/>
      <c r="G33" s="1575"/>
      <c r="H33" s="1575"/>
      <c r="I33" s="1575"/>
      <c r="J33" s="1575"/>
      <c r="K33" s="1575"/>
    </row>
    <row r="34" spans="1:11" ht="12.75" customHeight="1" x14ac:dyDescent="0.2">
      <c r="A34" s="427" t="s">
        <v>492</v>
      </c>
      <c r="B34" s="429">
        <v>1343</v>
      </c>
      <c r="C34" s="1632">
        <v>0</v>
      </c>
      <c r="D34" s="1575"/>
      <c r="E34" s="1575"/>
      <c r="F34" s="1575"/>
      <c r="G34" s="1575"/>
      <c r="H34" s="1575"/>
      <c r="I34" s="1575"/>
      <c r="J34" s="1575"/>
      <c r="K34" s="1575"/>
    </row>
    <row r="35" spans="1:11" ht="12.75" customHeight="1" x14ac:dyDescent="0.2">
      <c r="A35" s="427" t="s">
        <v>490</v>
      </c>
      <c r="B35" s="429">
        <v>1344</v>
      </c>
      <c r="C35" s="1598">
        <v>0</v>
      </c>
      <c r="D35" s="1575"/>
      <c r="E35" s="1575"/>
      <c r="F35" s="1575"/>
      <c r="G35" s="1575"/>
      <c r="H35" s="1575"/>
      <c r="I35" s="1575"/>
      <c r="J35" s="1575"/>
      <c r="K35" s="1575"/>
    </row>
    <row r="36" spans="1:11" ht="12.75" customHeight="1" x14ac:dyDescent="0.2">
      <c r="A36" s="427" t="s">
        <v>826</v>
      </c>
      <c r="B36" s="429">
        <v>1351</v>
      </c>
      <c r="C36" s="1632">
        <v>0</v>
      </c>
      <c r="D36" s="1575"/>
      <c r="E36" s="1575"/>
      <c r="F36" s="1575"/>
      <c r="G36" s="1575"/>
      <c r="H36" s="1575"/>
      <c r="I36" s="1575"/>
      <c r="J36" s="1575"/>
      <c r="K36" s="1575"/>
    </row>
    <row r="37" spans="1:11" ht="12.75" customHeight="1" x14ac:dyDescent="0.2">
      <c r="A37" s="427" t="s">
        <v>831</v>
      </c>
      <c r="B37" s="429">
        <v>1352</v>
      </c>
      <c r="C37" s="1632">
        <v>0</v>
      </c>
      <c r="D37" s="1575"/>
      <c r="E37" s="1575"/>
      <c r="F37" s="1575"/>
      <c r="G37" s="1575"/>
      <c r="H37" s="1575"/>
      <c r="I37" s="1575"/>
      <c r="J37" s="1575"/>
      <c r="K37" s="1575"/>
    </row>
    <row r="38" spans="1:11" ht="12.75" customHeight="1" x14ac:dyDescent="0.2">
      <c r="A38" s="427" t="s">
        <v>589</v>
      </c>
      <c r="B38" s="429">
        <v>1353</v>
      </c>
      <c r="C38" s="1632">
        <v>0</v>
      </c>
      <c r="D38" s="1575"/>
      <c r="E38" s="1575"/>
      <c r="F38" s="1575"/>
      <c r="G38" s="1575"/>
      <c r="H38" s="1575"/>
      <c r="I38" s="1575"/>
      <c r="J38" s="1575"/>
      <c r="K38" s="1575"/>
    </row>
    <row r="39" spans="1:11" ht="12.75" customHeight="1" x14ac:dyDescent="0.2">
      <c r="A39" s="1265" t="s">
        <v>590</v>
      </c>
      <c r="B39" s="474">
        <v>1354</v>
      </c>
      <c r="C39" s="1598">
        <v>0</v>
      </c>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v>0</v>
      </c>
      <c r="G42" s="1575"/>
      <c r="H42" s="1575"/>
      <c r="I42" s="1575"/>
      <c r="J42" s="1575"/>
      <c r="K42" s="1575"/>
    </row>
    <row r="43" spans="1:11" ht="12.75" customHeight="1" x14ac:dyDescent="0.2">
      <c r="A43" s="427" t="s">
        <v>832</v>
      </c>
      <c r="B43" s="429">
        <v>1412</v>
      </c>
      <c r="C43" s="1575"/>
      <c r="D43" s="1575"/>
      <c r="E43" s="1575"/>
      <c r="F43" s="1573">
        <v>0</v>
      </c>
      <c r="G43" s="1575"/>
      <c r="H43" s="1575"/>
      <c r="I43" s="1575"/>
      <c r="J43" s="1575"/>
      <c r="K43" s="1575"/>
    </row>
    <row r="44" spans="1:11" ht="12.75" customHeight="1" x14ac:dyDescent="0.2">
      <c r="A44" s="427" t="s">
        <v>381</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310</v>
      </c>
      <c r="G45" s="1575"/>
      <c r="H45" s="1575"/>
      <c r="I45" s="1575"/>
      <c r="J45" s="1575"/>
      <c r="K45" s="1575"/>
    </row>
    <row r="46" spans="1:11" ht="12.75" customHeight="1" x14ac:dyDescent="0.2">
      <c r="A46" s="427" t="s">
        <v>1164</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833</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1097</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1098</v>
      </c>
      <c r="B56" s="475">
        <v>1442</v>
      </c>
      <c r="C56" s="1575"/>
      <c r="D56" s="1575"/>
      <c r="E56" s="1575"/>
      <c r="F56" s="1573">
        <v>0</v>
      </c>
      <c r="G56" s="1575"/>
      <c r="H56" s="1575"/>
      <c r="I56" s="1575"/>
      <c r="J56" s="1575"/>
      <c r="K56" s="1575"/>
    </row>
    <row r="57" spans="1:11" ht="12.75" customHeight="1" x14ac:dyDescent="0.2">
      <c r="A57" s="1266" t="s">
        <v>486</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873</v>
      </c>
      <c r="B59" s="475">
        <v>1451</v>
      </c>
      <c r="C59" s="1575"/>
      <c r="D59" s="1575"/>
      <c r="E59" s="1575"/>
      <c r="F59" s="1573">
        <v>0</v>
      </c>
      <c r="G59" s="1575"/>
      <c r="H59" s="1575"/>
      <c r="I59" s="1575"/>
      <c r="J59" s="1575"/>
      <c r="K59" s="1575"/>
    </row>
    <row r="60" spans="1:11" ht="12.75" customHeight="1" x14ac:dyDescent="0.2">
      <c r="A60" s="1266" t="s">
        <v>1099</v>
      </c>
      <c r="B60" s="475">
        <v>1452</v>
      </c>
      <c r="C60" s="1575"/>
      <c r="D60" s="1575"/>
      <c r="E60" s="1575"/>
      <c r="F60" s="1573">
        <v>0</v>
      </c>
      <c r="G60" s="1575"/>
      <c r="H60" s="1575"/>
      <c r="I60" s="1575"/>
      <c r="J60" s="1575"/>
      <c r="K60" s="1575"/>
    </row>
    <row r="61" spans="1:11" ht="12.75" customHeight="1" x14ac:dyDescent="0.2">
      <c r="A61" s="479" t="s">
        <v>874</v>
      </c>
      <c r="B61" s="475">
        <v>1453</v>
      </c>
      <c r="C61" s="1575"/>
      <c r="D61" s="1575"/>
      <c r="E61" s="1575"/>
      <c r="F61" s="1573">
        <v>0</v>
      </c>
      <c r="G61" s="1575"/>
      <c r="H61" s="1575"/>
      <c r="I61" s="1575"/>
      <c r="J61" s="1575"/>
      <c r="K61" s="1575"/>
    </row>
    <row r="62" spans="1:11" ht="12.75" customHeight="1" x14ac:dyDescent="0.2">
      <c r="A62" s="1267" t="s">
        <v>875</v>
      </c>
      <c r="B62" s="476">
        <v>1454</v>
      </c>
      <c r="C62" s="1575"/>
      <c r="D62" s="1575"/>
      <c r="E62" s="1575"/>
      <c r="F62" s="1574">
        <v>0</v>
      </c>
      <c r="G62" s="1575"/>
      <c r="H62" s="1575"/>
      <c r="I62" s="1575"/>
      <c r="J62" s="1575"/>
      <c r="K62" s="1575"/>
    </row>
    <row r="63" spans="1:11" ht="12.75" customHeight="1" thickBot="1" x14ac:dyDescent="0.25">
      <c r="A63" s="1406" t="s">
        <v>482</v>
      </c>
      <c r="B63" s="1407"/>
      <c r="C63" s="1575"/>
      <c r="D63" s="1575"/>
      <c r="E63" s="1575"/>
      <c r="F63" s="1594">
        <f>SUM(F42:F62)</f>
        <v>310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15868</v>
      </c>
      <c r="D65" s="1573">
        <v>5538</v>
      </c>
      <c r="E65" s="1573">
        <v>645</v>
      </c>
      <c r="F65" s="1574">
        <v>5754</v>
      </c>
      <c r="G65" s="1573">
        <v>3838</v>
      </c>
      <c r="H65" s="1573">
        <v>542</v>
      </c>
      <c r="I65" s="1573">
        <v>17564</v>
      </c>
      <c r="J65" s="1574">
        <v>1347</v>
      </c>
      <c r="K65" s="1573">
        <v>506</v>
      </c>
    </row>
    <row r="66" spans="1:11" ht="12.75" customHeight="1" x14ac:dyDescent="0.2">
      <c r="A66" s="427" t="s">
        <v>674</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483</v>
      </c>
      <c r="B67" s="1407"/>
      <c r="C67" s="1594">
        <f>SUM(C65:C66)</f>
        <v>15868</v>
      </c>
      <c r="D67" s="1594">
        <f t="shared" ref="D67:K67" si="2">SUM(D65:D66)</f>
        <v>5538</v>
      </c>
      <c r="E67" s="1594">
        <f t="shared" si="2"/>
        <v>645</v>
      </c>
      <c r="F67" s="1594">
        <f t="shared" si="2"/>
        <v>5754</v>
      </c>
      <c r="G67" s="1594">
        <f t="shared" si="2"/>
        <v>3838</v>
      </c>
      <c r="H67" s="1594">
        <f t="shared" si="2"/>
        <v>542</v>
      </c>
      <c r="I67" s="1594">
        <f t="shared" si="2"/>
        <v>17564</v>
      </c>
      <c r="J67" s="1594">
        <f t="shared" si="2"/>
        <v>1347</v>
      </c>
      <c r="K67" s="1594">
        <f t="shared" si="2"/>
        <v>506</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47163</v>
      </c>
      <c r="D69" s="1575"/>
      <c r="E69" s="1575"/>
      <c r="F69" s="1575"/>
      <c r="G69" s="1575"/>
      <c r="H69" s="1575"/>
      <c r="I69" s="1575"/>
      <c r="J69" s="1575"/>
      <c r="K69" s="1575"/>
    </row>
    <row r="70" spans="1:11" ht="12.75" customHeight="1" x14ac:dyDescent="0.2">
      <c r="A70" s="427" t="s">
        <v>990</v>
      </c>
      <c r="B70" s="429">
        <v>1612</v>
      </c>
      <c r="C70" s="1632">
        <v>0</v>
      </c>
      <c r="D70" s="1575"/>
      <c r="E70" s="1575"/>
      <c r="F70" s="1575"/>
      <c r="G70" s="1575"/>
      <c r="H70" s="1575"/>
      <c r="I70" s="1575"/>
      <c r="J70" s="1575"/>
      <c r="K70" s="1575"/>
    </row>
    <row r="71" spans="1:11" ht="12.75" customHeight="1" x14ac:dyDescent="0.2">
      <c r="A71" s="427" t="s">
        <v>271</v>
      </c>
      <c r="B71" s="429">
        <v>1613</v>
      </c>
      <c r="C71" s="1632">
        <v>0</v>
      </c>
      <c r="D71" s="1575"/>
      <c r="E71" s="1575"/>
      <c r="F71" s="1575"/>
      <c r="G71" s="1575"/>
      <c r="H71" s="1575"/>
      <c r="I71" s="1575"/>
      <c r="J71" s="1575"/>
      <c r="K71" s="1575"/>
    </row>
    <row r="72" spans="1:11" ht="12.75" customHeight="1" x14ac:dyDescent="0.2">
      <c r="A72" s="427" t="s">
        <v>24</v>
      </c>
      <c r="B72" s="429">
        <v>1614</v>
      </c>
      <c r="C72" s="1632">
        <v>0</v>
      </c>
      <c r="D72" s="1575"/>
      <c r="E72" s="1575"/>
      <c r="F72" s="1575"/>
      <c r="G72" s="1575"/>
      <c r="H72" s="1575"/>
      <c r="I72" s="1575"/>
      <c r="J72" s="1575"/>
      <c r="K72" s="1575"/>
    </row>
    <row r="73" spans="1:11" ht="12.75" customHeight="1" x14ac:dyDescent="0.2">
      <c r="A73" s="427" t="s">
        <v>991</v>
      </c>
      <c r="B73" s="429">
        <v>1620</v>
      </c>
      <c r="C73" s="1632">
        <v>0</v>
      </c>
      <c r="D73" s="1575"/>
      <c r="E73" s="1575"/>
      <c r="F73" s="1575"/>
      <c r="G73" s="1575"/>
      <c r="H73" s="1575"/>
      <c r="I73" s="1575"/>
      <c r="J73" s="1575"/>
      <c r="K73" s="1575"/>
    </row>
    <row r="74" spans="1:11" ht="12.75" customHeight="1" x14ac:dyDescent="0.2">
      <c r="A74" s="427" t="s">
        <v>25</v>
      </c>
      <c r="B74" s="429">
        <v>1690</v>
      </c>
      <c r="C74" s="1632">
        <v>0</v>
      </c>
      <c r="D74" s="1575"/>
      <c r="E74" s="1575"/>
      <c r="F74" s="1575"/>
      <c r="G74" s="1575"/>
      <c r="H74" s="1575"/>
      <c r="I74" s="1575"/>
      <c r="J74" s="1575"/>
      <c r="K74" s="1575"/>
    </row>
    <row r="75" spans="1:11" ht="12.75" customHeight="1" thickBot="1" x14ac:dyDescent="0.25">
      <c r="A75" s="1406" t="s">
        <v>544</v>
      </c>
      <c r="B75" s="1407"/>
      <c r="C75" s="1594">
        <f>SUM(C69:C74)</f>
        <v>47163</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23675</v>
      </c>
      <c r="D77" s="1573">
        <v>0</v>
      </c>
      <c r="E77" s="1575"/>
      <c r="F77" s="1575"/>
      <c r="G77" s="1575"/>
      <c r="H77" s="1575"/>
      <c r="I77" s="1575"/>
      <c r="J77" s="1575"/>
      <c r="K77" s="1575"/>
    </row>
    <row r="78" spans="1:11" ht="12.75" customHeight="1" x14ac:dyDescent="0.2">
      <c r="A78" s="427" t="s">
        <v>76</v>
      </c>
      <c r="B78" s="429">
        <v>1719</v>
      </c>
      <c r="C78" s="1632">
        <v>0</v>
      </c>
      <c r="D78" s="1573">
        <v>0</v>
      </c>
      <c r="E78" s="1575"/>
      <c r="F78" s="1575"/>
      <c r="G78" s="1575"/>
      <c r="H78" s="1575"/>
      <c r="I78" s="1575"/>
      <c r="J78" s="1575"/>
      <c r="K78" s="1575"/>
    </row>
    <row r="79" spans="1:11" ht="12.75" customHeight="1" x14ac:dyDescent="0.2">
      <c r="A79" s="427" t="s">
        <v>546</v>
      </c>
      <c r="B79" s="429">
        <v>1720</v>
      </c>
      <c r="C79" s="1632">
        <v>25341</v>
      </c>
      <c r="D79" s="1573">
        <v>0</v>
      </c>
      <c r="E79" s="1575"/>
      <c r="F79" s="1575"/>
      <c r="G79" s="1575"/>
      <c r="H79" s="1575"/>
      <c r="I79" s="1575"/>
      <c r="J79" s="1575"/>
      <c r="K79" s="1575"/>
    </row>
    <row r="80" spans="1:11" ht="12.75" customHeight="1" x14ac:dyDescent="0.2">
      <c r="A80" s="427" t="s">
        <v>547</v>
      </c>
      <c r="B80" s="429">
        <v>1730</v>
      </c>
      <c r="C80" s="1632">
        <v>0</v>
      </c>
      <c r="D80" s="1573">
        <v>0</v>
      </c>
      <c r="E80" s="1575"/>
      <c r="F80" s="1575"/>
      <c r="G80" s="1575"/>
      <c r="H80" s="1575"/>
      <c r="I80" s="1575"/>
      <c r="J80" s="1575"/>
      <c r="K80" s="1575"/>
    </row>
    <row r="81" spans="1:11" ht="12.75" customHeight="1" x14ac:dyDescent="0.2">
      <c r="A81" s="427" t="s">
        <v>26</v>
      </c>
      <c r="B81" s="429">
        <v>1790</v>
      </c>
      <c r="C81" s="1632">
        <v>1272</v>
      </c>
      <c r="D81" s="1573">
        <v>0</v>
      </c>
      <c r="E81" s="1575"/>
      <c r="F81" s="1575"/>
      <c r="G81" s="1575"/>
      <c r="H81" s="1575"/>
      <c r="I81" s="1575"/>
      <c r="J81" s="1575"/>
      <c r="K81" s="1575"/>
    </row>
    <row r="82" spans="1:11" ht="12.75" customHeight="1" thickBot="1" x14ac:dyDescent="0.25">
      <c r="A82" s="1406" t="s">
        <v>239</v>
      </c>
      <c r="B82" s="1407"/>
      <c r="C82" s="1633">
        <f>SUM(C77:C81)</f>
        <v>50288</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0</v>
      </c>
      <c r="D84" s="1575"/>
      <c r="E84" s="1575"/>
      <c r="F84" s="1575"/>
      <c r="G84" s="1575"/>
      <c r="H84" s="1575"/>
      <c r="I84" s="1575"/>
      <c r="J84" s="1575"/>
      <c r="K84" s="1575"/>
    </row>
    <row r="85" spans="1:11" ht="12.75" customHeight="1" x14ac:dyDescent="0.2">
      <c r="A85" s="427" t="s">
        <v>549</v>
      </c>
      <c r="B85" s="429">
        <v>1812</v>
      </c>
      <c r="C85" s="1632">
        <v>0</v>
      </c>
      <c r="D85" s="1575"/>
      <c r="E85" s="1575"/>
      <c r="F85" s="1575"/>
      <c r="G85" s="1575"/>
      <c r="H85" s="1575"/>
      <c r="I85" s="1575"/>
      <c r="J85" s="1575"/>
      <c r="K85" s="1575"/>
    </row>
    <row r="86" spans="1:11" ht="12.75" customHeight="1" x14ac:dyDescent="0.2">
      <c r="A86" s="427" t="s">
        <v>992</v>
      </c>
      <c r="B86" s="429">
        <v>1813</v>
      </c>
      <c r="C86" s="1632">
        <v>0</v>
      </c>
      <c r="D86" s="1575"/>
      <c r="E86" s="1575"/>
      <c r="F86" s="1575"/>
      <c r="G86" s="1575"/>
      <c r="H86" s="1575"/>
      <c r="I86" s="1575"/>
      <c r="J86" s="1575"/>
      <c r="K86" s="1575"/>
    </row>
    <row r="87" spans="1:11" ht="12.75" customHeight="1" x14ac:dyDescent="0.2">
      <c r="A87" s="427" t="s">
        <v>77</v>
      </c>
      <c r="B87" s="429">
        <v>1819</v>
      </c>
      <c r="C87" s="1632">
        <v>0</v>
      </c>
      <c r="D87" s="1575"/>
      <c r="E87" s="1575"/>
      <c r="F87" s="1575"/>
      <c r="G87" s="1575"/>
      <c r="H87" s="1575"/>
      <c r="I87" s="1575"/>
      <c r="J87" s="1575"/>
      <c r="K87" s="1575"/>
    </row>
    <row r="88" spans="1:11" ht="12.75" customHeight="1" x14ac:dyDescent="0.2">
      <c r="A88" s="427" t="s">
        <v>550</v>
      </c>
      <c r="B88" s="429">
        <v>1821</v>
      </c>
      <c r="C88" s="1632">
        <v>0</v>
      </c>
      <c r="D88" s="1575"/>
      <c r="E88" s="1575"/>
      <c r="F88" s="1575"/>
      <c r="G88" s="1575"/>
      <c r="H88" s="1575"/>
      <c r="I88" s="1575"/>
      <c r="J88" s="1575"/>
      <c r="K88" s="1575"/>
    </row>
    <row r="89" spans="1:11" ht="12.75" customHeight="1" x14ac:dyDescent="0.2">
      <c r="A89" s="427" t="s">
        <v>709</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0</v>
      </c>
      <c r="D91" s="1575"/>
      <c r="E91" s="1575"/>
      <c r="F91" s="1575"/>
      <c r="G91" s="1575"/>
      <c r="H91" s="1575"/>
      <c r="I91" s="1575"/>
      <c r="J91" s="1575"/>
      <c r="K91" s="1575"/>
    </row>
    <row r="92" spans="1:11" ht="12.75" customHeight="1" x14ac:dyDescent="0.2">
      <c r="A92" s="427" t="s">
        <v>757</v>
      </c>
      <c r="B92" s="429">
        <v>1890</v>
      </c>
      <c r="C92" s="1632">
        <v>0</v>
      </c>
      <c r="D92" s="1575"/>
      <c r="E92" s="1575"/>
      <c r="F92" s="1575"/>
      <c r="G92" s="1575"/>
      <c r="H92" s="1575"/>
      <c r="I92" s="1575"/>
      <c r="J92" s="1575"/>
      <c r="K92" s="1575"/>
    </row>
    <row r="93" spans="1:11" ht="12.75" customHeight="1" thickBot="1" x14ac:dyDescent="0.25">
      <c r="A93" s="1406" t="s">
        <v>241</v>
      </c>
      <c r="B93" s="1407"/>
      <c r="C93" s="1594">
        <f>SUM(C84:C92)</f>
        <v>0</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0</v>
      </c>
      <c r="D95" s="1632">
        <v>685</v>
      </c>
      <c r="E95" s="1617"/>
      <c r="F95" s="1617"/>
      <c r="G95" s="1617"/>
      <c r="H95" s="1617"/>
      <c r="I95" s="1617"/>
      <c r="J95" s="1617"/>
      <c r="K95" s="1617"/>
    </row>
    <row r="96" spans="1:11" ht="12.75" customHeight="1" x14ac:dyDescent="0.2">
      <c r="A96" s="427" t="s">
        <v>388</v>
      </c>
      <c r="B96" s="429">
        <v>1920</v>
      </c>
      <c r="C96" s="1632">
        <v>0</v>
      </c>
      <c r="D96" s="1632">
        <v>0</v>
      </c>
      <c r="E96" s="1584">
        <v>0</v>
      </c>
      <c r="F96" s="1583">
        <v>0</v>
      </c>
      <c r="G96" s="1583">
        <v>0</v>
      </c>
      <c r="H96" s="1583">
        <v>0</v>
      </c>
      <c r="I96" s="1583">
        <v>0</v>
      </c>
      <c r="J96" s="1583">
        <v>0</v>
      </c>
      <c r="K96" s="1583">
        <v>0</v>
      </c>
    </row>
    <row r="97" spans="1:12" ht="12.75" customHeight="1" x14ac:dyDescent="0.2">
      <c r="A97" s="1265" t="s">
        <v>242</v>
      </c>
      <c r="B97" s="477">
        <v>1930</v>
      </c>
      <c r="C97" s="1598">
        <v>0</v>
      </c>
      <c r="D97" s="1574">
        <v>0</v>
      </c>
      <c r="E97" s="1579">
        <v>0</v>
      </c>
      <c r="F97" s="1574">
        <v>0</v>
      </c>
      <c r="G97" s="1574">
        <v>0</v>
      </c>
      <c r="H97" s="1574">
        <v>0</v>
      </c>
      <c r="I97" s="1574">
        <v>0</v>
      </c>
      <c r="J97" s="1574">
        <v>0</v>
      </c>
      <c r="K97" s="1574">
        <v>0</v>
      </c>
    </row>
    <row r="98" spans="1:12" ht="12.75" customHeight="1" x14ac:dyDescent="0.2">
      <c r="A98" s="427" t="s">
        <v>188</v>
      </c>
      <c r="B98" s="429">
        <v>1940</v>
      </c>
      <c r="C98" s="1598">
        <v>15046</v>
      </c>
      <c r="D98" s="1573">
        <v>0</v>
      </c>
      <c r="E98" s="1612"/>
      <c r="F98" s="1573">
        <v>0</v>
      </c>
      <c r="G98" s="1612"/>
      <c r="H98" s="1612"/>
      <c r="I98" s="1610"/>
      <c r="J98" s="1612"/>
      <c r="K98" s="1612"/>
    </row>
    <row r="99" spans="1:12" ht="12.75" customHeight="1" x14ac:dyDescent="0.2">
      <c r="A99" s="427" t="s">
        <v>816</v>
      </c>
      <c r="B99" s="429">
        <v>1950</v>
      </c>
      <c r="C99" s="1598">
        <v>0</v>
      </c>
      <c r="D99" s="1573">
        <v>0</v>
      </c>
      <c r="E99" s="1573">
        <v>0</v>
      </c>
      <c r="F99" s="1573">
        <v>0</v>
      </c>
      <c r="G99" s="1573">
        <v>0</v>
      </c>
      <c r="H99" s="1573">
        <v>0</v>
      </c>
      <c r="I99" s="1575"/>
      <c r="J99" s="1574">
        <v>1773</v>
      </c>
      <c r="K99" s="1573">
        <v>0</v>
      </c>
    </row>
    <row r="100" spans="1:12" ht="12.75" customHeight="1" x14ac:dyDescent="0.2">
      <c r="A100" s="427" t="s">
        <v>243</v>
      </c>
      <c r="B100" s="429">
        <v>1960</v>
      </c>
      <c r="C100" s="1598">
        <v>0</v>
      </c>
      <c r="D100" s="1598">
        <v>0</v>
      </c>
      <c r="E100" s="1598">
        <v>0</v>
      </c>
      <c r="F100" s="1598">
        <v>0</v>
      </c>
      <c r="G100" s="1598">
        <v>0</v>
      </c>
      <c r="H100" s="1598">
        <v>0</v>
      </c>
      <c r="I100" s="1574">
        <v>0</v>
      </c>
      <c r="J100" s="1598">
        <v>0</v>
      </c>
      <c r="K100" s="1574">
        <v>0</v>
      </c>
    </row>
    <row r="101" spans="1:12" ht="12.75" customHeight="1" x14ac:dyDescent="0.2">
      <c r="A101" s="427" t="s">
        <v>244</v>
      </c>
      <c r="B101" s="429">
        <v>1970</v>
      </c>
      <c r="C101" s="1598">
        <v>1900</v>
      </c>
      <c r="D101" s="1623"/>
      <c r="E101" s="1585"/>
      <c r="F101" s="1623"/>
      <c r="G101" s="1580"/>
      <c r="H101" s="1623"/>
      <c r="I101" s="1575"/>
      <c r="J101" s="1580"/>
      <c r="K101" s="1580"/>
    </row>
    <row r="102" spans="1:12" ht="12.75" customHeight="1" x14ac:dyDescent="0.2">
      <c r="A102" s="427" t="s">
        <v>245</v>
      </c>
      <c r="B102" s="429">
        <v>1980</v>
      </c>
      <c r="C102" s="1598">
        <v>0</v>
      </c>
      <c r="D102" s="1598">
        <v>0</v>
      </c>
      <c r="E102" s="1598">
        <v>0</v>
      </c>
      <c r="F102" s="1598">
        <v>0</v>
      </c>
      <c r="G102" s="1598">
        <v>0</v>
      </c>
      <c r="H102" s="1598">
        <v>0</v>
      </c>
      <c r="I102" s="1574">
        <v>0</v>
      </c>
      <c r="J102" s="1598">
        <v>0</v>
      </c>
      <c r="K102" s="1574">
        <v>0</v>
      </c>
    </row>
    <row r="103" spans="1:12" ht="12.75" customHeight="1" x14ac:dyDescent="0.2">
      <c r="A103" s="427" t="s">
        <v>342</v>
      </c>
      <c r="B103" s="429">
        <v>1983</v>
      </c>
      <c r="C103" s="1575"/>
      <c r="D103" s="1575"/>
      <c r="E103" s="1639">
        <v>63913</v>
      </c>
      <c r="F103" s="1575"/>
      <c r="G103" s="1575"/>
      <c r="H103" s="1598">
        <v>153140</v>
      </c>
      <c r="I103" s="1575"/>
      <c r="J103" s="1610"/>
      <c r="K103" s="1610"/>
    </row>
    <row r="104" spans="1:12" ht="12.75" customHeight="1" x14ac:dyDescent="0.2">
      <c r="A104" s="427" t="s">
        <v>825</v>
      </c>
      <c r="B104" s="429">
        <v>1991</v>
      </c>
      <c r="C104" s="1598">
        <v>0</v>
      </c>
      <c r="D104" s="1573">
        <v>0</v>
      </c>
      <c r="E104" s="1586">
        <v>0</v>
      </c>
      <c r="F104" s="1574">
        <v>0</v>
      </c>
      <c r="G104" s="1574">
        <v>0</v>
      </c>
      <c r="H104" s="1573">
        <v>0</v>
      </c>
      <c r="I104" s="1575"/>
      <c r="J104" s="1575"/>
      <c r="K104" s="1575"/>
    </row>
    <row r="105" spans="1:12" ht="12.75" customHeight="1" x14ac:dyDescent="0.2">
      <c r="A105" s="427" t="s">
        <v>817</v>
      </c>
      <c r="B105" s="429">
        <v>1992</v>
      </c>
      <c r="C105" s="1573">
        <v>0</v>
      </c>
      <c r="D105" s="1640"/>
      <c r="E105" s="1575"/>
      <c r="F105" s="1575"/>
      <c r="G105" s="1575"/>
      <c r="H105" s="1610"/>
      <c r="I105" s="1575"/>
      <c r="J105" s="1575"/>
      <c r="K105" s="1575"/>
    </row>
    <row r="106" spans="1:12" ht="12.75" customHeight="1" x14ac:dyDescent="0.2">
      <c r="A106" s="427" t="s">
        <v>1413</v>
      </c>
      <c r="B106" s="429">
        <v>1993</v>
      </c>
      <c r="C106" s="1573">
        <v>0</v>
      </c>
      <c r="D106" s="1598">
        <v>0</v>
      </c>
      <c r="E106" s="1574">
        <v>0</v>
      </c>
      <c r="F106" s="1574">
        <v>0</v>
      </c>
      <c r="G106" s="1574">
        <v>0</v>
      </c>
      <c r="H106" s="1574">
        <v>0</v>
      </c>
      <c r="I106" s="1617"/>
      <c r="J106" s="1574">
        <v>0</v>
      </c>
      <c r="K106" s="1574">
        <v>0</v>
      </c>
    </row>
    <row r="107" spans="1:12" ht="12.75" customHeight="1" x14ac:dyDescent="0.2">
      <c r="A107" s="427" t="s">
        <v>78</v>
      </c>
      <c r="B107" s="429">
        <v>1999</v>
      </c>
      <c r="C107" s="1632">
        <v>24984</v>
      </c>
      <c r="D107" s="1573">
        <v>61515</v>
      </c>
      <c r="E107" s="1573">
        <v>0</v>
      </c>
      <c r="F107" s="1573">
        <v>195</v>
      </c>
      <c r="G107" s="1573">
        <v>0</v>
      </c>
      <c r="H107" s="1573">
        <v>0</v>
      </c>
      <c r="I107" s="1573">
        <v>0</v>
      </c>
      <c r="J107" s="1574">
        <v>0</v>
      </c>
      <c r="K107" s="1573">
        <v>0</v>
      </c>
    </row>
    <row r="108" spans="1:12" ht="12.75" customHeight="1" thickBot="1" x14ac:dyDescent="0.25">
      <c r="A108" s="1406" t="s">
        <v>484</v>
      </c>
      <c r="B108" s="1408"/>
      <c r="C108" s="1633">
        <f>SUM(C95:C107)</f>
        <v>41930</v>
      </c>
      <c r="D108" s="1633">
        <f t="shared" ref="D108:K108" si="3">SUM(D95:D107)</f>
        <v>62200</v>
      </c>
      <c r="E108" s="1633">
        <f t="shared" si="3"/>
        <v>63913</v>
      </c>
      <c r="F108" s="1633">
        <f t="shared" si="3"/>
        <v>195</v>
      </c>
      <c r="G108" s="1633">
        <f t="shared" si="3"/>
        <v>0</v>
      </c>
      <c r="H108" s="1633">
        <f t="shared" si="3"/>
        <v>153140</v>
      </c>
      <c r="I108" s="1633">
        <f t="shared" si="3"/>
        <v>0</v>
      </c>
      <c r="J108" s="1633">
        <f t="shared" si="3"/>
        <v>1773</v>
      </c>
      <c r="K108" s="1594">
        <f t="shared" si="3"/>
        <v>0</v>
      </c>
    </row>
    <row r="109" spans="1:12" ht="14.25" thickTop="1" thickBot="1" x14ac:dyDescent="0.25">
      <c r="A109" s="1409" t="s">
        <v>246</v>
      </c>
      <c r="B109" s="1410" t="s">
        <v>566</v>
      </c>
      <c r="C109" s="1641">
        <f t="shared" ref="C109:K109" si="4">SUM(C12,C18,C40,C63,C67,C75,C82,C93,C108,)</f>
        <v>2289198</v>
      </c>
      <c r="D109" s="1641">
        <f t="shared" si="4"/>
        <v>619329</v>
      </c>
      <c r="E109" s="1641">
        <f t="shared" si="4"/>
        <v>322232</v>
      </c>
      <c r="F109" s="1641">
        <f t="shared" si="4"/>
        <v>169710</v>
      </c>
      <c r="G109" s="1641">
        <f t="shared" si="4"/>
        <v>204315</v>
      </c>
      <c r="H109" s="1641">
        <f t="shared" si="4"/>
        <v>153682</v>
      </c>
      <c r="I109" s="1641">
        <f t="shared" si="4"/>
        <v>58449</v>
      </c>
      <c r="J109" s="1641">
        <f t="shared" si="4"/>
        <v>639808</v>
      </c>
      <c r="K109" s="1629">
        <f t="shared" si="4"/>
        <v>41391</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0</v>
      </c>
      <c r="D111" s="1586">
        <v>0</v>
      </c>
      <c r="E111" s="1640"/>
      <c r="F111" s="1586">
        <v>0</v>
      </c>
      <c r="G111" s="1586">
        <v>0</v>
      </c>
      <c r="H111" s="1640"/>
      <c r="I111" s="1575"/>
      <c r="J111" s="1575"/>
      <c r="K111" s="1575"/>
    </row>
    <row r="112" spans="1:12" ht="12.75" customHeight="1" x14ac:dyDescent="0.2">
      <c r="A112" s="427" t="s">
        <v>819</v>
      </c>
      <c r="B112" s="429">
        <v>2200</v>
      </c>
      <c r="C112" s="1632">
        <v>0</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1170707</v>
      </c>
      <c r="D117" s="1586">
        <v>0</v>
      </c>
      <c r="E117" s="1573">
        <v>0</v>
      </c>
      <c r="F117" s="1586">
        <v>0</v>
      </c>
      <c r="G117" s="1586">
        <v>0</v>
      </c>
      <c r="H117" s="1573">
        <v>0</v>
      </c>
      <c r="I117" s="1575"/>
      <c r="J117" s="1574">
        <v>0</v>
      </c>
      <c r="K117" s="1573">
        <v>0</v>
      </c>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1895</v>
      </c>
      <c r="B120" s="478">
        <v>3030</v>
      </c>
      <c r="C120" s="1632">
        <v>0</v>
      </c>
      <c r="D120" s="1573">
        <v>0</v>
      </c>
      <c r="E120" s="1573">
        <v>0</v>
      </c>
      <c r="F120" s="1573">
        <v>0</v>
      </c>
      <c r="G120" s="1573">
        <v>0</v>
      </c>
      <c r="H120" s="1573">
        <v>0</v>
      </c>
      <c r="I120" s="1575"/>
      <c r="J120" s="1574">
        <v>0</v>
      </c>
      <c r="K120" s="1573">
        <v>0</v>
      </c>
    </row>
    <row r="121" spans="1:11" x14ac:dyDescent="0.2">
      <c r="A121" s="1266" t="s">
        <v>1778</v>
      </c>
      <c r="B121" s="480">
        <v>3099</v>
      </c>
      <c r="C121" s="1632">
        <v>0</v>
      </c>
      <c r="D121" s="1573">
        <v>0</v>
      </c>
      <c r="E121" s="1573">
        <v>0</v>
      </c>
      <c r="F121" s="1573">
        <v>0</v>
      </c>
      <c r="G121" s="1573">
        <v>0</v>
      </c>
      <c r="H121" s="1573">
        <v>0</v>
      </c>
      <c r="I121" s="1575"/>
      <c r="J121" s="1574">
        <v>0</v>
      </c>
      <c r="K121" s="1573">
        <v>0</v>
      </c>
    </row>
    <row r="122" spans="1:11" ht="12.6" customHeight="1" thickBot="1" x14ac:dyDescent="0.25">
      <c r="A122" s="1406" t="s">
        <v>485</v>
      </c>
      <c r="B122" s="1413"/>
      <c r="C122" s="1633">
        <f t="shared" ref="C122:H122" si="5">SUM(C117:C121)</f>
        <v>1170707</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0</v>
      </c>
      <c r="D125" s="1640"/>
      <c r="E125" s="1575"/>
      <c r="F125" s="1631">
        <v>0</v>
      </c>
      <c r="G125" s="1575"/>
      <c r="H125" s="1575"/>
      <c r="I125" s="1575"/>
      <c r="J125" s="1575"/>
      <c r="K125" s="1575"/>
    </row>
    <row r="126" spans="1:11" ht="12.75" customHeight="1" x14ac:dyDescent="0.2">
      <c r="A126" s="427" t="s">
        <v>1429</v>
      </c>
      <c r="B126" s="478">
        <v>3105</v>
      </c>
      <c r="C126" s="1573">
        <v>0</v>
      </c>
      <c r="D126" s="1640"/>
      <c r="E126" s="1575"/>
      <c r="F126" s="1573">
        <v>0</v>
      </c>
      <c r="G126" s="1575"/>
      <c r="H126" s="1575"/>
      <c r="I126" s="1575"/>
      <c r="J126" s="1575"/>
      <c r="K126" s="1575"/>
    </row>
    <row r="127" spans="1:11" ht="12.75" customHeight="1" x14ac:dyDescent="0.2">
      <c r="A127" s="427" t="s">
        <v>862</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12815</v>
      </c>
      <c r="D128" s="1640"/>
      <c r="E128" s="1575"/>
      <c r="F128" s="1573">
        <v>0</v>
      </c>
      <c r="G128" s="1575"/>
      <c r="H128" s="1575"/>
      <c r="I128" s="1575"/>
      <c r="J128" s="1575"/>
      <c r="K128" s="1575"/>
    </row>
    <row r="129" spans="1:11" ht="12.75" customHeight="1" x14ac:dyDescent="0.2">
      <c r="A129" s="427" t="s">
        <v>1430</v>
      </c>
      <c r="B129" s="478">
        <v>3130</v>
      </c>
      <c r="C129" s="1573">
        <v>0</v>
      </c>
      <c r="D129" s="1640"/>
      <c r="E129" s="1575"/>
      <c r="F129" s="1573">
        <v>0</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0</v>
      </c>
      <c r="G131" s="1575"/>
      <c r="H131" s="1575"/>
      <c r="I131" s="1575"/>
      <c r="J131" s="1575"/>
      <c r="K131" s="1575"/>
    </row>
    <row r="132" spans="1:11" ht="12.75" customHeight="1" thickBot="1" x14ac:dyDescent="0.25">
      <c r="A132" s="1406" t="s">
        <v>1025</v>
      </c>
      <c r="B132" s="1414"/>
      <c r="C132" s="1633">
        <f>SUM(C125:C131)</f>
        <v>12815</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0</v>
      </c>
      <c r="D134" s="1573">
        <v>0</v>
      </c>
      <c r="E134" s="1640"/>
      <c r="F134" s="1575"/>
      <c r="G134" s="1573">
        <v>0</v>
      </c>
      <c r="H134" s="1575"/>
      <c r="I134" s="1575"/>
      <c r="J134" s="1575"/>
      <c r="K134" s="1575"/>
    </row>
    <row r="135" spans="1:11" ht="12.75" customHeight="1" x14ac:dyDescent="0.2">
      <c r="A135" s="427" t="s">
        <v>664</v>
      </c>
      <c r="B135" s="478">
        <v>3220</v>
      </c>
      <c r="C135" s="1632">
        <v>9188</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596</v>
      </c>
      <c r="B137" s="478">
        <v>3235</v>
      </c>
      <c r="C137" s="1598">
        <v>17621</v>
      </c>
      <c r="D137" s="1574">
        <v>0</v>
      </c>
      <c r="E137" s="1640"/>
      <c r="F137" s="1575"/>
      <c r="G137" s="1574">
        <v>0</v>
      </c>
      <c r="H137" s="1575"/>
      <c r="I137" s="1575"/>
      <c r="J137" s="1575"/>
      <c r="K137" s="1575"/>
    </row>
    <row r="138" spans="1:11" ht="12.75" customHeight="1" x14ac:dyDescent="0.2">
      <c r="A138" s="427" t="s">
        <v>597</v>
      </c>
      <c r="B138" s="478">
        <v>3240</v>
      </c>
      <c r="C138" s="1598">
        <v>0</v>
      </c>
      <c r="D138" s="1574">
        <v>0</v>
      </c>
      <c r="E138" s="1640"/>
      <c r="F138" s="1575"/>
      <c r="G138" s="1574">
        <v>0</v>
      </c>
      <c r="H138" s="1575"/>
      <c r="I138" s="1575"/>
      <c r="J138" s="1575"/>
      <c r="K138" s="1575"/>
    </row>
    <row r="139" spans="1:11" ht="12.75" customHeight="1" x14ac:dyDescent="0.2">
      <c r="A139" s="427" t="s">
        <v>598</v>
      </c>
      <c r="B139" s="478">
        <v>3270</v>
      </c>
      <c r="C139" s="1598">
        <v>0</v>
      </c>
      <c r="D139" s="1574">
        <v>0</v>
      </c>
      <c r="E139" s="1640"/>
      <c r="F139" s="1575"/>
      <c r="G139" s="1574">
        <v>0</v>
      </c>
      <c r="H139" s="1575"/>
      <c r="I139" s="1575"/>
      <c r="J139" s="1575"/>
      <c r="K139" s="1575"/>
    </row>
    <row r="140" spans="1:11" ht="12.75" customHeight="1" x14ac:dyDescent="0.2">
      <c r="A140" s="427" t="s">
        <v>67</v>
      </c>
      <c r="B140" s="478">
        <v>3299</v>
      </c>
      <c r="C140" s="1632">
        <v>0</v>
      </c>
      <c r="D140" s="1573">
        <v>0</v>
      </c>
      <c r="E140" s="1640"/>
      <c r="F140" s="1582"/>
      <c r="G140" s="1574">
        <v>0</v>
      </c>
      <c r="H140" s="1575"/>
      <c r="I140" s="1575"/>
      <c r="J140" s="1575"/>
      <c r="K140" s="1575"/>
    </row>
    <row r="141" spans="1:11" ht="12.75" customHeight="1" thickBot="1" x14ac:dyDescent="0.25">
      <c r="A141" s="1406" t="s">
        <v>599</v>
      </c>
      <c r="B141" s="1414"/>
      <c r="C141" s="1633">
        <f>SUM(C134:C140)</f>
        <v>26809</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v>0</v>
      </c>
      <c r="D143" s="1575"/>
      <c r="E143" s="1640"/>
      <c r="F143" s="1575"/>
      <c r="G143" s="1573">
        <v>0</v>
      </c>
      <c r="H143" s="1575"/>
      <c r="I143" s="1575"/>
      <c r="J143" s="1575"/>
      <c r="K143" s="1575"/>
    </row>
    <row r="144" spans="1:11" ht="12.75" customHeight="1" x14ac:dyDescent="0.2">
      <c r="A144" s="427" t="s">
        <v>344</v>
      </c>
      <c r="B144" s="478">
        <v>3310</v>
      </c>
      <c r="C144" s="1632">
        <v>0</v>
      </c>
      <c r="D144" s="1575"/>
      <c r="E144" s="1640"/>
      <c r="F144" s="1575"/>
      <c r="G144" s="1573">
        <v>0</v>
      </c>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1739</v>
      </c>
      <c r="D146" s="1647"/>
      <c r="E146" s="1609"/>
      <c r="F146" s="1575"/>
      <c r="G146" s="1648"/>
      <c r="H146" s="1575"/>
      <c r="I146" s="1575"/>
      <c r="J146" s="1575"/>
      <c r="K146" s="1575"/>
    </row>
    <row r="147" spans="1:11" ht="12.75" customHeight="1" thickBot="1" x14ac:dyDescent="0.25">
      <c r="A147" s="1269" t="s">
        <v>916</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4561</v>
      </c>
      <c r="D148" s="1649">
        <v>0</v>
      </c>
      <c r="E148" s="1609"/>
      <c r="F148" s="1575"/>
      <c r="G148" s="1575"/>
      <c r="H148" s="1575"/>
      <c r="I148" s="1575"/>
      <c r="J148" s="1575"/>
      <c r="K148" s="1575"/>
    </row>
    <row r="149" spans="1:11" ht="12.75" customHeight="1" thickTop="1" thickBot="1" x14ac:dyDescent="0.25">
      <c r="A149" s="1270" t="s">
        <v>762</v>
      </c>
      <c r="B149" s="484">
        <v>3410</v>
      </c>
      <c r="C149" s="1650">
        <v>0</v>
      </c>
      <c r="D149" s="1651">
        <v>0</v>
      </c>
      <c r="E149" s="1652">
        <v>0</v>
      </c>
      <c r="F149" s="1626">
        <v>0</v>
      </c>
      <c r="G149" s="1626">
        <v>0</v>
      </c>
      <c r="H149" s="1626">
        <v>0</v>
      </c>
      <c r="I149" s="1626"/>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c r="J150" s="1628">
        <v>0</v>
      </c>
      <c r="K150" s="1628">
        <v>0</v>
      </c>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v>0</v>
      </c>
      <c r="D152" s="1573">
        <v>0</v>
      </c>
      <c r="E152" s="1640"/>
      <c r="F152" s="1573">
        <v>64829</v>
      </c>
      <c r="G152" s="1574">
        <v>0</v>
      </c>
      <c r="H152" s="1575"/>
      <c r="I152" s="1575"/>
      <c r="J152" s="1575"/>
      <c r="K152" s="1575"/>
    </row>
    <row r="153" spans="1:11" ht="12.75" customHeight="1" x14ac:dyDescent="0.2">
      <c r="A153" s="427" t="s">
        <v>1048</v>
      </c>
      <c r="B153" s="478">
        <v>3510</v>
      </c>
      <c r="C153" s="1632">
        <v>0</v>
      </c>
      <c r="D153" s="1573">
        <v>0</v>
      </c>
      <c r="E153" s="1640"/>
      <c r="F153" s="1573">
        <v>125915</v>
      </c>
      <c r="G153" s="1574">
        <v>0</v>
      </c>
      <c r="H153" s="1575"/>
      <c r="I153" s="1575"/>
      <c r="J153" s="1575"/>
      <c r="K153" s="1575"/>
    </row>
    <row r="154" spans="1:11" ht="12.75" customHeight="1" x14ac:dyDescent="0.2">
      <c r="A154" s="427" t="s">
        <v>69</v>
      </c>
      <c r="B154" s="478">
        <v>3599</v>
      </c>
      <c r="C154" s="1632">
        <v>0</v>
      </c>
      <c r="D154" s="1573">
        <v>0</v>
      </c>
      <c r="E154" s="1640"/>
      <c r="F154" s="1573">
        <v>0</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190744</v>
      </c>
      <c r="G155" s="1633">
        <f>SUM(G152:G154)</f>
        <v>0</v>
      </c>
      <c r="H155" s="1575"/>
      <c r="I155" s="1575"/>
      <c r="J155" s="1575"/>
      <c r="K155" s="1575"/>
    </row>
    <row r="156" spans="1:11" ht="12.75" customHeight="1" thickTop="1" thickBot="1" x14ac:dyDescent="0.25">
      <c r="A156" s="1270" t="s">
        <v>377</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0</v>
      </c>
      <c r="D157" s="1653">
        <v>0</v>
      </c>
      <c r="E157" s="1640"/>
      <c r="F157" s="1653">
        <v>0</v>
      </c>
      <c r="G157" s="1653">
        <v>0</v>
      </c>
      <c r="H157" s="1575"/>
      <c r="I157" s="1575"/>
      <c r="J157" s="1575"/>
      <c r="K157" s="1575"/>
    </row>
    <row r="158" spans="1:11" ht="12.75" customHeight="1" thickTop="1" thickBot="1" x14ac:dyDescent="0.25">
      <c r="A158" s="1270" t="s">
        <v>993</v>
      </c>
      <c r="B158" s="484">
        <v>3695</v>
      </c>
      <c r="C158" s="1651">
        <v>0</v>
      </c>
      <c r="D158" s="1575"/>
      <c r="E158" s="1640"/>
      <c r="F158" s="1651">
        <v>0</v>
      </c>
      <c r="G158" s="1651">
        <v>0</v>
      </c>
      <c r="H158" s="1575"/>
      <c r="I158" s="1575"/>
      <c r="J158" s="1575"/>
      <c r="K158" s="1575"/>
    </row>
    <row r="159" spans="1:11" ht="12.75" customHeight="1" thickTop="1" thickBot="1" x14ac:dyDescent="0.25">
      <c r="A159" s="1270" t="s">
        <v>1042</v>
      </c>
      <c r="B159" s="484">
        <v>3705</v>
      </c>
      <c r="C159" s="1651">
        <v>100979</v>
      </c>
      <c r="D159" s="1653">
        <v>9964</v>
      </c>
      <c r="E159" s="1640"/>
      <c r="F159" s="1651">
        <v>12722</v>
      </c>
      <c r="G159" s="1651">
        <v>0</v>
      </c>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1432</v>
      </c>
      <c r="B163" s="484">
        <v>3780</v>
      </c>
      <c r="C163" s="1627">
        <v>0</v>
      </c>
      <c r="D163" s="1626">
        <v>0</v>
      </c>
      <c r="E163" s="1627">
        <v>0</v>
      </c>
      <c r="F163" s="1627">
        <v>0</v>
      </c>
      <c r="G163" s="1627">
        <v>0</v>
      </c>
      <c r="H163" s="1627">
        <v>0</v>
      </c>
      <c r="I163" s="1575"/>
      <c r="J163" s="1575"/>
      <c r="K163" s="1627">
        <v>0</v>
      </c>
    </row>
    <row r="164" spans="1:11" ht="12.75" customHeight="1" thickTop="1" thickBot="1" x14ac:dyDescent="0.25">
      <c r="A164" s="1270" t="s">
        <v>853</v>
      </c>
      <c r="B164" s="484">
        <v>3815</v>
      </c>
      <c r="C164" s="1651">
        <v>0</v>
      </c>
      <c r="D164" s="1575"/>
      <c r="E164" s="1640"/>
      <c r="F164" s="1651">
        <v>0</v>
      </c>
      <c r="G164" s="1575"/>
      <c r="H164" s="1575"/>
      <c r="I164" s="1575"/>
      <c r="J164" s="1575"/>
      <c r="K164" s="1575"/>
    </row>
    <row r="165" spans="1:11" ht="12.75" customHeight="1" thickTop="1" thickBot="1" x14ac:dyDescent="0.25">
      <c r="A165" s="1270" t="s">
        <v>394</v>
      </c>
      <c r="B165" s="484">
        <v>3825</v>
      </c>
      <c r="C165" s="1651">
        <v>0</v>
      </c>
      <c r="D165" s="1575"/>
      <c r="E165" s="1640"/>
      <c r="F165" s="1651">
        <v>0</v>
      </c>
      <c r="G165" s="1575"/>
      <c r="H165" s="1575"/>
      <c r="I165" s="1575"/>
      <c r="J165" s="1575"/>
      <c r="K165" s="1575"/>
    </row>
    <row r="166" spans="1:11" ht="12.75" customHeight="1" thickTop="1" thickBot="1" x14ac:dyDescent="0.25">
      <c r="A166" s="1270" t="s">
        <v>345</v>
      </c>
      <c r="B166" s="484">
        <v>3920</v>
      </c>
      <c r="C166" s="1645"/>
      <c r="D166" s="1653">
        <v>0</v>
      </c>
      <c r="E166" s="1575"/>
      <c r="F166" s="1645"/>
      <c r="G166" s="1575"/>
      <c r="H166" s="1626">
        <v>0</v>
      </c>
      <c r="I166" s="1575"/>
      <c r="J166" s="1575"/>
      <c r="K166" s="1575"/>
    </row>
    <row r="167" spans="1:11" ht="12.75" customHeight="1" thickTop="1" thickBot="1" x14ac:dyDescent="0.25">
      <c r="A167" s="1270" t="s">
        <v>346</v>
      </c>
      <c r="B167" s="484">
        <v>3925</v>
      </c>
      <c r="C167" s="1617"/>
      <c r="D167" s="1651">
        <v>50000</v>
      </c>
      <c r="E167" s="1617"/>
      <c r="F167" s="1617"/>
      <c r="G167" s="1575"/>
      <c r="H167" s="1627">
        <v>0</v>
      </c>
      <c r="I167" s="1575"/>
      <c r="J167" s="1575"/>
      <c r="K167" s="1626">
        <v>0</v>
      </c>
    </row>
    <row r="168" spans="1:11" ht="14.25" thickTop="1" thickBot="1" x14ac:dyDescent="0.25">
      <c r="A168" s="1270" t="s">
        <v>70</v>
      </c>
      <c r="B168" s="484">
        <v>3999</v>
      </c>
      <c r="C168" s="1654">
        <v>750</v>
      </c>
      <c r="D168" s="1655">
        <v>0</v>
      </c>
      <c r="E168" s="1655">
        <v>0</v>
      </c>
      <c r="F168" s="1655">
        <v>0</v>
      </c>
      <c r="G168" s="1656">
        <v>0</v>
      </c>
      <c r="H168" s="1657">
        <v>0</v>
      </c>
      <c r="I168" s="1656">
        <v>0</v>
      </c>
      <c r="J168" s="1656">
        <v>0</v>
      </c>
      <c r="K168" s="1657">
        <v>0</v>
      </c>
    </row>
    <row r="169" spans="1:11" ht="12.75" customHeight="1" thickTop="1" thickBot="1" x14ac:dyDescent="0.25">
      <c r="A169" s="2249" t="s">
        <v>395</v>
      </c>
      <c r="B169" s="2250"/>
      <c r="C169" s="1658">
        <f t="shared" ref="C169:K169" si="6">SUM(C132,C141,C145,C146:C150,C155,C156:C167,C168)</f>
        <v>147653</v>
      </c>
      <c r="D169" s="1658">
        <f t="shared" si="6"/>
        <v>59964</v>
      </c>
      <c r="E169" s="1658">
        <f t="shared" si="6"/>
        <v>0</v>
      </c>
      <c r="F169" s="1658">
        <f t="shared" si="6"/>
        <v>203466</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1318360</v>
      </c>
      <c r="D170" s="1641">
        <f t="shared" si="7"/>
        <v>59964</v>
      </c>
      <c r="E170" s="1641">
        <f t="shared" si="7"/>
        <v>0</v>
      </c>
      <c r="F170" s="1641">
        <f t="shared" si="7"/>
        <v>203466</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1" t="s">
        <v>1475</v>
      </c>
      <c r="B172" s="2252"/>
      <c r="C172" s="1616"/>
      <c r="D172" s="1616"/>
      <c r="E172" s="1609"/>
      <c r="F172" s="1575"/>
      <c r="G172" s="1575"/>
      <c r="H172" s="1575"/>
      <c r="I172" s="1575"/>
      <c r="J172" s="1575"/>
      <c r="K172" s="1575"/>
    </row>
    <row r="173" spans="1:11" ht="12.6" customHeight="1" x14ac:dyDescent="0.2">
      <c r="A173" s="436" t="s">
        <v>1035</v>
      </c>
      <c r="B173" s="435">
        <v>4001</v>
      </c>
      <c r="C173" s="1613">
        <v>0</v>
      </c>
      <c r="D173" s="1586">
        <v>0</v>
      </c>
      <c r="E173" s="1574">
        <v>0</v>
      </c>
      <c r="F173" s="1573">
        <v>0</v>
      </c>
      <c r="G173" s="1573">
        <v>0</v>
      </c>
      <c r="H173" s="1574">
        <v>0</v>
      </c>
      <c r="I173" s="1574"/>
      <c r="J173" s="1574">
        <v>0</v>
      </c>
      <c r="K173" s="1574">
        <v>0</v>
      </c>
    </row>
    <row r="174" spans="1:11" ht="22.5" x14ac:dyDescent="0.2">
      <c r="A174" s="479" t="s">
        <v>800</v>
      </c>
      <c r="B174" s="485">
        <v>4009</v>
      </c>
      <c r="C174" s="1632">
        <v>0</v>
      </c>
      <c r="D174" s="1573">
        <v>0</v>
      </c>
      <c r="E174" s="1574">
        <v>0</v>
      </c>
      <c r="F174" s="1573">
        <v>0</v>
      </c>
      <c r="G174" s="1573">
        <v>0</v>
      </c>
      <c r="H174" s="1574">
        <v>0</v>
      </c>
      <c r="I174" s="1574"/>
      <c r="J174" s="1574">
        <v>0</v>
      </c>
      <c r="K174" s="1574">
        <v>0</v>
      </c>
    </row>
    <row r="175" spans="1:11" ht="13.5" thickBot="1" x14ac:dyDescent="0.25">
      <c r="A175" s="2255" t="s">
        <v>1646</v>
      </c>
      <c r="B175" s="2256"/>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59" t="s">
        <v>1645</v>
      </c>
      <c r="B176" s="2260"/>
      <c r="C176" s="1659"/>
      <c r="D176" s="1660"/>
      <c r="E176" s="1661"/>
      <c r="F176" s="1662"/>
      <c r="G176" s="1662"/>
      <c r="H176" s="1662"/>
      <c r="I176" s="1662"/>
      <c r="J176" s="1662"/>
      <c r="K176" s="1662"/>
    </row>
    <row r="177" spans="1:11" ht="12.75" customHeight="1" x14ac:dyDescent="0.2">
      <c r="A177" s="427" t="s">
        <v>1036</v>
      </c>
      <c r="B177" s="429">
        <v>4045</v>
      </c>
      <c r="C177" s="1632">
        <v>0</v>
      </c>
      <c r="D177" s="1575"/>
      <c r="E177" s="1640"/>
      <c r="F177" s="1575"/>
      <c r="G177" s="1575"/>
      <c r="H177" s="1575"/>
      <c r="I177" s="1575"/>
      <c r="J177" s="1575"/>
      <c r="K177" s="1575"/>
    </row>
    <row r="178" spans="1:11" ht="12.75" customHeight="1" x14ac:dyDescent="0.2">
      <c r="A178" s="427" t="s">
        <v>1037</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781</v>
      </c>
      <c r="B180" s="485">
        <v>4090</v>
      </c>
      <c r="C180" s="1632">
        <v>0</v>
      </c>
      <c r="D180" s="1573">
        <v>0</v>
      </c>
      <c r="E180" s="1575"/>
      <c r="F180" s="1573">
        <v>0</v>
      </c>
      <c r="G180" s="1573">
        <v>0</v>
      </c>
      <c r="H180" s="1573">
        <v>0</v>
      </c>
      <c r="I180" s="1575"/>
      <c r="J180" s="1575"/>
      <c r="K180" s="1573">
        <v>0</v>
      </c>
    </row>
    <row r="181" spans="1:11" ht="13.5" thickBot="1" x14ac:dyDescent="0.25">
      <c r="A181" s="2257" t="s">
        <v>780</v>
      </c>
      <c r="B181" s="2258"/>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3" t="s">
        <v>1780</v>
      </c>
      <c r="B182" s="2254"/>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v>0</v>
      </c>
      <c r="D184" s="1586">
        <v>0</v>
      </c>
      <c r="E184" s="1640"/>
      <c r="F184" s="1586">
        <v>0</v>
      </c>
      <c r="G184" s="1586">
        <v>0</v>
      </c>
      <c r="H184" s="1575"/>
      <c r="I184" s="1575"/>
      <c r="J184" s="1575"/>
      <c r="K184" s="1575"/>
    </row>
    <row r="185" spans="1:11" ht="12.75" customHeight="1" x14ac:dyDescent="0.2">
      <c r="A185" s="427" t="s">
        <v>1587</v>
      </c>
      <c r="B185" s="429">
        <v>4105</v>
      </c>
      <c r="C185" s="1632">
        <v>0</v>
      </c>
      <c r="D185" s="1573">
        <v>0</v>
      </c>
      <c r="E185" s="1640"/>
      <c r="F185" s="1573">
        <v>0</v>
      </c>
      <c r="G185" s="1573">
        <v>0</v>
      </c>
      <c r="H185" s="1575"/>
      <c r="I185" s="1575"/>
      <c r="J185" s="1575"/>
      <c r="K185" s="1575"/>
    </row>
    <row r="186" spans="1:11" ht="12.75" customHeight="1" x14ac:dyDescent="0.2">
      <c r="A186" s="427" t="s">
        <v>1589</v>
      </c>
      <c r="B186" s="429">
        <v>4107</v>
      </c>
      <c r="C186" s="1632">
        <v>0</v>
      </c>
      <c r="D186" s="1573">
        <v>0</v>
      </c>
      <c r="E186" s="1640"/>
      <c r="F186" s="1573">
        <v>0</v>
      </c>
      <c r="G186" s="1573">
        <v>0</v>
      </c>
      <c r="H186" s="1575"/>
      <c r="I186" s="1575"/>
      <c r="J186" s="1575"/>
      <c r="K186" s="1575"/>
    </row>
    <row r="187" spans="1:11" ht="12.75" customHeight="1" x14ac:dyDescent="0.2">
      <c r="A187" s="427" t="s">
        <v>1588</v>
      </c>
      <c r="B187" s="429">
        <v>4199</v>
      </c>
      <c r="C187" s="1632">
        <v>0</v>
      </c>
      <c r="D187" s="1573">
        <v>0</v>
      </c>
      <c r="E187" s="1640"/>
      <c r="F187" s="1573">
        <v>0</v>
      </c>
      <c r="G187" s="1573">
        <v>0</v>
      </c>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v>0</v>
      </c>
      <c r="D190" s="1575"/>
      <c r="E190" s="1640"/>
      <c r="F190" s="1634"/>
      <c r="G190" s="1664">
        <v>0</v>
      </c>
      <c r="H190" s="1575"/>
      <c r="I190" s="1575"/>
      <c r="J190" s="1575"/>
      <c r="K190" s="1575"/>
    </row>
    <row r="191" spans="1:11" ht="12.75" customHeight="1" x14ac:dyDescent="0.2">
      <c r="A191" s="427" t="s">
        <v>1049</v>
      </c>
      <c r="B191" s="429">
        <v>4210</v>
      </c>
      <c r="C191" s="1573">
        <v>103321</v>
      </c>
      <c r="D191" s="1575"/>
      <c r="E191" s="1640"/>
      <c r="F191" s="1575"/>
      <c r="G191" s="1664">
        <v>0</v>
      </c>
      <c r="H191" s="1575"/>
      <c r="I191" s="1575"/>
      <c r="J191" s="1575"/>
      <c r="K191" s="1575"/>
    </row>
    <row r="192" spans="1:11" ht="12.75" customHeight="1" x14ac:dyDescent="0.2">
      <c r="A192" s="427" t="s">
        <v>1038</v>
      </c>
      <c r="B192" s="429">
        <v>4215</v>
      </c>
      <c r="C192" s="1632">
        <v>916</v>
      </c>
      <c r="D192" s="1575"/>
      <c r="E192" s="1640"/>
      <c r="F192" s="1575"/>
      <c r="G192" s="1664">
        <v>0</v>
      </c>
      <c r="H192" s="1575"/>
      <c r="I192" s="1575"/>
      <c r="J192" s="1575"/>
      <c r="K192" s="1575"/>
    </row>
    <row r="193" spans="1:11" ht="12.75" customHeight="1" x14ac:dyDescent="0.2">
      <c r="A193" s="427" t="s">
        <v>1050</v>
      </c>
      <c r="B193" s="429">
        <v>4220</v>
      </c>
      <c r="C193" s="1632">
        <v>24370</v>
      </c>
      <c r="D193" s="1575"/>
      <c r="E193" s="1640"/>
      <c r="F193" s="1575"/>
      <c r="G193" s="1664">
        <v>0</v>
      </c>
      <c r="H193" s="1575"/>
      <c r="I193" s="1575"/>
      <c r="J193" s="1575"/>
      <c r="K193" s="1575"/>
    </row>
    <row r="194" spans="1:11" ht="12.75" customHeight="1" x14ac:dyDescent="0.2">
      <c r="A194" s="427" t="s">
        <v>1434</v>
      </c>
      <c r="B194" s="429">
        <v>4225</v>
      </c>
      <c r="C194" s="1632">
        <v>6287</v>
      </c>
      <c r="D194" s="1575"/>
      <c r="E194" s="1640"/>
      <c r="F194" s="1575"/>
      <c r="G194" s="1664">
        <v>0</v>
      </c>
      <c r="H194" s="1575"/>
      <c r="I194" s="1575"/>
      <c r="J194" s="1575"/>
      <c r="K194" s="1575"/>
    </row>
    <row r="195" spans="1:11" ht="12.75" customHeight="1" x14ac:dyDescent="0.2">
      <c r="A195" s="427" t="s">
        <v>1435</v>
      </c>
      <c r="B195" s="429">
        <v>4226</v>
      </c>
      <c r="C195" s="1632">
        <v>0</v>
      </c>
      <c r="D195" s="1575"/>
      <c r="E195" s="1640"/>
      <c r="F195" s="1575"/>
      <c r="G195" s="1664">
        <v>0</v>
      </c>
      <c r="H195" s="1575"/>
      <c r="I195" s="1575"/>
      <c r="J195" s="1575"/>
      <c r="K195" s="1575"/>
    </row>
    <row r="196" spans="1:11" ht="12.75" customHeight="1" x14ac:dyDescent="0.2">
      <c r="A196" s="427" t="s">
        <v>787</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544</v>
      </c>
      <c r="B198" s="1407"/>
      <c r="C198" s="1594">
        <f>SUM(C190:C197)</f>
        <v>134894</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155482</v>
      </c>
      <c r="D200" s="1573">
        <v>0</v>
      </c>
      <c r="E200" s="1575"/>
      <c r="F200" s="1573">
        <v>0</v>
      </c>
      <c r="G200" s="1573">
        <v>0</v>
      </c>
      <c r="H200" s="1575"/>
      <c r="I200" s="1575"/>
      <c r="J200" s="1575"/>
      <c r="K200" s="1575"/>
    </row>
    <row r="201" spans="1:11" ht="12.75" customHeight="1" x14ac:dyDescent="0.2">
      <c r="A201" s="427" t="s">
        <v>913</v>
      </c>
      <c r="B201" s="429">
        <v>4305</v>
      </c>
      <c r="C201" s="1632">
        <v>0</v>
      </c>
      <c r="D201" s="1573">
        <v>0</v>
      </c>
      <c r="E201" s="1575"/>
      <c r="F201" s="1573">
        <v>0</v>
      </c>
      <c r="G201" s="1573">
        <v>0</v>
      </c>
      <c r="H201" s="1575"/>
      <c r="I201" s="1575"/>
      <c r="J201" s="1575"/>
      <c r="K201" s="1575"/>
    </row>
    <row r="202" spans="1:11" ht="12.75" customHeight="1" x14ac:dyDescent="0.2">
      <c r="A202" s="427" t="s">
        <v>1024</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0</v>
      </c>
      <c r="D203" s="1573">
        <v>0</v>
      </c>
      <c r="E203" s="1575"/>
      <c r="F203" s="1573">
        <v>0</v>
      </c>
      <c r="G203" s="1573">
        <v>0</v>
      </c>
      <c r="H203" s="1575"/>
      <c r="I203" s="1575"/>
      <c r="J203" s="1575"/>
      <c r="K203" s="1575"/>
    </row>
    <row r="204" spans="1:11" ht="12.75" customHeight="1" thickBot="1" x14ac:dyDescent="0.25">
      <c r="A204" s="1406" t="s">
        <v>397</v>
      </c>
      <c r="B204" s="1407"/>
      <c r="C204" s="1633">
        <f>SUM(C200:C203)</f>
        <v>155482</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0</v>
      </c>
      <c r="D206" s="1573">
        <v>0</v>
      </c>
      <c r="E206" s="1575"/>
      <c r="F206" s="1573">
        <v>0</v>
      </c>
      <c r="G206" s="1573">
        <v>0</v>
      </c>
      <c r="H206" s="1575"/>
      <c r="I206" s="1575"/>
      <c r="J206" s="1575"/>
      <c r="K206" s="1575"/>
    </row>
    <row r="207" spans="1:11" ht="12.75" customHeight="1" x14ac:dyDescent="0.2">
      <c r="A207" s="427" t="s">
        <v>1436</v>
      </c>
      <c r="B207" s="429">
        <v>4421</v>
      </c>
      <c r="C207" s="1632">
        <v>53730</v>
      </c>
      <c r="D207" s="1573">
        <v>0</v>
      </c>
      <c r="E207" s="1575"/>
      <c r="F207" s="1573">
        <v>0</v>
      </c>
      <c r="G207" s="1573">
        <v>0</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883</v>
      </c>
      <c r="B209" s="1407"/>
      <c r="C209" s="1633">
        <f>SUM(C206:C208)</f>
        <v>53730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7556</v>
      </c>
      <c r="D211" s="1573">
        <v>0</v>
      </c>
      <c r="E211" s="1575"/>
      <c r="F211" s="1573">
        <v>0</v>
      </c>
      <c r="G211" s="1573">
        <v>0</v>
      </c>
      <c r="H211" s="1575"/>
      <c r="I211" s="1575"/>
      <c r="J211" s="1575"/>
      <c r="K211" s="1575"/>
    </row>
    <row r="212" spans="1:11" ht="12.75" customHeight="1" x14ac:dyDescent="0.2">
      <c r="A212" s="427" t="s">
        <v>1044</v>
      </c>
      <c r="B212" s="429">
        <v>4605</v>
      </c>
      <c r="C212" s="1632">
        <v>0</v>
      </c>
      <c r="D212" s="1573">
        <v>0</v>
      </c>
      <c r="E212" s="1575"/>
      <c r="F212" s="1573">
        <v>0</v>
      </c>
      <c r="G212" s="1573">
        <v>0</v>
      </c>
      <c r="H212" s="1575"/>
      <c r="I212" s="1575"/>
      <c r="J212" s="1575"/>
      <c r="K212" s="1575"/>
    </row>
    <row r="213" spans="1:11" ht="12.75" customHeight="1" x14ac:dyDescent="0.2">
      <c r="A213" s="427" t="s">
        <v>1437</v>
      </c>
      <c r="B213" s="475">
        <v>4620</v>
      </c>
      <c r="C213" s="1632">
        <v>126168</v>
      </c>
      <c r="D213" s="1573">
        <v>0</v>
      </c>
      <c r="E213" s="1575"/>
      <c r="F213" s="1573">
        <v>0</v>
      </c>
      <c r="G213" s="1573">
        <v>0</v>
      </c>
      <c r="H213" s="1575"/>
      <c r="I213" s="1575"/>
      <c r="J213" s="1575"/>
      <c r="K213" s="1575"/>
    </row>
    <row r="214" spans="1:11" ht="12.75" customHeight="1" x14ac:dyDescent="0.2">
      <c r="A214" s="427" t="s">
        <v>1045</v>
      </c>
      <c r="B214" s="429">
        <v>4625</v>
      </c>
      <c r="C214" s="1632">
        <v>11939</v>
      </c>
      <c r="D214" s="1573">
        <v>0</v>
      </c>
      <c r="E214" s="1575"/>
      <c r="F214" s="1573">
        <v>0</v>
      </c>
      <c r="G214" s="1573">
        <v>0</v>
      </c>
      <c r="H214" s="1575"/>
      <c r="I214" s="1575"/>
      <c r="J214" s="1575"/>
      <c r="K214" s="1575"/>
    </row>
    <row r="215" spans="1:11" ht="12.75" customHeight="1" x14ac:dyDescent="0.2">
      <c r="A215" s="427" t="s">
        <v>1046</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444</v>
      </c>
      <c r="B217" s="1407"/>
      <c r="C217" s="1633">
        <f>SUM(C211:C216)</f>
        <v>145663</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0</v>
      </c>
      <c r="D219" s="1573">
        <v>0</v>
      </c>
      <c r="E219" s="1575"/>
      <c r="F219" s="1575"/>
      <c r="G219" s="1573">
        <v>0</v>
      </c>
      <c r="H219" s="1575"/>
      <c r="I219" s="1575"/>
      <c r="J219" s="1575"/>
      <c r="K219" s="1575"/>
    </row>
    <row r="220" spans="1:11" ht="12.75" customHeight="1" x14ac:dyDescent="0.2">
      <c r="A220" s="427" t="s">
        <v>67</v>
      </c>
      <c r="B220" s="429">
        <v>4799</v>
      </c>
      <c r="C220" s="1632">
        <v>0</v>
      </c>
      <c r="D220" s="1573">
        <v>0</v>
      </c>
      <c r="E220" s="1575"/>
      <c r="F220" s="1575"/>
      <c r="G220" s="1573">
        <v>0</v>
      </c>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v>0</v>
      </c>
      <c r="D222" s="1651">
        <v>0</v>
      </c>
      <c r="E222" s="1575"/>
      <c r="F222" s="1575"/>
      <c r="G222" s="1651">
        <v>0</v>
      </c>
      <c r="H222" s="1575"/>
      <c r="I222" s="1575"/>
      <c r="J222" s="1575"/>
      <c r="K222" s="1575"/>
    </row>
    <row r="223" spans="1:11" ht="12.75" customHeight="1" thickTop="1" x14ac:dyDescent="0.2">
      <c r="A223" s="436" t="s">
        <v>347</v>
      </c>
      <c r="B223" s="435">
        <v>4850</v>
      </c>
      <c r="C223" s="1598">
        <v>0</v>
      </c>
      <c r="D223" s="1574">
        <v>0</v>
      </c>
      <c r="E223" s="1574"/>
      <c r="F223" s="1574">
        <v>0</v>
      </c>
      <c r="G223" s="1574">
        <v>0</v>
      </c>
      <c r="H223" s="1574">
        <v>0</v>
      </c>
      <c r="I223" s="1575"/>
      <c r="J223" s="1574"/>
      <c r="K223" s="1574"/>
    </row>
    <row r="224" spans="1:11" ht="12.75" customHeight="1" x14ac:dyDescent="0.2">
      <c r="A224" s="436" t="s">
        <v>348</v>
      </c>
      <c r="B224" s="435">
        <v>4851</v>
      </c>
      <c r="C224" s="1598">
        <v>0</v>
      </c>
      <c r="D224" s="1574">
        <v>0</v>
      </c>
      <c r="E224" s="1575"/>
      <c r="F224" s="1579">
        <v>0</v>
      </c>
      <c r="G224" s="1574">
        <v>0</v>
      </c>
      <c r="H224" s="1575"/>
      <c r="I224" s="1575"/>
      <c r="J224" s="1575"/>
      <c r="K224" s="1575"/>
    </row>
    <row r="225" spans="1:11" ht="12.75" customHeight="1" x14ac:dyDescent="0.2">
      <c r="A225" s="436" t="s">
        <v>349</v>
      </c>
      <c r="B225" s="435">
        <v>4852</v>
      </c>
      <c r="C225" s="1598">
        <v>0</v>
      </c>
      <c r="D225" s="1574">
        <v>0</v>
      </c>
      <c r="E225" s="1574"/>
      <c r="F225" s="1574">
        <v>0</v>
      </c>
      <c r="G225" s="1574">
        <v>0</v>
      </c>
      <c r="H225" s="1574">
        <v>0</v>
      </c>
      <c r="I225" s="1575"/>
      <c r="J225" s="1574"/>
      <c r="K225" s="1574"/>
    </row>
    <row r="226" spans="1:11" ht="12.75" customHeight="1" x14ac:dyDescent="0.2">
      <c r="A226" s="436" t="s">
        <v>350</v>
      </c>
      <c r="B226" s="435">
        <v>4853</v>
      </c>
      <c r="C226" s="1598">
        <v>0</v>
      </c>
      <c r="D226" s="1574">
        <v>0</v>
      </c>
      <c r="E226" s="1574"/>
      <c r="F226" s="1574">
        <v>0</v>
      </c>
      <c r="G226" s="1574">
        <v>0</v>
      </c>
      <c r="H226" s="1574">
        <v>0</v>
      </c>
      <c r="I226" s="1575"/>
      <c r="J226" s="1574"/>
      <c r="K226" s="1574"/>
    </row>
    <row r="227" spans="1:11" ht="12.75" customHeight="1" x14ac:dyDescent="0.2">
      <c r="A227" s="436" t="s">
        <v>351</v>
      </c>
      <c r="B227" s="435">
        <v>4854</v>
      </c>
      <c r="C227" s="1598">
        <v>0</v>
      </c>
      <c r="D227" s="1574">
        <v>0</v>
      </c>
      <c r="E227" s="1574"/>
      <c r="F227" s="1574">
        <v>0</v>
      </c>
      <c r="G227" s="1574">
        <v>0</v>
      </c>
      <c r="H227" s="1574">
        <v>0</v>
      </c>
      <c r="I227" s="1575"/>
      <c r="J227" s="1574"/>
      <c r="K227" s="1574"/>
    </row>
    <row r="228" spans="1:11" ht="12.75" customHeight="1" x14ac:dyDescent="0.2">
      <c r="A228" s="436" t="s">
        <v>461</v>
      </c>
      <c r="B228" s="435">
        <v>4855</v>
      </c>
      <c r="C228" s="1598">
        <v>0</v>
      </c>
      <c r="D228" s="1574">
        <v>0</v>
      </c>
      <c r="E228" s="1574"/>
      <c r="F228" s="1574">
        <v>0</v>
      </c>
      <c r="G228" s="1574">
        <v>0</v>
      </c>
      <c r="H228" s="1574">
        <v>0</v>
      </c>
      <c r="I228" s="1575"/>
      <c r="J228" s="1574"/>
      <c r="K228" s="1574"/>
    </row>
    <row r="229" spans="1:11" ht="12.75" customHeight="1" x14ac:dyDescent="0.2">
      <c r="A229" s="436" t="s">
        <v>352</v>
      </c>
      <c r="B229" s="435">
        <v>4856</v>
      </c>
      <c r="C229" s="1598">
        <v>0</v>
      </c>
      <c r="D229" s="1574">
        <v>0</v>
      </c>
      <c r="E229" s="1574"/>
      <c r="F229" s="1574">
        <v>0</v>
      </c>
      <c r="G229" s="1574">
        <v>0</v>
      </c>
      <c r="H229" s="1574">
        <v>0</v>
      </c>
      <c r="I229" s="1575"/>
      <c r="J229" s="1574"/>
      <c r="K229" s="1574"/>
    </row>
    <row r="230" spans="1:11" ht="12.75" customHeight="1" x14ac:dyDescent="0.2">
      <c r="A230" s="436" t="s">
        <v>353</v>
      </c>
      <c r="B230" s="435">
        <v>4857</v>
      </c>
      <c r="C230" s="1598">
        <v>0</v>
      </c>
      <c r="D230" s="1574">
        <v>0</v>
      </c>
      <c r="E230" s="1574"/>
      <c r="F230" s="1574">
        <v>0</v>
      </c>
      <c r="G230" s="1574">
        <v>0</v>
      </c>
      <c r="H230" s="1574">
        <v>0</v>
      </c>
      <c r="I230" s="1575"/>
      <c r="J230" s="1574"/>
      <c r="K230" s="1574"/>
    </row>
    <row r="231" spans="1:11" ht="12.75" customHeight="1" x14ac:dyDescent="0.2">
      <c r="A231" s="436" t="s">
        <v>354</v>
      </c>
      <c r="B231" s="435">
        <v>4860</v>
      </c>
      <c r="C231" s="1598">
        <v>0</v>
      </c>
      <c r="D231" s="1574">
        <v>0</v>
      </c>
      <c r="E231" s="1574"/>
      <c r="F231" s="1574">
        <v>0</v>
      </c>
      <c r="G231" s="1574">
        <v>0</v>
      </c>
      <c r="H231" s="1574">
        <v>0</v>
      </c>
      <c r="I231" s="1575"/>
      <c r="J231" s="1574"/>
      <c r="K231" s="1574"/>
    </row>
    <row r="232" spans="1:11" ht="12.75" customHeight="1" x14ac:dyDescent="0.2">
      <c r="A232" s="436" t="s">
        <v>355</v>
      </c>
      <c r="B232" s="435">
        <v>4861</v>
      </c>
      <c r="C232" s="1598">
        <v>0</v>
      </c>
      <c r="D232" s="1574">
        <v>0</v>
      </c>
      <c r="E232" s="1574"/>
      <c r="F232" s="1574">
        <v>0</v>
      </c>
      <c r="G232" s="1574">
        <v>0</v>
      </c>
      <c r="H232" s="1574">
        <v>0</v>
      </c>
      <c r="I232" s="1575"/>
      <c r="J232" s="1574"/>
      <c r="K232" s="1574"/>
    </row>
    <row r="233" spans="1:11" ht="12.75" customHeight="1" x14ac:dyDescent="0.2">
      <c r="A233" s="436" t="s">
        <v>356</v>
      </c>
      <c r="B233" s="435">
        <v>4862</v>
      </c>
      <c r="C233" s="1598">
        <v>0</v>
      </c>
      <c r="D233" s="1574">
        <v>0</v>
      </c>
      <c r="E233" s="1580"/>
      <c r="F233" s="1574">
        <v>0</v>
      </c>
      <c r="G233" s="1574">
        <v>0</v>
      </c>
      <c r="H233" s="1580"/>
      <c r="I233" s="1575"/>
      <c r="J233" s="1580"/>
      <c r="K233" s="1580"/>
    </row>
    <row r="234" spans="1:11" ht="12.75" customHeight="1" x14ac:dyDescent="0.2">
      <c r="A234" s="436" t="s">
        <v>357</v>
      </c>
      <c r="B234" s="435">
        <v>4863</v>
      </c>
      <c r="C234" s="1598">
        <v>0</v>
      </c>
      <c r="D234" s="1574">
        <v>0</v>
      </c>
      <c r="E234" s="1575"/>
      <c r="F234" s="1580"/>
      <c r="G234" s="1623"/>
      <c r="H234" s="1575"/>
      <c r="I234" s="1575"/>
      <c r="J234" s="1575"/>
      <c r="K234" s="1575"/>
    </row>
    <row r="235" spans="1:11" ht="12.75" customHeight="1" x14ac:dyDescent="0.2">
      <c r="A235" s="436" t="s">
        <v>466</v>
      </c>
      <c r="B235" s="435">
        <v>4864</v>
      </c>
      <c r="C235" s="1598">
        <v>0</v>
      </c>
      <c r="D235" s="1574">
        <v>0</v>
      </c>
      <c r="E235" s="1574"/>
      <c r="F235" s="1574">
        <v>0</v>
      </c>
      <c r="G235" s="1574">
        <v>0</v>
      </c>
      <c r="H235" s="1574">
        <v>0</v>
      </c>
      <c r="I235" s="1575"/>
      <c r="J235" s="1574"/>
      <c r="K235" s="1574"/>
    </row>
    <row r="236" spans="1:11" ht="12.75" customHeight="1" x14ac:dyDescent="0.2">
      <c r="A236" s="436" t="s">
        <v>467</v>
      </c>
      <c r="B236" s="435">
        <v>4865</v>
      </c>
      <c r="C236" s="1598">
        <v>0</v>
      </c>
      <c r="D236" s="1574">
        <v>0</v>
      </c>
      <c r="E236" s="1574"/>
      <c r="F236" s="1574">
        <v>0</v>
      </c>
      <c r="G236" s="1574">
        <v>0</v>
      </c>
      <c r="H236" s="1574">
        <v>0</v>
      </c>
      <c r="I236" s="1575"/>
      <c r="J236" s="1574"/>
      <c r="K236" s="1574"/>
    </row>
    <row r="237" spans="1:11" ht="12.75" customHeight="1" x14ac:dyDescent="0.2">
      <c r="A237" s="436" t="s">
        <v>465</v>
      </c>
      <c r="B237" s="435">
        <v>4866</v>
      </c>
      <c r="C237" s="1598">
        <v>0</v>
      </c>
      <c r="D237" s="1574">
        <v>0</v>
      </c>
      <c r="E237" s="1574">
        <v>0</v>
      </c>
      <c r="F237" s="1574">
        <v>0</v>
      </c>
      <c r="G237" s="1574">
        <v>0</v>
      </c>
      <c r="H237" s="1574">
        <v>0</v>
      </c>
      <c r="I237" s="1575"/>
      <c r="J237" s="1574"/>
      <c r="K237" s="1574"/>
    </row>
    <row r="238" spans="1:11" ht="12.75" customHeight="1" x14ac:dyDescent="0.2">
      <c r="A238" s="436" t="s">
        <v>464</v>
      </c>
      <c r="B238" s="435">
        <v>4867</v>
      </c>
      <c r="C238" s="1598">
        <v>0</v>
      </c>
      <c r="D238" s="1574">
        <v>0</v>
      </c>
      <c r="E238" s="1574">
        <v>0</v>
      </c>
      <c r="F238" s="1574">
        <v>0</v>
      </c>
      <c r="G238" s="1574">
        <v>0</v>
      </c>
      <c r="H238" s="1574">
        <v>0</v>
      </c>
      <c r="I238" s="1575"/>
      <c r="J238" s="1574"/>
      <c r="K238" s="1574"/>
    </row>
    <row r="239" spans="1:11" ht="12.75" customHeight="1" x14ac:dyDescent="0.2">
      <c r="A239" s="436" t="s">
        <v>463</v>
      </c>
      <c r="B239" s="435">
        <v>4868</v>
      </c>
      <c r="C239" s="1598">
        <v>0</v>
      </c>
      <c r="D239" s="1574">
        <v>0</v>
      </c>
      <c r="E239" s="1574">
        <v>0</v>
      </c>
      <c r="F239" s="1574">
        <v>0</v>
      </c>
      <c r="G239" s="1574">
        <v>0</v>
      </c>
      <c r="H239" s="1574">
        <v>0</v>
      </c>
      <c r="I239" s="1575"/>
      <c r="J239" s="1574"/>
      <c r="K239" s="1574"/>
    </row>
    <row r="240" spans="1:11" ht="12.75" customHeight="1" x14ac:dyDescent="0.2">
      <c r="A240" s="436" t="s">
        <v>462</v>
      </c>
      <c r="B240" s="435">
        <v>4869</v>
      </c>
      <c r="C240" s="1598">
        <v>0</v>
      </c>
      <c r="D240" s="1574">
        <v>0</v>
      </c>
      <c r="E240" s="1574">
        <v>0</v>
      </c>
      <c r="F240" s="1574">
        <v>0</v>
      </c>
      <c r="G240" s="1574">
        <v>0</v>
      </c>
      <c r="H240" s="1574">
        <v>0</v>
      </c>
      <c r="I240" s="1575"/>
      <c r="J240" s="1574"/>
      <c r="K240" s="1574"/>
    </row>
    <row r="241" spans="1:11" ht="12.75" customHeight="1" x14ac:dyDescent="0.2">
      <c r="A241" s="436" t="s">
        <v>1118</v>
      </c>
      <c r="B241" s="435">
        <v>4870</v>
      </c>
      <c r="C241" s="1598">
        <v>0</v>
      </c>
      <c r="D241" s="1574">
        <v>0</v>
      </c>
      <c r="E241" s="1574"/>
      <c r="F241" s="1574">
        <v>0</v>
      </c>
      <c r="G241" s="1574">
        <v>0</v>
      </c>
      <c r="H241" s="1574">
        <v>0</v>
      </c>
      <c r="I241" s="1575"/>
      <c r="J241" s="1574"/>
      <c r="K241" s="1574"/>
    </row>
    <row r="242" spans="1:11" ht="12.75" customHeight="1" x14ac:dyDescent="0.2">
      <c r="A242" s="436" t="s">
        <v>783</v>
      </c>
      <c r="B242" s="435">
        <v>4871</v>
      </c>
      <c r="C242" s="1598">
        <v>0</v>
      </c>
      <c r="D242" s="1574">
        <v>0</v>
      </c>
      <c r="E242" s="1574"/>
      <c r="F242" s="1574">
        <v>0</v>
      </c>
      <c r="G242" s="1574">
        <v>0</v>
      </c>
      <c r="H242" s="1574">
        <v>0</v>
      </c>
      <c r="I242" s="1575"/>
      <c r="J242" s="1574"/>
      <c r="K242" s="1574"/>
    </row>
    <row r="243" spans="1:11" ht="12.75" customHeight="1" x14ac:dyDescent="0.2">
      <c r="A243" s="436" t="s">
        <v>784</v>
      </c>
      <c r="B243" s="435">
        <v>4872</v>
      </c>
      <c r="C243" s="1598">
        <v>0</v>
      </c>
      <c r="D243" s="1574">
        <v>0</v>
      </c>
      <c r="E243" s="1574"/>
      <c r="F243" s="1574">
        <v>0</v>
      </c>
      <c r="G243" s="1574">
        <v>0</v>
      </c>
      <c r="H243" s="1574">
        <v>0</v>
      </c>
      <c r="I243" s="1575"/>
      <c r="J243" s="1574"/>
      <c r="K243" s="1574"/>
    </row>
    <row r="244" spans="1:11" ht="12.75" customHeight="1" x14ac:dyDescent="0.2">
      <c r="A244" s="436" t="s">
        <v>785</v>
      </c>
      <c r="B244" s="435">
        <v>4873</v>
      </c>
      <c r="C244" s="1598">
        <v>0</v>
      </c>
      <c r="D244" s="1574">
        <v>0</v>
      </c>
      <c r="E244" s="1574"/>
      <c r="F244" s="1574">
        <v>0</v>
      </c>
      <c r="G244" s="1574">
        <v>0</v>
      </c>
      <c r="H244" s="1574">
        <v>0</v>
      </c>
      <c r="I244" s="1575"/>
      <c r="J244" s="1574"/>
      <c r="K244" s="1574"/>
    </row>
    <row r="245" spans="1:11" ht="12.75" customHeight="1" x14ac:dyDescent="0.2">
      <c r="A245" s="436" t="s">
        <v>786</v>
      </c>
      <c r="B245" s="435">
        <v>4874</v>
      </c>
      <c r="C245" s="1598">
        <v>0</v>
      </c>
      <c r="D245" s="1574">
        <v>0</v>
      </c>
      <c r="E245" s="1574"/>
      <c r="F245" s="1574">
        <v>0</v>
      </c>
      <c r="G245" s="1574">
        <v>0</v>
      </c>
      <c r="H245" s="1574">
        <v>0</v>
      </c>
      <c r="I245" s="1575"/>
      <c r="J245" s="1574"/>
      <c r="K245" s="1574"/>
    </row>
    <row r="246" spans="1:11" ht="12.75" customHeight="1" x14ac:dyDescent="0.2">
      <c r="A246" s="436" t="s">
        <v>468</v>
      </c>
      <c r="B246" s="435">
        <v>4875</v>
      </c>
      <c r="C246" s="1598">
        <v>0</v>
      </c>
      <c r="D246" s="1574">
        <v>0</v>
      </c>
      <c r="E246" s="1574"/>
      <c r="F246" s="1574">
        <v>0</v>
      </c>
      <c r="G246" s="1574">
        <v>0</v>
      </c>
      <c r="H246" s="1574">
        <v>0</v>
      </c>
      <c r="I246" s="1575"/>
      <c r="J246" s="1574"/>
      <c r="K246" s="1574"/>
    </row>
    <row r="247" spans="1:11" ht="12.75" customHeight="1" x14ac:dyDescent="0.2">
      <c r="A247" s="436" t="s">
        <v>765</v>
      </c>
      <c r="B247" s="435">
        <v>4876</v>
      </c>
      <c r="C247" s="1598">
        <v>0</v>
      </c>
      <c r="D247" s="1574">
        <v>0</v>
      </c>
      <c r="E247" s="1574"/>
      <c r="F247" s="1574">
        <v>0</v>
      </c>
      <c r="G247" s="1574">
        <v>0</v>
      </c>
      <c r="H247" s="1574">
        <v>0</v>
      </c>
      <c r="I247" s="1575"/>
      <c r="J247" s="1574"/>
      <c r="K247" s="1574"/>
    </row>
    <row r="248" spans="1:11" ht="12.75" customHeight="1" x14ac:dyDescent="0.2">
      <c r="A248" s="436" t="s">
        <v>766</v>
      </c>
      <c r="B248" s="435">
        <v>4877</v>
      </c>
      <c r="C248" s="1598">
        <v>0</v>
      </c>
      <c r="D248" s="1574">
        <v>0</v>
      </c>
      <c r="E248" s="1574"/>
      <c r="F248" s="1574">
        <v>0</v>
      </c>
      <c r="G248" s="1574">
        <v>0</v>
      </c>
      <c r="H248" s="1574">
        <v>0</v>
      </c>
      <c r="I248" s="1575"/>
      <c r="J248" s="1574"/>
      <c r="K248" s="1574"/>
    </row>
    <row r="249" spans="1:11" ht="12.75" customHeight="1" x14ac:dyDescent="0.2">
      <c r="A249" s="436" t="s">
        <v>767</v>
      </c>
      <c r="B249" s="435">
        <v>4878</v>
      </c>
      <c r="C249" s="1598">
        <v>0</v>
      </c>
      <c r="D249" s="1574">
        <v>0</v>
      </c>
      <c r="E249" s="1574"/>
      <c r="F249" s="1574">
        <v>0</v>
      </c>
      <c r="G249" s="1574">
        <v>0</v>
      </c>
      <c r="H249" s="1574">
        <v>0</v>
      </c>
      <c r="I249" s="1575"/>
      <c r="J249" s="1574"/>
      <c r="K249" s="1574"/>
    </row>
    <row r="250" spans="1:11" ht="12.75" customHeight="1" x14ac:dyDescent="0.2">
      <c r="A250" s="436" t="s">
        <v>768</v>
      </c>
      <c r="B250" s="435">
        <v>4879</v>
      </c>
      <c r="C250" s="1598">
        <v>0</v>
      </c>
      <c r="D250" s="1574">
        <v>0</v>
      </c>
      <c r="E250" s="1574"/>
      <c r="F250" s="1574">
        <v>0</v>
      </c>
      <c r="G250" s="1574">
        <v>0</v>
      </c>
      <c r="H250" s="1574">
        <v>0</v>
      </c>
      <c r="I250" s="1575"/>
      <c r="J250" s="1574"/>
      <c r="K250" s="1574"/>
    </row>
    <row r="251" spans="1:11" ht="12.75" customHeight="1" x14ac:dyDescent="0.2">
      <c r="A251" s="220" t="s">
        <v>1438</v>
      </c>
      <c r="B251" s="486">
        <v>4880</v>
      </c>
      <c r="C251" s="1598">
        <v>0</v>
      </c>
      <c r="D251" s="1574">
        <v>0</v>
      </c>
      <c r="E251" s="1574"/>
      <c r="F251" s="1574">
        <v>0</v>
      </c>
      <c r="G251" s="1574">
        <v>0</v>
      </c>
      <c r="H251" s="1574">
        <v>0</v>
      </c>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v>0</v>
      </c>
      <c r="D253" s="1576"/>
      <c r="E253" s="1575"/>
      <c r="F253" s="1575"/>
      <c r="G253" s="1575"/>
      <c r="H253" s="1575"/>
      <c r="I253" s="1575"/>
      <c r="J253" s="1575"/>
      <c r="K253" s="1575"/>
    </row>
    <row r="254" spans="1:11" ht="12.75" customHeight="1" thickTop="1" thickBot="1" x14ac:dyDescent="0.25">
      <c r="A254" s="1273" t="s">
        <v>1446</v>
      </c>
      <c r="B254" s="488">
        <v>4902</v>
      </c>
      <c r="C254" s="1667">
        <v>0</v>
      </c>
      <c r="D254" s="1668">
        <v>0</v>
      </c>
      <c r="E254" s="1576"/>
      <c r="F254" s="1668">
        <v>0</v>
      </c>
      <c r="G254" s="1668">
        <v>0</v>
      </c>
      <c r="H254" s="1576"/>
      <c r="I254" s="1575"/>
      <c r="J254" s="1576"/>
      <c r="K254" s="1576"/>
    </row>
    <row r="255" spans="1:11" ht="12.75" customHeight="1" thickTop="1" thickBot="1" x14ac:dyDescent="0.25">
      <c r="A255" s="427" t="s">
        <v>1439</v>
      </c>
      <c r="B255" s="429">
        <v>4905</v>
      </c>
      <c r="C255" s="1649">
        <v>0</v>
      </c>
      <c r="D255" s="1575"/>
      <c r="E255" s="1575"/>
      <c r="F255" s="1653">
        <v>0</v>
      </c>
      <c r="G255" s="1649">
        <v>0</v>
      </c>
      <c r="H255" s="1575"/>
      <c r="I255" s="1575"/>
      <c r="J255" s="1575"/>
      <c r="K255" s="1575"/>
    </row>
    <row r="256" spans="1:11" ht="12.75" customHeight="1" thickTop="1" thickBot="1" x14ac:dyDescent="0.25">
      <c r="A256" s="427" t="s">
        <v>1440</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0</v>
      </c>
      <c r="D257" s="1653">
        <v>0</v>
      </c>
      <c r="E257" s="1575"/>
      <c r="F257" s="1649">
        <v>0</v>
      </c>
      <c r="G257" s="1649">
        <v>0</v>
      </c>
      <c r="H257" s="1575"/>
      <c r="I257" s="1575"/>
      <c r="J257" s="1575"/>
      <c r="K257" s="1575"/>
    </row>
    <row r="258" spans="1:11" ht="12.75" customHeight="1" thickTop="1" thickBot="1" x14ac:dyDescent="0.25">
      <c r="A258" s="427" t="s">
        <v>418</v>
      </c>
      <c r="B258" s="429">
        <v>4930</v>
      </c>
      <c r="C258" s="1651">
        <v>0</v>
      </c>
      <c r="D258" s="1651">
        <v>0</v>
      </c>
      <c r="E258" s="1575"/>
      <c r="F258" s="1651">
        <v>0</v>
      </c>
      <c r="G258" s="1651">
        <v>0</v>
      </c>
      <c r="H258" s="1575"/>
      <c r="I258" s="1575"/>
      <c r="J258" s="1575"/>
      <c r="K258" s="1575"/>
    </row>
    <row r="259" spans="1:11" ht="12.75" customHeight="1" thickTop="1" thickBot="1" x14ac:dyDescent="0.25">
      <c r="A259" s="427" t="s">
        <v>753</v>
      </c>
      <c r="B259" s="429">
        <v>4932</v>
      </c>
      <c r="C259" s="1651">
        <v>38819</v>
      </c>
      <c r="D259" s="1651">
        <v>0</v>
      </c>
      <c r="E259" s="1575"/>
      <c r="F259" s="1651">
        <v>0</v>
      </c>
      <c r="G259" s="1651">
        <v>0</v>
      </c>
      <c r="H259" s="1575"/>
      <c r="I259" s="1575"/>
      <c r="J259" s="1575"/>
      <c r="K259" s="1575"/>
    </row>
    <row r="260" spans="1:11" ht="12.75" customHeight="1" thickTop="1" thickBot="1" x14ac:dyDescent="0.25">
      <c r="A260" s="427" t="s">
        <v>884</v>
      </c>
      <c r="B260" s="429">
        <v>4960</v>
      </c>
      <c r="C260" s="1650">
        <v>0</v>
      </c>
      <c r="D260" s="1651">
        <v>0</v>
      </c>
      <c r="E260" s="1575"/>
      <c r="F260" s="1651">
        <v>0</v>
      </c>
      <c r="G260" s="1651">
        <v>0</v>
      </c>
      <c r="H260" s="1575"/>
      <c r="I260" s="1575"/>
      <c r="J260" s="1575"/>
      <c r="K260" s="1575"/>
    </row>
    <row r="261" spans="1:11" ht="12.75" customHeight="1" thickTop="1" thickBot="1" x14ac:dyDescent="0.25">
      <c r="A261" s="1539" t="s">
        <v>1896</v>
      </c>
      <c r="B261" s="429">
        <v>4981</v>
      </c>
      <c r="C261" s="1650">
        <v>0</v>
      </c>
      <c r="D261" s="1651">
        <v>0</v>
      </c>
      <c r="E261" s="1575"/>
      <c r="F261" s="1651">
        <v>0</v>
      </c>
      <c r="G261" s="1651">
        <v>0</v>
      </c>
      <c r="H261" s="1575"/>
      <c r="I261" s="1575"/>
      <c r="J261" s="1575"/>
      <c r="K261" s="1575"/>
    </row>
    <row r="262" spans="1:11" ht="12.75" customHeight="1" thickTop="1" thickBot="1" x14ac:dyDescent="0.25">
      <c r="A262" s="1540" t="s">
        <v>1897</v>
      </c>
      <c r="B262" s="429">
        <v>4982</v>
      </c>
      <c r="C262" s="1650">
        <v>0</v>
      </c>
      <c r="D262" s="1651">
        <v>0</v>
      </c>
      <c r="E262" s="1575"/>
      <c r="F262" s="1651">
        <v>0</v>
      </c>
      <c r="G262" s="1651">
        <v>0</v>
      </c>
      <c r="H262" s="1575"/>
      <c r="I262" s="1575"/>
      <c r="J262" s="1575"/>
      <c r="K262" s="1575"/>
    </row>
    <row r="263" spans="1:11" ht="12.75" customHeight="1" thickTop="1" thickBot="1" x14ac:dyDescent="0.25">
      <c r="A263" s="427" t="s">
        <v>564</v>
      </c>
      <c r="B263" s="429">
        <v>4991</v>
      </c>
      <c r="C263" s="1650">
        <v>3690</v>
      </c>
      <c r="D263" s="1651">
        <v>0</v>
      </c>
      <c r="E263" s="1575"/>
      <c r="F263" s="1651">
        <v>0</v>
      </c>
      <c r="G263" s="1651">
        <v>0</v>
      </c>
      <c r="H263" s="1575"/>
      <c r="I263" s="1575"/>
      <c r="J263" s="1575"/>
      <c r="K263" s="1575"/>
    </row>
    <row r="264" spans="1:11" ht="12.75" customHeight="1" thickTop="1" thickBot="1" x14ac:dyDescent="0.25">
      <c r="A264" s="427" t="s">
        <v>374</v>
      </c>
      <c r="B264" s="429">
        <v>4992</v>
      </c>
      <c r="C264" s="1650">
        <v>6043</v>
      </c>
      <c r="D264" s="1651">
        <v>0</v>
      </c>
      <c r="E264" s="1575"/>
      <c r="F264" s="1651">
        <v>0</v>
      </c>
      <c r="G264" s="1651">
        <v>0</v>
      </c>
      <c r="H264" s="1575"/>
      <c r="I264" s="1575"/>
      <c r="J264" s="1575"/>
      <c r="K264" s="1575"/>
    </row>
    <row r="265" spans="1:11" s="489" customFormat="1" ht="12.75" customHeight="1" thickTop="1" thickBot="1" x14ac:dyDescent="0.25">
      <c r="A265" s="479" t="s">
        <v>75</v>
      </c>
      <c r="B265" s="475">
        <v>4998</v>
      </c>
      <c r="C265" s="1650">
        <v>38835</v>
      </c>
      <c r="D265" s="1651">
        <v>0</v>
      </c>
      <c r="E265" s="1575"/>
      <c r="F265" s="1651">
        <v>0</v>
      </c>
      <c r="G265" s="1651">
        <v>0</v>
      </c>
      <c r="H265" s="1626">
        <v>0</v>
      </c>
      <c r="I265" s="1575"/>
      <c r="J265" s="1575"/>
      <c r="K265" s="1626">
        <v>0</v>
      </c>
    </row>
    <row r="266" spans="1:11" ht="14.25" thickTop="1" thickBot="1" x14ac:dyDescent="0.25">
      <c r="A266" s="1406" t="s">
        <v>1647</v>
      </c>
      <c r="B266" s="1419"/>
      <c r="C266" s="1641">
        <f t="shared" ref="C266:H266" si="10">SUM(C188,C198,C204,C209,C217,C221,C222,C252:C265)</f>
        <v>577156</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577156</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4184714</v>
      </c>
      <c r="D268" s="1641">
        <f t="shared" si="12"/>
        <v>679293</v>
      </c>
      <c r="E268" s="1641">
        <f t="shared" si="12"/>
        <v>322232</v>
      </c>
      <c r="F268" s="1641">
        <f t="shared" si="12"/>
        <v>373176</v>
      </c>
      <c r="G268" s="1641">
        <f t="shared" si="12"/>
        <v>204315</v>
      </c>
      <c r="H268" s="1641">
        <f t="shared" si="12"/>
        <v>153682</v>
      </c>
      <c r="I268" s="1641">
        <f t="shared" si="12"/>
        <v>58449</v>
      </c>
      <c r="J268" s="1641">
        <f t="shared" si="12"/>
        <v>639808</v>
      </c>
      <c r="K268" s="1629">
        <f t="shared" si="12"/>
        <v>41391</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orizontalCentered="1" headings="1" gridLines="1"/>
  <pageMargins left="0.25" right="0.15" top="0.66" bottom="0.46" header="0.26" footer="0.17"/>
  <pageSetup scale="74" firstPageNumber="9" fitToWidth="0" fitToHeight="0"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F79" sqref="F79"/>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9"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3"/>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9" t="s">
        <v>294</v>
      </c>
      <c r="B3" s="2270"/>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1345679</v>
      </c>
      <c r="D5" s="1573">
        <v>306860</v>
      </c>
      <c r="E5" s="1573">
        <v>6275</v>
      </c>
      <c r="F5" s="1573">
        <v>131871</v>
      </c>
      <c r="G5" s="1573">
        <v>8990</v>
      </c>
      <c r="H5" s="1573">
        <v>0</v>
      </c>
      <c r="I5" s="1574">
        <v>0</v>
      </c>
      <c r="J5" s="1574">
        <v>0</v>
      </c>
      <c r="K5" s="1672">
        <f>SUM(C5:J5)</f>
        <v>1799675</v>
      </c>
      <c r="L5" s="1573">
        <v>1821782</v>
      </c>
    </row>
    <row r="6" spans="1:14" x14ac:dyDescent="0.2">
      <c r="A6" s="1274" t="s">
        <v>1416</v>
      </c>
      <c r="B6" s="503" t="s">
        <v>1414</v>
      </c>
      <c r="C6" s="1582"/>
      <c r="D6" s="1582"/>
      <c r="E6" s="1573">
        <v>0</v>
      </c>
      <c r="F6" s="1582"/>
      <c r="G6" s="1582"/>
      <c r="H6" s="1582"/>
      <c r="I6" s="1582"/>
      <c r="J6" s="1582"/>
      <c r="K6" s="1672">
        <f>SUM(C6,E6)</f>
        <v>0</v>
      </c>
      <c r="L6" s="1573">
        <v>0</v>
      </c>
    </row>
    <row r="7" spans="1:14" x14ac:dyDescent="0.2">
      <c r="A7" s="1274" t="s">
        <v>162</v>
      </c>
      <c r="B7" s="503" t="s">
        <v>961</v>
      </c>
      <c r="C7" s="1574">
        <v>57817</v>
      </c>
      <c r="D7" s="1574">
        <v>10889</v>
      </c>
      <c r="E7" s="1574">
        <v>1768</v>
      </c>
      <c r="F7" s="1574">
        <v>2713</v>
      </c>
      <c r="G7" s="1574">
        <v>8450</v>
      </c>
      <c r="H7" s="1574">
        <v>0</v>
      </c>
      <c r="I7" s="1574">
        <v>0</v>
      </c>
      <c r="J7" s="1574">
        <v>0</v>
      </c>
      <c r="K7" s="1672">
        <f t="shared" ref="K7:K32" si="0">SUM(C7:J7)</f>
        <v>81637</v>
      </c>
      <c r="L7" s="1573">
        <v>81182</v>
      </c>
    </row>
    <row r="8" spans="1:14" x14ac:dyDescent="0.2">
      <c r="A8" s="1274" t="s">
        <v>163</v>
      </c>
      <c r="B8" s="503">
        <v>1200</v>
      </c>
      <c r="C8" s="1573">
        <v>84142</v>
      </c>
      <c r="D8" s="1573">
        <v>27171</v>
      </c>
      <c r="E8" s="1573">
        <v>302</v>
      </c>
      <c r="F8" s="1573">
        <v>887</v>
      </c>
      <c r="G8" s="1573">
        <v>0</v>
      </c>
      <c r="H8" s="1573">
        <v>0</v>
      </c>
      <c r="I8" s="1574">
        <v>0</v>
      </c>
      <c r="J8" s="1574">
        <v>0</v>
      </c>
      <c r="K8" s="1672">
        <f t="shared" si="0"/>
        <v>112502</v>
      </c>
      <c r="L8" s="1573">
        <v>112350</v>
      </c>
    </row>
    <row r="9" spans="1:14" x14ac:dyDescent="0.2">
      <c r="A9" s="1274" t="s">
        <v>716</v>
      </c>
      <c r="B9" s="503" t="s">
        <v>962</v>
      </c>
      <c r="C9" s="1574">
        <v>0</v>
      </c>
      <c r="D9" s="1574">
        <v>0</v>
      </c>
      <c r="E9" s="1574">
        <v>0</v>
      </c>
      <c r="F9" s="1574">
        <v>0</v>
      </c>
      <c r="G9" s="1574">
        <v>0</v>
      </c>
      <c r="H9" s="1574">
        <v>0</v>
      </c>
      <c r="I9" s="1574">
        <v>0</v>
      </c>
      <c r="J9" s="1574">
        <v>0</v>
      </c>
      <c r="K9" s="1672">
        <f t="shared" si="0"/>
        <v>0</v>
      </c>
      <c r="L9" s="1573">
        <v>0</v>
      </c>
    </row>
    <row r="10" spans="1:14" x14ac:dyDescent="0.2">
      <c r="A10" s="1274" t="s">
        <v>717</v>
      </c>
      <c r="B10" s="503">
        <v>1250</v>
      </c>
      <c r="C10" s="1573">
        <v>141129</v>
      </c>
      <c r="D10" s="1573">
        <v>41432</v>
      </c>
      <c r="E10" s="1573">
        <v>0</v>
      </c>
      <c r="F10" s="1573">
        <v>25663</v>
      </c>
      <c r="G10" s="1573">
        <v>2400</v>
      </c>
      <c r="H10" s="1573">
        <v>0</v>
      </c>
      <c r="I10" s="1574">
        <v>0</v>
      </c>
      <c r="J10" s="1574">
        <v>0</v>
      </c>
      <c r="K10" s="1672">
        <f t="shared" si="0"/>
        <v>210624</v>
      </c>
      <c r="L10" s="1573">
        <v>243742</v>
      </c>
    </row>
    <row r="11" spans="1:14" x14ac:dyDescent="0.2">
      <c r="A11" s="1274" t="s">
        <v>1120</v>
      </c>
      <c r="B11" s="503" t="s">
        <v>160</v>
      </c>
      <c r="C11" s="1574">
        <v>0</v>
      </c>
      <c r="D11" s="1574">
        <v>0</v>
      </c>
      <c r="E11" s="1574">
        <v>0</v>
      </c>
      <c r="F11" s="1574">
        <v>0</v>
      </c>
      <c r="G11" s="1574">
        <v>0</v>
      </c>
      <c r="H11" s="1574">
        <v>0</v>
      </c>
      <c r="I11" s="1574">
        <v>0</v>
      </c>
      <c r="J11" s="1574">
        <v>0</v>
      </c>
      <c r="K11" s="1672">
        <f t="shared" si="0"/>
        <v>0</v>
      </c>
      <c r="L11" s="1573">
        <v>0</v>
      </c>
    </row>
    <row r="12" spans="1:14" x14ac:dyDescent="0.2">
      <c r="A12" s="1274" t="s">
        <v>956</v>
      </c>
      <c r="B12" s="503">
        <v>1300</v>
      </c>
      <c r="C12" s="1573">
        <v>0</v>
      </c>
      <c r="D12" s="1573">
        <v>0</v>
      </c>
      <c r="E12" s="1573">
        <v>0</v>
      </c>
      <c r="F12" s="1573">
        <v>0</v>
      </c>
      <c r="G12" s="1573">
        <v>0</v>
      </c>
      <c r="H12" s="1573">
        <v>0</v>
      </c>
      <c r="I12" s="1574">
        <v>0</v>
      </c>
      <c r="J12" s="1574">
        <v>0</v>
      </c>
      <c r="K12" s="1672">
        <f t="shared" si="0"/>
        <v>0</v>
      </c>
      <c r="L12" s="1573">
        <v>0</v>
      </c>
    </row>
    <row r="13" spans="1:14" x14ac:dyDescent="0.2">
      <c r="A13" s="1274" t="s">
        <v>718</v>
      </c>
      <c r="B13" s="503">
        <v>1400</v>
      </c>
      <c r="C13" s="1573">
        <v>107103</v>
      </c>
      <c r="D13" s="1573">
        <v>19495</v>
      </c>
      <c r="E13" s="1573">
        <v>227</v>
      </c>
      <c r="F13" s="1573">
        <v>5866</v>
      </c>
      <c r="G13" s="1573">
        <v>3268</v>
      </c>
      <c r="H13" s="1573">
        <v>0</v>
      </c>
      <c r="I13" s="1574">
        <v>0</v>
      </c>
      <c r="J13" s="1574">
        <v>0</v>
      </c>
      <c r="K13" s="1672">
        <f t="shared" si="0"/>
        <v>135959</v>
      </c>
      <c r="L13" s="1573">
        <v>140566</v>
      </c>
    </row>
    <row r="14" spans="1:14" x14ac:dyDescent="0.2">
      <c r="A14" s="1274" t="s">
        <v>957</v>
      </c>
      <c r="B14" s="503">
        <v>1500</v>
      </c>
      <c r="C14" s="1573">
        <v>91679</v>
      </c>
      <c r="D14" s="1573">
        <v>9124</v>
      </c>
      <c r="E14" s="1573">
        <v>33769</v>
      </c>
      <c r="F14" s="1573">
        <v>16210</v>
      </c>
      <c r="G14" s="1573">
        <v>3805</v>
      </c>
      <c r="H14" s="1573">
        <v>7717</v>
      </c>
      <c r="I14" s="1574">
        <v>0</v>
      </c>
      <c r="J14" s="1574">
        <v>0</v>
      </c>
      <c r="K14" s="1672">
        <f t="shared" si="0"/>
        <v>162304</v>
      </c>
      <c r="L14" s="1573">
        <v>168460</v>
      </c>
    </row>
    <row r="15" spans="1:14" x14ac:dyDescent="0.2">
      <c r="A15" s="1274" t="s">
        <v>958</v>
      </c>
      <c r="B15" s="503">
        <v>1600</v>
      </c>
      <c r="C15" s="1573">
        <v>0</v>
      </c>
      <c r="D15" s="1573">
        <v>0</v>
      </c>
      <c r="E15" s="1573">
        <v>0</v>
      </c>
      <c r="F15" s="1573">
        <v>0</v>
      </c>
      <c r="G15" s="1573">
        <v>0</v>
      </c>
      <c r="H15" s="1573">
        <v>0</v>
      </c>
      <c r="I15" s="1574">
        <v>0</v>
      </c>
      <c r="J15" s="1574">
        <v>0</v>
      </c>
      <c r="K15" s="1672">
        <f t="shared" si="0"/>
        <v>0</v>
      </c>
      <c r="L15" s="1573">
        <v>0</v>
      </c>
    </row>
    <row r="16" spans="1:14" x14ac:dyDescent="0.2">
      <c r="A16" s="1274" t="s">
        <v>980</v>
      </c>
      <c r="B16" s="503" t="s">
        <v>421</v>
      </c>
      <c r="C16" s="1573">
        <v>0</v>
      </c>
      <c r="D16" s="1573">
        <v>0</v>
      </c>
      <c r="E16" s="1573">
        <v>0</v>
      </c>
      <c r="F16" s="1573">
        <v>0</v>
      </c>
      <c r="G16" s="1573">
        <v>0</v>
      </c>
      <c r="H16" s="1573">
        <v>0</v>
      </c>
      <c r="I16" s="1574">
        <v>0</v>
      </c>
      <c r="J16" s="1574">
        <v>0</v>
      </c>
      <c r="K16" s="1672">
        <f t="shared" si="0"/>
        <v>0</v>
      </c>
      <c r="L16" s="1573">
        <v>0</v>
      </c>
    </row>
    <row r="17" spans="1:12" x14ac:dyDescent="0.2">
      <c r="A17" s="1274" t="s">
        <v>719</v>
      </c>
      <c r="B17" s="503" t="s">
        <v>161</v>
      </c>
      <c r="C17" s="1574">
        <v>23552</v>
      </c>
      <c r="D17" s="1574">
        <v>6031</v>
      </c>
      <c r="E17" s="1574">
        <v>634</v>
      </c>
      <c r="F17" s="1574">
        <v>431</v>
      </c>
      <c r="G17" s="1574">
        <v>0</v>
      </c>
      <c r="H17" s="1574">
        <v>0</v>
      </c>
      <c r="I17" s="1574">
        <v>0</v>
      </c>
      <c r="J17" s="1574">
        <v>0</v>
      </c>
      <c r="K17" s="1672">
        <f t="shared" si="0"/>
        <v>30648</v>
      </c>
      <c r="L17" s="1573">
        <v>32620</v>
      </c>
    </row>
    <row r="18" spans="1:12" x14ac:dyDescent="0.2">
      <c r="A18" s="1274" t="s">
        <v>1078</v>
      </c>
      <c r="B18" s="503">
        <v>1800</v>
      </c>
      <c r="C18" s="1573">
        <v>0</v>
      </c>
      <c r="D18" s="1573">
        <v>0</v>
      </c>
      <c r="E18" s="1573">
        <v>0</v>
      </c>
      <c r="F18" s="1573">
        <v>0</v>
      </c>
      <c r="G18" s="1573">
        <v>0</v>
      </c>
      <c r="H18" s="1573">
        <v>0</v>
      </c>
      <c r="I18" s="1574">
        <v>0</v>
      </c>
      <c r="J18" s="1574">
        <v>0</v>
      </c>
      <c r="K18" s="1672">
        <f t="shared" si="0"/>
        <v>0</v>
      </c>
      <c r="L18" s="1573">
        <v>0</v>
      </c>
    </row>
    <row r="19" spans="1:12" x14ac:dyDescent="0.2">
      <c r="A19" s="1274" t="s">
        <v>133</v>
      </c>
      <c r="B19" s="503">
        <v>1900</v>
      </c>
      <c r="C19" s="1573">
        <v>0</v>
      </c>
      <c r="D19" s="1573">
        <v>0</v>
      </c>
      <c r="E19" s="1573">
        <v>0</v>
      </c>
      <c r="F19" s="1573">
        <v>0</v>
      </c>
      <c r="G19" s="1573">
        <v>0</v>
      </c>
      <c r="H19" s="1573">
        <v>900</v>
      </c>
      <c r="I19" s="1574">
        <v>0</v>
      </c>
      <c r="J19" s="1574">
        <v>0</v>
      </c>
      <c r="K19" s="1672">
        <f t="shared" si="0"/>
        <v>900</v>
      </c>
      <c r="L19" s="1573">
        <v>0</v>
      </c>
    </row>
    <row r="20" spans="1:12" x14ac:dyDescent="0.2">
      <c r="A20" s="1275" t="s">
        <v>733</v>
      </c>
      <c r="B20" s="494" t="s">
        <v>720</v>
      </c>
      <c r="C20" s="1582"/>
      <c r="D20" s="1582"/>
      <c r="E20" s="1582"/>
      <c r="F20" s="1582"/>
      <c r="G20" s="1582"/>
      <c r="H20" s="1579">
        <v>0</v>
      </c>
      <c r="I20" s="1673"/>
      <c r="J20" s="1580"/>
      <c r="K20" s="1672">
        <f t="shared" si="0"/>
        <v>0</v>
      </c>
      <c r="L20" s="1577">
        <v>0</v>
      </c>
    </row>
    <row r="21" spans="1:12" x14ac:dyDescent="0.2">
      <c r="A21" s="1275" t="s">
        <v>734</v>
      </c>
      <c r="B21" s="494" t="s">
        <v>721</v>
      </c>
      <c r="C21" s="1582"/>
      <c r="D21" s="1582"/>
      <c r="E21" s="1582"/>
      <c r="F21" s="1582"/>
      <c r="G21" s="1582"/>
      <c r="H21" s="1579">
        <v>0</v>
      </c>
      <c r="I21" s="1673"/>
      <c r="J21" s="1582"/>
      <c r="K21" s="1672">
        <f t="shared" si="0"/>
        <v>0</v>
      </c>
      <c r="L21" s="1577">
        <v>0</v>
      </c>
    </row>
    <row r="22" spans="1:12" x14ac:dyDescent="0.2">
      <c r="A22" s="1275" t="s">
        <v>735</v>
      </c>
      <c r="B22" s="494" t="s">
        <v>722</v>
      </c>
      <c r="C22" s="1582"/>
      <c r="D22" s="1582"/>
      <c r="E22" s="1582"/>
      <c r="F22" s="1582"/>
      <c r="G22" s="1582"/>
      <c r="H22" s="1579">
        <v>0</v>
      </c>
      <c r="I22" s="1673"/>
      <c r="J22" s="1582"/>
      <c r="K22" s="1672">
        <f t="shared" si="0"/>
        <v>0</v>
      </c>
      <c r="L22" s="1577">
        <v>0</v>
      </c>
    </row>
    <row r="23" spans="1:12" x14ac:dyDescent="0.2">
      <c r="A23" s="1275" t="s">
        <v>736</v>
      </c>
      <c r="B23" s="494" t="s">
        <v>723</v>
      </c>
      <c r="C23" s="1582"/>
      <c r="D23" s="1582"/>
      <c r="E23" s="1582"/>
      <c r="F23" s="1582"/>
      <c r="G23" s="1582"/>
      <c r="H23" s="1579">
        <v>0</v>
      </c>
      <c r="I23" s="1673"/>
      <c r="J23" s="1582"/>
      <c r="K23" s="1672">
        <f t="shared" si="0"/>
        <v>0</v>
      </c>
      <c r="L23" s="1577">
        <v>0</v>
      </c>
    </row>
    <row r="24" spans="1:12" ht="12.75" customHeight="1" x14ac:dyDescent="0.2">
      <c r="A24" s="1275" t="s">
        <v>737</v>
      </c>
      <c r="B24" s="494" t="s">
        <v>724</v>
      </c>
      <c r="C24" s="1582"/>
      <c r="D24" s="1582"/>
      <c r="E24" s="1582"/>
      <c r="F24" s="1582"/>
      <c r="G24" s="1582"/>
      <c r="H24" s="1579">
        <v>0</v>
      </c>
      <c r="I24" s="1673"/>
      <c r="J24" s="1582"/>
      <c r="K24" s="1672">
        <f t="shared" si="0"/>
        <v>0</v>
      </c>
      <c r="L24" s="1577">
        <v>0</v>
      </c>
    </row>
    <row r="25" spans="1:12" ht="12.75" customHeight="1" x14ac:dyDescent="0.2">
      <c r="A25" s="1275" t="s">
        <v>797</v>
      </c>
      <c r="B25" s="494" t="s">
        <v>725</v>
      </c>
      <c r="C25" s="1582"/>
      <c r="D25" s="1582"/>
      <c r="E25" s="1582"/>
      <c r="F25" s="1582"/>
      <c r="G25" s="1582"/>
      <c r="H25" s="1579">
        <v>0</v>
      </c>
      <c r="I25" s="1673"/>
      <c r="J25" s="1582"/>
      <c r="K25" s="1672">
        <f t="shared" si="0"/>
        <v>0</v>
      </c>
      <c r="L25" s="1577">
        <v>0</v>
      </c>
    </row>
    <row r="26" spans="1:12" x14ac:dyDescent="0.2">
      <c r="A26" s="1275" t="s">
        <v>618</v>
      </c>
      <c r="B26" s="494" t="s">
        <v>726</v>
      </c>
      <c r="C26" s="1582"/>
      <c r="D26" s="1582"/>
      <c r="E26" s="1582"/>
      <c r="F26" s="1582"/>
      <c r="G26" s="1582"/>
      <c r="H26" s="1579">
        <v>0</v>
      </c>
      <c r="I26" s="1673"/>
      <c r="J26" s="1582"/>
      <c r="K26" s="1672">
        <f t="shared" si="0"/>
        <v>0</v>
      </c>
      <c r="L26" s="1577">
        <v>0</v>
      </c>
    </row>
    <row r="27" spans="1:12" x14ac:dyDescent="0.2">
      <c r="A27" s="1275" t="s">
        <v>619</v>
      </c>
      <c r="B27" s="494" t="s">
        <v>727</v>
      </c>
      <c r="C27" s="1582"/>
      <c r="D27" s="1582"/>
      <c r="E27" s="1582"/>
      <c r="F27" s="1582"/>
      <c r="G27" s="1582"/>
      <c r="H27" s="1579">
        <v>0</v>
      </c>
      <c r="I27" s="1673"/>
      <c r="J27" s="1582"/>
      <c r="K27" s="1672">
        <f t="shared" si="0"/>
        <v>0</v>
      </c>
      <c r="L27" s="1577">
        <v>0</v>
      </c>
    </row>
    <row r="28" spans="1:12" x14ac:dyDescent="0.2">
      <c r="A28" s="1275" t="s">
        <v>149</v>
      </c>
      <c r="B28" s="494" t="s">
        <v>728</v>
      </c>
      <c r="C28" s="1582"/>
      <c r="D28" s="1582"/>
      <c r="E28" s="1582"/>
      <c r="F28" s="1582"/>
      <c r="G28" s="1582"/>
      <c r="H28" s="1579">
        <v>0</v>
      </c>
      <c r="I28" s="1673"/>
      <c r="J28" s="1582"/>
      <c r="K28" s="1672">
        <f t="shared" si="0"/>
        <v>0</v>
      </c>
      <c r="L28" s="1577">
        <v>0</v>
      </c>
    </row>
    <row r="29" spans="1:12" x14ac:dyDescent="0.2">
      <c r="A29" s="1275" t="s">
        <v>150</v>
      </c>
      <c r="B29" s="494" t="s">
        <v>729</v>
      </c>
      <c r="C29" s="1582"/>
      <c r="D29" s="1582"/>
      <c r="E29" s="1582"/>
      <c r="F29" s="1582"/>
      <c r="G29" s="1582"/>
      <c r="H29" s="1579">
        <v>0</v>
      </c>
      <c r="I29" s="1673"/>
      <c r="J29" s="1582"/>
      <c r="K29" s="1672">
        <f t="shared" si="0"/>
        <v>0</v>
      </c>
      <c r="L29" s="1577">
        <v>0</v>
      </c>
    </row>
    <row r="30" spans="1:12" x14ac:dyDescent="0.2">
      <c r="A30" s="1275" t="s">
        <v>151</v>
      </c>
      <c r="B30" s="494" t="s">
        <v>730</v>
      </c>
      <c r="C30" s="1582"/>
      <c r="D30" s="1582"/>
      <c r="E30" s="1582"/>
      <c r="F30" s="1582"/>
      <c r="G30" s="1582"/>
      <c r="H30" s="1579">
        <v>0</v>
      </c>
      <c r="I30" s="1673"/>
      <c r="J30" s="1582"/>
      <c r="K30" s="1672">
        <f t="shared" si="0"/>
        <v>0</v>
      </c>
      <c r="L30" s="1577">
        <v>0</v>
      </c>
    </row>
    <row r="31" spans="1:12" x14ac:dyDescent="0.2">
      <c r="A31" s="1275" t="s">
        <v>152</v>
      </c>
      <c r="B31" s="494" t="s">
        <v>731</v>
      </c>
      <c r="C31" s="1582"/>
      <c r="D31" s="1582"/>
      <c r="E31" s="1582"/>
      <c r="F31" s="1582"/>
      <c r="G31" s="1582"/>
      <c r="H31" s="1579">
        <v>0</v>
      </c>
      <c r="I31" s="1673"/>
      <c r="J31" s="1582"/>
      <c r="K31" s="1672">
        <f t="shared" si="0"/>
        <v>0</v>
      </c>
      <c r="L31" s="1577">
        <v>0</v>
      </c>
    </row>
    <row r="32" spans="1:12" x14ac:dyDescent="0.2">
      <c r="A32" s="1276" t="s">
        <v>1119</v>
      </c>
      <c r="B32" s="503" t="s">
        <v>732</v>
      </c>
      <c r="C32" s="1582"/>
      <c r="D32" s="1582"/>
      <c r="E32" s="1582"/>
      <c r="F32" s="1582"/>
      <c r="G32" s="1582"/>
      <c r="H32" s="1579">
        <v>0</v>
      </c>
      <c r="I32" s="1673"/>
      <c r="J32" s="1585"/>
      <c r="K32" s="1672">
        <f t="shared" si="0"/>
        <v>0</v>
      </c>
      <c r="L32" s="1577">
        <v>0</v>
      </c>
    </row>
    <row r="33" spans="1:14" ht="12.75" customHeight="1" thickBot="1" x14ac:dyDescent="0.25">
      <c r="A33" s="1380" t="s">
        <v>1649</v>
      </c>
      <c r="B33" s="1381" t="s">
        <v>566</v>
      </c>
      <c r="C33" s="1674">
        <f>SUM(C5:C32)</f>
        <v>1851101</v>
      </c>
      <c r="D33" s="1674">
        <f t="shared" ref="D33:L33" si="1">SUM(D5:D32)</f>
        <v>421002</v>
      </c>
      <c r="E33" s="1674">
        <f t="shared" si="1"/>
        <v>42975</v>
      </c>
      <c r="F33" s="1674">
        <f t="shared" si="1"/>
        <v>183641</v>
      </c>
      <c r="G33" s="1674">
        <f t="shared" si="1"/>
        <v>26913</v>
      </c>
      <c r="H33" s="1674">
        <f t="shared" si="1"/>
        <v>8617</v>
      </c>
      <c r="I33" s="1674">
        <f t="shared" si="1"/>
        <v>0</v>
      </c>
      <c r="J33" s="1674">
        <f t="shared" si="1"/>
        <v>0</v>
      </c>
      <c r="K33" s="1674">
        <f t="shared" si="1"/>
        <v>2534249</v>
      </c>
      <c r="L33" s="1674">
        <f t="shared" si="1"/>
        <v>2600702</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0</v>
      </c>
      <c r="D36" s="1586">
        <v>0</v>
      </c>
      <c r="E36" s="1586">
        <v>0</v>
      </c>
      <c r="F36" s="1586">
        <v>0</v>
      </c>
      <c r="G36" s="1586">
        <v>0</v>
      </c>
      <c r="H36" s="1586">
        <v>0</v>
      </c>
      <c r="I36" s="1574">
        <v>0</v>
      </c>
      <c r="J36" s="1574">
        <v>0</v>
      </c>
      <c r="K36" s="1672">
        <f t="shared" ref="K36:K41" si="2">SUM(C36:J36)</f>
        <v>0</v>
      </c>
      <c r="L36" s="1573">
        <v>0</v>
      </c>
    </row>
    <row r="37" spans="1:14" x14ac:dyDescent="0.2">
      <c r="A37" s="1274" t="s">
        <v>1081</v>
      </c>
      <c r="B37" s="503">
        <v>2120</v>
      </c>
      <c r="C37" s="1573">
        <v>52655</v>
      </c>
      <c r="D37" s="1573">
        <v>7280</v>
      </c>
      <c r="E37" s="1573">
        <v>673</v>
      </c>
      <c r="F37" s="1573">
        <v>110</v>
      </c>
      <c r="G37" s="1573">
        <v>0</v>
      </c>
      <c r="H37" s="1573">
        <v>0</v>
      </c>
      <c r="I37" s="1574">
        <v>0</v>
      </c>
      <c r="J37" s="1574">
        <v>0</v>
      </c>
      <c r="K37" s="1672">
        <f t="shared" si="2"/>
        <v>60718</v>
      </c>
      <c r="L37" s="1573">
        <v>60160</v>
      </c>
    </row>
    <row r="38" spans="1:14" x14ac:dyDescent="0.2">
      <c r="A38" s="1274" t="s">
        <v>196</v>
      </c>
      <c r="B38" s="503">
        <v>2130</v>
      </c>
      <c r="C38" s="1573">
        <v>31821</v>
      </c>
      <c r="D38" s="1573">
        <v>5253</v>
      </c>
      <c r="E38" s="1573">
        <v>10</v>
      </c>
      <c r="F38" s="1573">
        <v>2566</v>
      </c>
      <c r="G38" s="1573">
        <v>3300</v>
      </c>
      <c r="H38" s="1573">
        <v>0</v>
      </c>
      <c r="I38" s="1573">
        <v>0</v>
      </c>
      <c r="J38" s="1573">
        <v>0</v>
      </c>
      <c r="K38" s="1672">
        <f t="shared" si="2"/>
        <v>42950</v>
      </c>
      <c r="L38" s="1573">
        <v>43560</v>
      </c>
    </row>
    <row r="39" spans="1:14" x14ac:dyDescent="0.2">
      <c r="A39" s="1274" t="s">
        <v>197</v>
      </c>
      <c r="B39" s="503">
        <v>2140</v>
      </c>
      <c r="C39" s="1573">
        <v>0</v>
      </c>
      <c r="D39" s="1573">
        <v>0</v>
      </c>
      <c r="E39" s="1573">
        <v>0</v>
      </c>
      <c r="F39" s="1573">
        <v>0</v>
      </c>
      <c r="G39" s="1573">
        <v>0</v>
      </c>
      <c r="H39" s="1573">
        <v>0</v>
      </c>
      <c r="I39" s="1574">
        <v>0</v>
      </c>
      <c r="J39" s="1574">
        <v>0</v>
      </c>
      <c r="K39" s="1672">
        <f t="shared" si="2"/>
        <v>0</v>
      </c>
      <c r="L39" s="1573">
        <v>0</v>
      </c>
    </row>
    <row r="40" spans="1:14" x14ac:dyDescent="0.2">
      <c r="A40" s="1274" t="s">
        <v>198</v>
      </c>
      <c r="B40" s="503">
        <v>2150</v>
      </c>
      <c r="C40" s="1573">
        <v>0</v>
      </c>
      <c r="D40" s="1573">
        <v>0</v>
      </c>
      <c r="E40" s="1573">
        <v>0</v>
      </c>
      <c r="F40" s="1573">
        <v>0</v>
      </c>
      <c r="G40" s="1573">
        <v>0</v>
      </c>
      <c r="H40" s="1573">
        <v>0</v>
      </c>
      <c r="I40" s="1574">
        <v>0</v>
      </c>
      <c r="J40" s="1574">
        <v>0</v>
      </c>
      <c r="K40" s="1672">
        <f t="shared" si="2"/>
        <v>0</v>
      </c>
      <c r="L40" s="1573">
        <v>0</v>
      </c>
    </row>
    <row r="41" spans="1:14" x14ac:dyDescent="0.2">
      <c r="A41" s="1274" t="s">
        <v>1650</v>
      </c>
      <c r="B41" s="503">
        <v>2190</v>
      </c>
      <c r="C41" s="1573">
        <v>0</v>
      </c>
      <c r="D41" s="1573">
        <v>0</v>
      </c>
      <c r="E41" s="1573">
        <v>0</v>
      </c>
      <c r="F41" s="1573">
        <v>0</v>
      </c>
      <c r="G41" s="1573">
        <v>0</v>
      </c>
      <c r="H41" s="1573">
        <v>0</v>
      </c>
      <c r="I41" s="1574">
        <v>0</v>
      </c>
      <c r="J41" s="1574">
        <v>0</v>
      </c>
      <c r="K41" s="1672">
        <f t="shared" si="2"/>
        <v>0</v>
      </c>
      <c r="L41" s="1573">
        <v>0</v>
      </c>
    </row>
    <row r="42" spans="1:14" ht="12.75" customHeight="1" thickBot="1" x14ac:dyDescent="0.25">
      <c r="A42" s="1380" t="s">
        <v>556</v>
      </c>
      <c r="B42" s="1381" t="s">
        <v>711</v>
      </c>
      <c r="C42" s="1674">
        <f>SUM(C36:C41)</f>
        <v>84476</v>
      </c>
      <c r="D42" s="1674">
        <f t="shared" ref="D42:L42" si="3">SUM(D36:D41)</f>
        <v>12533</v>
      </c>
      <c r="E42" s="1674">
        <f t="shared" si="3"/>
        <v>683</v>
      </c>
      <c r="F42" s="1674">
        <f t="shared" si="3"/>
        <v>2676</v>
      </c>
      <c r="G42" s="1674">
        <f t="shared" si="3"/>
        <v>3300</v>
      </c>
      <c r="H42" s="1674">
        <f t="shared" si="3"/>
        <v>0</v>
      </c>
      <c r="I42" s="1674">
        <f t="shared" si="3"/>
        <v>0</v>
      </c>
      <c r="J42" s="1674">
        <f t="shared" si="3"/>
        <v>0</v>
      </c>
      <c r="K42" s="1674">
        <f t="shared" si="3"/>
        <v>103668</v>
      </c>
      <c r="L42" s="1674">
        <f t="shared" si="3"/>
        <v>103720</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3618</v>
      </c>
      <c r="D44" s="1586">
        <v>534</v>
      </c>
      <c r="E44" s="1586">
        <v>49354</v>
      </c>
      <c r="F44" s="1586">
        <v>0</v>
      </c>
      <c r="G44" s="1586">
        <v>0</v>
      </c>
      <c r="H44" s="1586">
        <v>0</v>
      </c>
      <c r="I44" s="1574">
        <v>0</v>
      </c>
      <c r="J44" s="1574">
        <v>0</v>
      </c>
      <c r="K44" s="1678">
        <f>SUM(C44:J44)</f>
        <v>53506</v>
      </c>
      <c r="L44" s="1586">
        <v>73055</v>
      </c>
    </row>
    <row r="45" spans="1:14" x14ac:dyDescent="0.2">
      <c r="A45" s="1274" t="s">
        <v>810</v>
      </c>
      <c r="B45" s="503">
        <v>2220</v>
      </c>
      <c r="C45" s="1573">
        <v>69679</v>
      </c>
      <c r="D45" s="1573">
        <v>12373</v>
      </c>
      <c r="E45" s="1573">
        <v>81695</v>
      </c>
      <c r="F45" s="1573">
        <v>34033</v>
      </c>
      <c r="G45" s="1573">
        <v>39629</v>
      </c>
      <c r="H45" s="1573">
        <v>0</v>
      </c>
      <c r="I45" s="1574">
        <v>0</v>
      </c>
      <c r="J45" s="1574">
        <v>0</v>
      </c>
      <c r="K45" s="1678">
        <f>SUM(C45:J45)</f>
        <v>237409</v>
      </c>
      <c r="L45" s="1573">
        <v>254500</v>
      </c>
    </row>
    <row r="46" spans="1:14" x14ac:dyDescent="0.2">
      <c r="A46" s="1274" t="s">
        <v>811</v>
      </c>
      <c r="B46" s="503">
        <v>2230</v>
      </c>
      <c r="C46" s="1573">
        <v>0</v>
      </c>
      <c r="D46" s="1573">
        <v>0</v>
      </c>
      <c r="E46" s="1573">
        <v>0</v>
      </c>
      <c r="F46" s="1573">
        <v>0</v>
      </c>
      <c r="G46" s="1573">
        <v>0</v>
      </c>
      <c r="H46" s="1573">
        <v>0</v>
      </c>
      <c r="I46" s="1574">
        <v>0</v>
      </c>
      <c r="J46" s="1574">
        <v>0</v>
      </c>
      <c r="K46" s="1678">
        <f>SUM(C46:J46)</f>
        <v>0</v>
      </c>
      <c r="L46" s="1573">
        <v>0</v>
      </c>
    </row>
    <row r="47" spans="1:14" ht="12.75" customHeight="1" thickBot="1" x14ac:dyDescent="0.25">
      <c r="A47" s="1380" t="s">
        <v>557</v>
      </c>
      <c r="B47" s="1381" t="s">
        <v>32</v>
      </c>
      <c r="C47" s="1674">
        <f>SUM(C44:C46)</f>
        <v>73297</v>
      </c>
      <c r="D47" s="1674">
        <f t="shared" ref="D47:K47" si="4">SUM(D44:D46)</f>
        <v>12907</v>
      </c>
      <c r="E47" s="1674">
        <f t="shared" si="4"/>
        <v>131049</v>
      </c>
      <c r="F47" s="1674">
        <f t="shared" si="4"/>
        <v>34033</v>
      </c>
      <c r="G47" s="1674">
        <f t="shared" si="4"/>
        <v>39629</v>
      </c>
      <c r="H47" s="1674">
        <f t="shared" si="4"/>
        <v>0</v>
      </c>
      <c r="I47" s="1674">
        <f t="shared" si="4"/>
        <v>0</v>
      </c>
      <c r="J47" s="1674">
        <f t="shared" si="4"/>
        <v>0</v>
      </c>
      <c r="K47" s="1674">
        <f t="shared" si="4"/>
        <v>290915</v>
      </c>
      <c r="L47" s="1674">
        <f>SUM(L44:L46)</f>
        <v>327555</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4381</v>
      </c>
      <c r="D49" s="1586">
        <v>92</v>
      </c>
      <c r="E49" s="1586">
        <v>41552</v>
      </c>
      <c r="F49" s="1586">
        <v>4963</v>
      </c>
      <c r="G49" s="1586">
        <v>0</v>
      </c>
      <c r="H49" s="1586">
        <v>2884</v>
      </c>
      <c r="I49" s="1574">
        <v>0</v>
      </c>
      <c r="J49" s="1574">
        <v>0</v>
      </c>
      <c r="K49" s="1678">
        <f>SUM(C49:J49)</f>
        <v>53872</v>
      </c>
      <c r="L49" s="1586">
        <v>55090</v>
      </c>
    </row>
    <row r="50" spans="1:14" x14ac:dyDescent="0.2">
      <c r="A50" s="1274" t="s">
        <v>813</v>
      </c>
      <c r="B50" s="503">
        <v>2320</v>
      </c>
      <c r="C50" s="1574">
        <v>184731</v>
      </c>
      <c r="D50" s="1573">
        <v>37446</v>
      </c>
      <c r="E50" s="1573">
        <v>19969</v>
      </c>
      <c r="F50" s="1573">
        <v>2911</v>
      </c>
      <c r="G50" s="1573">
        <v>1940</v>
      </c>
      <c r="H50" s="1573">
        <v>1349</v>
      </c>
      <c r="I50" s="1574">
        <v>0</v>
      </c>
      <c r="J50" s="1574">
        <v>0</v>
      </c>
      <c r="K50" s="1678">
        <f>SUM(C50:J50)</f>
        <v>248346</v>
      </c>
      <c r="L50" s="1573">
        <v>248346</v>
      </c>
    </row>
    <row r="51" spans="1:14" x14ac:dyDescent="0.2">
      <c r="A51" s="1274" t="s">
        <v>42</v>
      </c>
      <c r="B51" s="503">
        <v>2330</v>
      </c>
      <c r="C51" s="1573">
        <v>0</v>
      </c>
      <c r="D51" s="1573">
        <v>0</v>
      </c>
      <c r="E51" s="1573">
        <v>0</v>
      </c>
      <c r="F51" s="1573">
        <v>0</v>
      </c>
      <c r="G51" s="1573">
        <v>0</v>
      </c>
      <c r="H51" s="1573">
        <v>0</v>
      </c>
      <c r="I51" s="1574">
        <v>0</v>
      </c>
      <c r="J51" s="1574">
        <v>0</v>
      </c>
      <c r="K51" s="1678">
        <f>SUM(C51:J51)</f>
        <v>0</v>
      </c>
      <c r="L51" s="1573">
        <v>0</v>
      </c>
    </row>
    <row r="52" spans="1:14" ht="22.5" x14ac:dyDescent="0.2">
      <c r="A52" s="1275" t="s">
        <v>295</v>
      </c>
      <c r="B52" s="511" t="s">
        <v>363</v>
      </c>
      <c r="C52" s="1579">
        <v>0</v>
      </c>
      <c r="D52" s="1579">
        <v>0</v>
      </c>
      <c r="E52" s="1579">
        <v>0</v>
      </c>
      <c r="F52" s="1579">
        <v>0</v>
      </c>
      <c r="G52" s="1579">
        <v>0</v>
      </c>
      <c r="H52" s="1579">
        <v>0</v>
      </c>
      <c r="I52" s="1579">
        <v>0</v>
      </c>
      <c r="J52" s="1579">
        <v>0</v>
      </c>
      <c r="K52" s="1678">
        <f>SUM(C52:J52)</f>
        <v>0</v>
      </c>
      <c r="L52" s="1579">
        <v>0</v>
      </c>
    </row>
    <row r="53" spans="1:14" ht="12.75" customHeight="1" thickBot="1" x14ac:dyDescent="0.25">
      <c r="A53" s="1380" t="s">
        <v>712</v>
      </c>
      <c r="B53" s="1381" t="s">
        <v>33</v>
      </c>
      <c r="C53" s="1674">
        <f>SUM(C49:C52)</f>
        <v>189112</v>
      </c>
      <c r="D53" s="1674">
        <f t="shared" ref="D53:L53" si="5">SUM(D49:D52)</f>
        <v>37538</v>
      </c>
      <c r="E53" s="1674">
        <f t="shared" si="5"/>
        <v>61521</v>
      </c>
      <c r="F53" s="1674">
        <f t="shared" si="5"/>
        <v>7874</v>
      </c>
      <c r="G53" s="1674">
        <f t="shared" si="5"/>
        <v>1940</v>
      </c>
      <c r="H53" s="1674">
        <f t="shared" si="5"/>
        <v>4233</v>
      </c>
      <c r="I53" s="1674">
        <f t="shared" si="5"/>
        <v>0</v>
      </c>
      <c r="J53" s="1674">
        <f t="shared" si="5"/>
        <v>0</v>
      </c>
      <c r="K53" s="1674">
        <f t="shared" si="5"/>
        <v>302218</v>
      </c>
      <c r="L53" s="1674">
        <f t="shared" si="5"/>
        <v>303436</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219613</v>
      </c>
      <c r="D55" s="1586">
        <v>38978</v>
      </c>
      <c r="E55" s="1586">
        <v>23554</v>
      </c>
      <c r="F55" s="1586">
        <v>5928</v>
      </c>
      <c r="G55" s="1586">
        <v>0</v>
      </c>
      <c r="H55" s="1586">
        <v>1716</v>
      </c>
      <c r="I55" s="1574">
        <v>0</v>
      </c>
      <c r="J55" s="1574">
        <v>0</v>
      </c>
      <c r="K55" s="1678">
        <f>SUM(C55:J55)</f>
        <v>289789</v>
      </c>
      <c r="L55" s="1586">
        <v>301675</v>
      </c>
    </row>
    <row r="56" spans="1:14" ht="12.75" customHeight="1" x14ac:dyDescent="0.2">
      <c r="A56" s="1278" t="s">
        <v>373</v>
      </c>
      <c r="B56" s="512">
        <v>2490</v>
      </c>
      <c r="C56" s="1573">
        <v>0</v>
      </c>
      <c r="D56" s="1573">
        <v>0</v>
      </c>
      <c r="E56" s="1573">
        <v>0</v>
      </c>
      <c r="F56" s="1573">
        <v>0</v>
      </c>
      <c r="G56" s="1573">
        <v>0</v>
      </c>
      <c r="H56" s="1573">
        <v>0</v>
      </c>
      <c r="I56" s="1574">
        <v>0</v>
      </c>
      <c r="J56" s="1574">
        <v>0</v>
      </c>
      <c r="K56" s="1678">
        <f>SUM(C56:J56)</f>
        <v>0</v>
      </c>
      <c r="L56" s="1573">
        <v>0</v>
      </c>
    </row>
    <row r="57" spans="1:14" s="321" customFormat="1" ht="12.75" customHeight="1" thickBot="1" x14ac:dyDescent="0.25">
      <c r="A57" s="1380" t="s">
        <v>261</v>
      </c>
      <c r="B57" s="1382" t="s">
        <v>34</v>
      </c>
      <c r="C57" s="1679">
        <f>SUM(C55:C56)</f>
        <v>219613</v>
      </c>
      <c r="D57" s="1679">
        <f t="shared" ref="D57:K57" si="6">SUM(D55:D56)</f>
        <v>38978</v>
      </c>
      <c r="E57" s="1679">
        <f t="shared" si="6"/>
        <v>23554</v>
      </c>
      <c r="F57" s="1679">
        <f t="shared" si="6"/>
        <v>5928</v>
      </c>
      <c r="G57" s="1679">
        <f t="shared" si="6"/>
        <v>0</v>
      </c>
      <c r="H57" s="1679">
        <f t="shared" si="6"/>
        <v>1716</v>
      </c>
      <c r="I57" s="1679">
        <f t="shared" si="6"/>
        <v>0</v>
      </c>
      <c r="J57" s="1679">
        <f t="shared" si="6"/>
        <v>0</v>
      </c>
      <c r="K57" s="1679">
        <f t="shared" si="6"/>
        <v>289789</v>
      </c>
      <c r="L57" s="1674">
        <f>SUM(L55:L56)</f>
        <v>301675</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0</v>
      </c>
      <c r="D59" s="1586">
        <v>0</v>
      </c>
      <c r="E59" s="1586">
        <v>0</v>
      </c>
      <c r="F59" s="1586">
        <v>0</v>
      </c>
      <c r="G59" s="1586">
        <v>0</v>
      </c>
      <c r="H59" s="1586">
        <v>0</v>
      </c>
      <c r="I59" s="1574">
        <v>0</v>
      </c>
      <c r="J59" s="1574">
        <v>0</v>
      </c>
      <c r="K59" s="1678">
        <f t="shared" ref="K59:K64" si="7">SUM(C59:J59)</f>
        <v>0</v>
      </c>
      <c r="L59" s="1586">
        <v>0</v>
      </c>
      <c r="M59" s="501"/>
      <c r="N59" s="501"/>
    </row>
    <row r="60" spans="1:14" s="321" customFormat="1" x14ac:dyDescent="0.2">
      <c r="A60" s="1274" t="s">
        <v>460</v>
      </c>
      <c r="B60" s="503">
        <v>2520</v>
      </c>
      <c r="C60" s="1573">
        <v>53006</v>
      </c>
      <c r="D60" s="1573">
        <v>5288</v>
      </c>
      <c r="E60" s="1573">
        <v>3622</v>
      </c>
      <c r="F60" s="1573">
        <v>1396</v>
      </c>
      <c r="G60" s="1573">
        <v>1121</v>
      </c>
      <c r="H60" s="1573">
        <v>0</v>
      </c>
      <c r="I60" s="1574">
        <v>0</v>
      </c>
      <c r="J60" s="1574">
        <v>0</v>
      </c>
      <c r="K60" s="1678">
        <f t="shared" si="7"/>
        <v>64433</v>
      </c>
      <c r="L60" s="1573">
        <v>64800</v>
      </c>
      <c r="M60" s="501"/>
      <c r="N60" s="501"/>
    </row>
    <row r="61" spans="1:14" s="321" customFormat="1" x14ac:dyDescent="0.2">
      <c r="A61" s="1274" t="s">
        <v>195</v>
      </c>
      <c r="B61" s="503">
        <v>2540</v>
      </c>
      <c r="C61" s="1573">
        <v>0</v>
      </c>
      <c r="D61" s="1573">
        <v>0</v>
      </c>
      <c r="E61" s="1573">
        <v>0</v>
      </c>
      <c r="F61" s="1573">
        <v>0</v>
      </c>
      <c r="G61" s="1573">
        <v>0</v>
      </c>
      <c r="H61" s="1573">
        <v>0</v>
      </c>
      <c r="I61" s="1574">
        <v>0</v>
      </c>
      <c r="J61" s="1574">
        <v>0</v>
      </c>
      <c r="K61" s="1678">
        <f t="shared" si="7"/>
        <v>0</v>
      </c>
      <c r="L61" s="1573">
        <v>0</v>
      </c>
      <c r="M61" s="501"/>
      <c r="N61" s="501"/>
    </row>
    <row r="62" spans="1:14" s="321" customFormat="1" x14ac:dyDescent="0.2">
      <c r="A62" s="1274" t="s">
        <v>947</v>
      </c>
      <c r="B62" s="503">
        <v>2550</v>
      </c>
      <c r="C62" s="1573">
        <v>0</v>
      </c>
      <c r="D62" s="1573">
        <v>0</v>
      </c>
      <c r="E62" s="1573">
        <v>0</v>
      </c>
      <c r="F62" s="1573">
        <v>0</v>
      </c>
      <c r="G62" s="1573">
        <v>0</v>
      </c>
      <c r="H62" s="1573">
        <v>0</v>
      </c>
      <c r="I62" s="1574">
        <v>0</v>
      </c>
      <c r="J62" s="1574">
        <v>0</v>
      </c>
      <c r="K62" s="1678">
        <f t="shared" si="7"/>
        <v>0</v>
      </c>
      <c r="L62" s="1573">
        <v>0</v>
      </c>
      <c r="M62" s="501"/>
      <c r="N62" s="501"/>
    </row>
    <row r="63" spans="1:14" s="501" customFormat="1" x14ac:dyDescent="0.2">
      <c r="A63" s="1274" t="s">
        <v>100</v>
      </c>
      <c r="B63" s="503">
        <v>2560</v>
      </c>
      <c r="C63" s="1573">
        <v>89664</v>
      </c>
      <c r="D63" s="1573">
        <v>11436</v>
      </c>
      <c r="E63" s="1573">
        <v>2481</v>
      </c>
      <c r="F63" s="1573">
        <v>79919</v>
      </c>
      <c r="G63" s="1573">
        <v>4129</v>
      </c>
      <c r="H63" s="1573">
        <v>0</v>
      </c>
      <c r="I63" s="1574">
        <v>0</v>
      </c>
      <c r="J63" s="1574">
        <v>0</v>
      </c>
      <c r="K63" s="1678">
        <f t="shared" si="7"/>
        <v>187629</v>
      </c>
      <c r="L63" s="1573">
        <v>198023</v>
      </c>
    </row>
    <row r="64" spans="1:14" s="501" customFormat="1" x14ac:dyDescent="0.2">
      <c r="A64" s="1279" t="s">
        <v>101</v>
      </c>
      <c r="B64" s="513">
        <v>2570</v>
      </c>
      <c r="C64" s="1586">
        <v>0</v>
      </c>
      <c r="D64" s="1586">
        <v>0</v>
      </c>
      <c r="E64" s="1586">
        <v>0</v>
      </c>
      <c r="F64" s="1586">
        <v>0</v>
      </c>
      <c r="G64" s="1586">
        <v>0</v>
      </c>
      <c r="H64" s="1586">
        <v>0</v>
      </c>
      <c r="I64" s="1574">
        <v>0</v>
      </c>
      <c r="J64" s="1574">
        <v>0</v>
      </c>
      <c r="K64" s="1678">
        <f t="shared" si="7"/>
        <v>0</v>
      </c>
      <c r="L64" s="1586">
        <v>0</v>
      </c>
    </row>
    <row r="65" spans="1:14" s="321" customFormat="1" ht="12.75" customHeight="1" thickBot="1" x14ac:dyDescent="0.25">
      <c r="A65" s="1380" t="s">
        <v>714</v>
      </c>
      <c r="B65" s="1381" t="s">
        <v>35</v>
      </c>
      <c r="C65" s="1674">
        <f>SUM(C59:C64)</f>
        <v>142670</v>
      </c>
      <c r="D65" s="1674">
        <f t="shared" ref="D65:L65" si="8">SUM(D59:D64)</f>
        <v>16724</v>
      </c>
      <c r="E65" s="1674">
        <f t="shared" si="8"/>
        <v>6103</v>
      </c>
      <c r="F65" s="1674">
        <f t="shared" si="8"/>
        <v>81315</v>
      </c>
      <c r="G65" s="1674">
        <f t="shared" si="8"/>
        <v>5250</v>
      </c>
      <c r="H65" s="1674">
        <f t="shared" si="8"/>
        <v>0</v>
      </c>
      <c r="I65" s="1674">
        <f t="shared" si="8"/>
        <v>0</v>
      </c>
      <c r="J65" s="1674">
        <f t="shared" si="8"/>
        <v>0</v>
      </c>
      <c r="K65" s="1674">
        <f t="shared" si="8"/>
        <v>252062</v>
      </c>
      <c r="L65" s="1674">
        <f t="shared" si="8"/>
        <v>262823</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4">
        <v>0</v>
      </c>
      <c r="J68" s="1574">
        <v>0</v>
      </c>
      <c r="K68" s="1678">
        <f>SUM(C68:J68)</f>
        <v>0</v>
      </c>
      <c r="L68" s="1573">
        <v>0</v>
      </c>
      <c r="M68" s="501"/>
      <c r="N68" s="501"/>
    </row>
    <row r="69" spans="1:14" s="321" customFormat="1" x14ac:dyDescent="0.2">
      <c r="A69" s="1274" t="s">
        <v>1052</v>
      </c>
      <c r="B69" s="503">
        <v>2630</v>
      </c>
      <c r="C69" s="1573">
        <v>0</v>
      </c>
      <c r="D69" s="1573">
        <v>0</v>
      </c>
      <c r="E69" s="1573">
        <v>0</v>
      </c>
      <c r="F69" s="1573">
        <v>0</v>
      </c>
      <c r="G69" s="1573">
        <v>0</v>
      </c>
      <c r="H69" s="1573">
        <v>0</v>
      </c>
      <c r="I69" s="1574">
        <v>0</v>
      </c>
      <c r="J69" s="1574">
        <v>0</v>
      </c>
      <c r="K69" s="1678">
        <f>SUM(C69:J69)</f>
        <v>0</v>
      </c>
      <c r="L69" s="1573">
        <v>0</v>
      </c>
      <c r="M69" s="501"/>
      <c r="N69" s="501"/>
    </row>
    <row r="70" spans="1:14" s="321" customFormat="1" x14ac:dyDescent="0.2">
      <c r="A70" s="1274" t="s">
        <v>400</v>
      </c>
      <c r="B70" s="503">
        <v>2640</v>
      </c>
      <c r="C70" s="1573">
        <v>0</v>
      </c>
      <c r="D70" s="1573">
        <v>0</v>
      </c>
      <c r="E70" s="1573">
        <v>0</v>
      </c>
      <c r="F70" s="1573">
        <v>0</v>
      </c>
      <c r="G70" s="1573">
        <v>0</v>
      </c>
      <c r="H70" s="1573">
        <v>0</v>
      </c>
      <c r="I70" s="1574">
        <v>0</v>
      </c>
      <c r="J70" s="1574">
        <v>0</v>
      </c>
      <c r="K70" s="1678">
        <f>SUM(C70:J70)</f>
        <v>0</v>
      </c>
      <c r="L70" s="1573">
        <v>0</v>
      </c>
      <c r="M70" s="501"/>
      <c r="N70" s="501"/>
    </row>
    <row r="71" spans="1:14" s="321" customFormat="1" x14ac:dyDescent="0.2">
      <c r="A71" s="1274" t="s">
        <v>401</v>
      </c>
      <c r="B71" s="503">
        <v>2660</v>
      </c>
      <c r="C71" s="1573">
        <v>0</v>
      </c>
      <c r="D71" s="1573">
        <v>0</v>
      </c>
      <c r="E71" s="1573">
        <v>0</v>
      </c>
      <c r="F71" s="1573">
        <v>0</v>
      </c>
      <c r="G71" s="1573">
        <v>0</v>
      </c>
      <c r="H71" s="1573">
        <v>0</v>
      </c>
      <c r="I71" s="1574">
        <v>0</v>
      </c>
      <c r="J71" s="1574">
        <v>0</v>
      </c>
      <c r="K71" s="1678">
        <f>SUM(C71:J71)</f>
        <v>0</v>
      </c>
      <c r="L71" s="1573">
        <v>0</v>
      </c>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v>0</v>
      </c>
      <c r="D73" s="1649">
        <v>0</v>
      </c>
      <c r="E73" s="1649">
        <v>0</v>
      </c>
      <c r="F73" s="1649">
        <v>0</v>
      </c>
      <c r="G73" s="1649">
        <v>0</v>
      </c>
      <c r="H73" s="1649">
        <v>0</v>
      </c>
      <c r="I73" s="1627">
        <v>0</v>
      </c>
      <c r="J73" s="1627">
        <v>0</v>
      </c>
      <c r="K73" s="1674">
        <f>SUM(C73:J73)</f>
        <v>0</v>
      </c>
      <c r="L73" s="1651">
        <v>0</v>
      </c>
      <c r="M73" s="501"/>
      <c r="N73" s="501"/>
    </row>
    <row r="74" spans="1:14" ht="12.75" customHeight="1" thickTop="1" thickBot="1" x14ac:dyDescent="0.25">
      <c r="A74" s="1380" t="s">
        <v>806</v>
      </c>
      <c r="B74" s="1384">
        <v>2000</v>
      </c>
      <c r="C74" s="1681">
        <f>SUM(C42,C47,C53,C57,C65,C72,C73)</f>
        <v>709168</v>
      </c>
      <c r="D74" s="1681">
        <f t="shared" ref="D74:K74" si="10">SUM(D42,D47,D53,D57,D65,D72,D73)</f>
        <v>118680</v>
      </c>
      <c r="E74" s="1681">
        <f t="shared" si="10"/>
        <v>222910</v>
      </c>
      <c r="F74" s="1681">
        <f t="shared" si="10"/>
        <v>131826</v>
      </c>
      <c r="G74" s="1681">
        <f t="shared" si="10"/>
        <v>50119</v>
      </c>
      <c r="H74" s="1681">
        <f t="shared" si="10"/>
        <v>5949</v>
      </c>
      <c r="I74" s="1681">
        <f t="shared" si="10"/>
        <v>0</v>
      </c>
      <c r="J74" s="1681">
        <f t="shared" si="10"/>
        <v>0</v>
      </c>
      <c r="K74" s="1681">
        <f t="shared" si="10"/>
        <v>1238652</v>
      </c>
      <c r="L74" s="1681">
        <f>SUM(L42,L47,L53,L57,L65,L72,L73)</f>
        <v>1299209</v>
      </c>
    </row>
    <row r="75" spans="1:14" s="254" customFormat="1" ht="15.75" customHeight="1" thickTop="1" thickBot="1" x14ac:dyDescent="0.25">
      <c r="A75" s="1348" t="s">
        <v>47</v>
      </c>
      <c r="B75" s="1349" t="s">
        <v>571</v>
      </c>
      <c r="C75" s="1649">
        <v>15867</v>
      </c>
      <c r="D75" s="1649">
        <v>42</v>
      </c>
      <c r="E75" s="1649">
        <v>449</v>
      </c>
      <c r="F75" s="1649">
        <v>670</v>
      </c>
      <c r="G75" s="1649">
        <v>0</v>
      </c>
      <c r="H75" s="1649">
        <v>40</v>
      </c>
      <c r="I75" s="1627">
        <v>0</v>
      </c>
      <c r="J75" s="1627">
        <v>0</v>
      </c>
      <c r="K75" s="1674">
        <f>SUM(C75:J75)</f>
        <v>17068</v>
      </c>
      <c r="L75" s="1651">
        <v>18554</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0</v>
      </c>
      <c r="F78" s="1673"/>
      <c r="G78" s="1673"/>
      <c r="H78" s="1682">
        <v>0</v>
      </c>
      <c r="I78" s="1582"/>
      <c r="J78" s="1582"/>
      <c r="K78" s="1672">
        <f t="shared" ref="K78:K83" si="11">SUM(C78:J78)</f>
        <v>0</v>
      </c>
      <c r="L78" s="1586">
        <v>1500</v>
      </c>
    </row>
    <row r="79" spans="1:14" x14ac:dyDescent="0.2">
      <c r="A79" s="1274" t="s">
        <v>301</v>
      </c>
      <c r="B79" s="503">
        <v>4120</v>
      </c>
      <c r="C79" s="1673"/>
      <c r="D79" s="1673"/>
      <c r="E79" s="1573">
        <v>0</v>
      </c>
      <c r="F79" s="1673"/>
      <c r="G79" s="1673"/>
      <c r="H79" s="1573">
        <v>736643</v>
      </c>
      <c r="I79" s="1582"/>
      <c r="J79" s="1582"/>
      <c r="K79" s="1672">
        <f t="shared" si="11"/>
        <v>736643</v>
      </c>
      <c r="L79" s="1573">
        <v>737000</v>
      </c>
    </row>
    <row r="80" spans="1:14" x14ac:dyDescent="0.2">
      <c r="A80" s="1274" t="s">
        <v>302</v>
      </c>
      <c r="B80" s="503">
        <v>4130</v>
      </c>
      <c r="C80" s="1673"/>
      <c r="D80" s="1673"/>
      <c r="E80" s="1573">
        <v>0</v>
      </c>
      <c r="F80" s="1673"/>
      <c r="G80" s="1673"/>
      <c r="H80" s="1573">
        <v>0</v>
      </c>
      <c r="I80" s="1582"/>
      <c r="J80" s="1582"/>
      <c r="K80" s="1672">
        <f t="shared" si="11"/>
        <v>0</v>
      </c>
      <c r="L80" s="1573">
        <v>0</v>
      </c>
    </row>
    <row r="81" spans="1:12" x14ac:dyDescent="0.2">
      <c r="A81" s="1274" t="s">
        <v>692</v>
      </c>
      <c r="B81" s="503">
        <v>4140</v>
      </c>
      <c r="C81" s="1673"/>
      <c r="D81" s="1673"/>
      <c r="E81" s="1573">
        <v>0</v>
      </c>
      <c r="F81" s="1673"/>
      <c r="G81" s="1673"/>
      <c r="H81" s="1573">
        <v>15244</v>
      </c>
      <c r="I81" s="1582"/>
      <c r="J81" s="1582"/>
      <c r="K81" s="1672">
        <f t="shared" si="11"/>
        <v>15244</v>
      </c>
      <c r="L81" s="1573">
        <v>16000</v>
      </c>
    </row>
    <row r="82" spans="1:12" x14ac:dyDescent="0.2">
      <c r="A82" s="1274" t="s">
        <v>86</v>
      </c>
      <c r="B82" s="503">
        <v>4170</v>
      </c>
      <c r="C82" s="1673"/>
      <c r="D82" s="1673"/>
      <c r="E82" s="1573">
        <v>0</v>
      </c>
      <c r="F82" s="1673"/>
      <c r="G82" s="1673"/>
      <c r="H82" s="1573">
        <v>31734</v>
      </c>
      <c r="I82" s="1582"/>
      <c r="J82" s="1582"/>
      <c r="K82" s="1672">
        <f t="shared" si="11"/>
        <v>31734</v>
      </c>
      <c r="L82" s="1573">
        <v>35069</v>
      </c>
    </row>
    <row r="83" spans="1:12" x14ac:dyDescent="0.2">
      <c r="A83" s="1278" t="s">
        <v>693</v>
      </c>
      <c r="B83" s="512">
        <v>4190</v>
      </c>
      <c r="C83" s="1673"/>
      <c r="D83" s="1673"/>
      <c r="E83" s="1573">
        <v>0</v>
      </c>
      <c r="F83" s="1673"/>
      <c r="G83" s="1673"/>
      <c r="H83" s="1573">
        <v>0</v>
      </c>
      <c r="I83" s="1582"/>
      <c r="J83" s="1582"/>
      <c r="K83" s="1672">
        <f t="shared" si="11"/>
        <v>0</v>
      </c>
      <c r="L83" s="1573">
        <v>0</v>
      </c>
    </row>
    <row r="84" spans="1:12" ht="13.5" thickBot="1" x14ac:dyDescent="0.25">
      <c r="A84" s="1380" t="s">
        <v>1468</v>
      </c>
      <c r="B84" s="1385">
        <v>4100</v>
      </c>
      <c r="C84" s="1673"/>
      <c r="D84" s="1673"/>
      <c r="E84" s="1674">
        <f>SUM(E78:E83)</f>
        <v>0</v>
      </c>
      <c r="F84" s="1673"/>
      <c r="G84" s="1673"/>
      <c r="H84" s="1674">
        <f>SUM(H78:H83)</f>
        <v>783621</v>
      </c>
      <c r="I84" s="1582"/>
      <c r="J84" s="1582"/>
      <c r="K84" s="1674">
        <f>SUM(K78:K83)</f>
        <v>783621</v>
      </c>
      <c r="L84" s="1674">
        <f>SUM(L78:L83)</f>
        <v>789569</v>
      </c>
    </row>
    <row r="85" spans="1:12" ht="12.75" customHeight="1" thickTop="1" thickBot="1" x14ac:dyDescent="0.25">
      <c r="A85" s="1281" t="s">
        <v>253</v>
      </c>
      <c r="B85" s="517">
        <v>4210</v>
      </c>
      <c r="C85" s="1673"/>
      <c r="D85" s="1673"/>
      <c r="E85" s="1683"/>
      <c r="F85" s="1673"/>
      <c r="G85" s="1673"/>
      <c r="H85" s="1630">
        <v>0</v>
      </c>
      <c r="I85" s="1582"/>
      <c r="J85" s="1582"/>
      <c r="K85" s="1681">
        <f>H85</f>
        <v>0</v>
      </c>
      <c r="L85" s="1626">
        <v>0</v>
      </c>
    </row>
    <row r="86" spans="1:12" ht="12.75" customHeight="1" thickTop="1" thickBot="1" x14ac:dyDescent="0.25">
      <c r="A86" s="1282" t="s">
        <v>694</v>
      </c>
      <c r="B86" s="518">
        <v>4220</v>
      </c>
      <c r="C86" s="1673"/>
      <c r="D86" s="1673"/>
      <c r="E86" s="1684"/>
      <c r="F86" s="1673"/>
      <c r="G86" s="1673"/>
      <c r="H86" s="1574">
        <v>0</v>
      </c>
      <c r="I86" s="1582"/>
      <c r="J86" s="1582"/>
      <c r="K86" s="1681">
        <f t="shared" ref="K86:K98" si="12">H86</f>
        <v>0</v>
      </c>
      <c r="L86" s="1626">
        <v>0</v>
      </c>
    </row>
    <row r="87" spans="1:12" ht="14.25" thickTop="1" thickBot="1" x14ac:dyDescent="0.25">
      <c r="A87" s="1283" t="s">
        <v>695</v>
      </c>
      <c r="B87" s="519">
        <v>4230</v>
      </c>
      <c r="C87" s="1673"/>
      <c r="D87" s="1673"/>
      <c r="E87" s="1684"/>
      <c r="F87" s="1673"/>
      <c r="G87" s="1673"/>
      <c r="H87" s="1574">
        <v>0</v>
      </c>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v>0</v>
      </c>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v>0</v>
      </c>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v>0</v>
      </c>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v>0</v>
      </c>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683</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v>0</v>
      </c>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v>0</v>
      </c>
      <c r="I95" s="1582"/>
      <c r="J95" s="1582"/>
      <c r="K95" s="1681">
        <f t="shared" si="12"/>
        <v>0</v>
      </c>
      <c r="L95" s="1626">
        <v>0</v>
      </c>
    </row>
    <row r="96" spans="1:12" ht="14.25" thickTop="1" thickBot="1" x14ac:dyDescent="0.25">
      <c r="A96" s="1283" t="s">
        <v>685</v>
      </c>
      <c r="B96" s="519">
        <v>4340</v>
      </c>
      <c r="C96" s="1673"/>
      <c r="D96" s="1673"/>
      <c r="E96" s="1684"/>
      <c r="F96" s="1673"/>
      <c r="G96" s="1673"/>
      <c r="H96" s="1574">
        <v>0</v>
      </c>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v>0</v>
      </c>
      <c r="I97" s="1582"/>
      <c r="J97" s="1582"/>
      <c r="K97" s="1681">
        <f t="shared" si="12"/>
        <v>0</v>
      </c>
      <c r="L97" s="1626">
        <v>0</v>
      </c>
    </row>
    <row r="98" spans="1:14" ht="14.25" thickTop="1" thickBot="1" x14ac:dyDescent="0.25">
      <c r="A98" s="1283" t="s">
        <v>759</v>
      </c>
      <c r="B98" s="519">
        <v>4380</v>
      </c>
      <c r="C98" s="1673"/>
      <c r="D98" s="1673"/>
      <c r="E98" s="1686"/>
      <c r="F98" s="1673"/>
      <c r="G98" s="1673"/>
      <c r="H98" s="1574">
        <v>0</v>
      </c>
      <c r="I98" s="1582"/>
      <c r="J98" s="1582"/>
      <c r="K98" s="1681">
        <f t="shared" si="12"/>
        <v>0</v>
      </c>
      <c r="L98" s="1626">
        <v>0</v>
      </c>
    </row>
    <row r="99" spans="1:14" ht="14.25" thickTop="1" thickBot="1" x14ac:dyDescent="0.25">
      <c r="A99" s="1283" t="s">
        <v>364</v>
      </c>
      <c r="B99" s="519">
        <v>4390</v>
      </c>
      <c r="C99" s="1673"/>
      <c r="D99" s="1673"/>
      <c r="E99" s="1628">
        <v>0</v>
      </c>
      <c r="F99" s="1673"/>
      <c r="G99" s="1673"/>
      <c r="H99" s="1574">
        <v>0</v>
      </c>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v>0</v>
      </c>
      <c r="F101" s="1673"/>
      <c r="G101" s="1673"/>
      <c r="H101" s="1627">
        <v>0</v>
      </c>
      <c r="I101" s="1582"/>
      <c r="J101" s="1582"/>
      <c r="K101" s="1687">
        <f>SUM(C101:J101)</f>
        <v>0</v>
      </c>
      <c r="L101" s="1626">
        <v>0</v>
      </c>
    </row>
    <row r="102" spans="1:14" ht="12.75" customHeight="1" thickTop="1" thickBot="1" x14ac:dyDescent="0.25">
      <c r="A102" s="1380" t="s">
        <v>1470</v>
      </c>
      <c r="B102" s="1385">
        <v>4000</v>
      </c>
      <c r="C102" s="1673"/>
      <c r="D102" s="1673"/>
      <c r="E102" s="1681">
        <f>SUM(E84,E92,E100,E101)</f>
        <v>0</v>
      </c>
      <c r="F102" s="1673"/>
      <c r="G102" s="1673"/>
      <c r="H102" s="1681">
        <f>SUM(H84,H92,H100,H101)</f>
        <v>783621</v>
      </c>
      <c r="I102" s="1582"/>
      <c r="J102" s="1582"/>
      <c r="K102" s="1681">
        <f>SUM(K84,K92,K100,K101)</f>
        <v>783621</v>
      </c>
      <c r="L102" s="1681">
        <f>SUM(L84,L92,L100,L101)</f>
        <v>789569</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v>0</v>
      </c>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2576136</v>
      </c>
      <c r="D114" s="1674">
        <f t="shared" ref="D114:K114" si="13">SUM(D33,D74,D75,D102,D112,D113)</f>
        <v>539724</v>
      </c>
      <c r="E114" s="1674">
        <f t="shared" si="13"/>
        <v>266334</v>
      </c>
      <c r="F114" s="1674">
        <f t="shared" si="13"/>
        <v>316137</v>
      </c>
      <c r="G114" s="1674">
        <f t="shared" si="13"/>
        <v>77032</v>
      </c>
      <c r="H114" s="1674">
        <f>SUM(H33,H74,H75,H102,H112,H113)</f>
        <v>798227</v>
      </c>
      <c r="I114" s="1674">
        <f t="shared" si="13"/>
        <v>0</v>
      </c>
      <c r="J114" s="1674">
        <f t="shared" si="13"/>
        <v>0</v>
      </c>
      <c r="K114" s="1674">
        <f t="shared" si="13"/>
        <v>4573590</v>
      </c>
      <c r="L114" s="1674">
        <f>SUM(L33,L74,L75,L102,L112,L113)</f>
        <v>4708034</v>
      </c>
    </row>
    <row r="115" spans="1:14" ht="13.5" thickTop="1" x14ac:dyDescent="0.2">
      <c r="A115" s="2261" t="s">
        <v>989</v>
      </c>
      <c r="B115" s="2262"/>
      <c r="C115" s="1675"/>
      <c r="D115" s="1675"/>
      <c r="E115" s="1675"/>
      <c r="F115" s="1675"/>
      <c r="G115" s="1675"/>
      <c r="H115" s="1675"/>
      <c r="I115" s="1675"/>
      <c r="J115" s="1675"/>
      <c r="K115" s="1689">
        <f>'Revenues 9-14'!C268-'Expenditures 15-22'!K114</f>
        <v>-388876</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6" t="s">
        <v>293</v>
      </c>
      <c r="B117" s="2267"/>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v>0</v>
      </c>
      <c r="D120" s="1573">
        <v>0</v>
      </c>
      <c r="E120" s="1573">
        <v>0</v>
      </c>
      <c r="F120" s="1573">
        <v>0</v>
      </c>
      <c r="G120" s="1573">
        <v>0</v>
      </c>
      <c r="H120" s="1573">
        <v>0</v>
      </c>
      <c r="I120" s="1574">
        <v>0</v>
      </c>
      <c r="J120" s="1574">
        <v>0</v>
      </c>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4">
        <f>SUM(C123:J123)</f>
        <v>0</v>
      </c>
      <c r="L123" s="1573">
        <v>0</v>
      </c>
    </row>
    <row r="124" spans="1:14" ht="14.25" thickTop="1" thickBot="1" x14ac:dyDescent="0.25">
      <c r="A124" s="1274" t="s">
        <v>195</v>
      </c>
      <c r="B124" s="503">
        <v>2540</v>
      </c>
      <c r="C124" s="1573">
        <v>169932</v>
      </c>
      <c r="D124" s="1573">
        <v>26621</v>
      </c>
      <c r="E124" s="1573">
        <v>109108</v>
      </c>
      <c r="F124" s="1573">
        <v>107369</v>
      </c>
      <c r="G124" s="1573">
        <v>324464</v>
      </c>
      <c r="H124" s="1573">
        <v>0</v>
      </c>
      <c r="I124" s="1574">
        <v>0</v>
      </c>
      <c r="J124" s="1574">
        <v>0</v>
      </c>
      <c r="K124" s="1674">
        <f>SUM(C124:J124)</f>
        <v>737494</v>
      </c>
      <c r="L124" s="1573">
        <v>798896</v>
      </c>
    </row>
    <row r="125" spans="1:14" ht="14.25" thickTop="1" thickBot="1" x14ac:dyDescent="0.25">
      <c r="A125" s="1274" t="s">
        <v>947</v>
      </c>
      <c r="B125" s="503">
        <v>2550</v>
      </c>
      <c r="C125" s="1573">
        <v>0</v>
      </c>
      <c r="D125" s="1573">
        <v>0</v>
      </c>
      <c r="E125" s="1573">
        <v>0</v>
      </c>
      <c r="F125" s="1573">
        <v>0</v>
      </c>
      <c r="G125" s="1573">
        <v>0</v>
      </c>
      <c r="H125" s="1573">
        <v>0</v>
      </c>
      <c r="I125" s="1574">
        <v>0</v>
      </c>
      <c r="J125" s="1574">
        <v>0</v>
      </c>
      <c r="K125" s="1674">
        <f>SUM(C125:J125)</f>
        <v>0</v>
      </c>
      <c r="L125" s="1573">
        <v>0</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714</v>
      </c>
      <c r="B127" s="1381" t="s">
        <v>35</v>
      </c>
      <c r="C127" s="1674">
        <f>SUM(C122:C126)</f>
        <v>169932</v>
      </c>
      <c r="D127" s="1674">
        <f t="shared" ref="D127:L127" si="14">SUM(D122:D126)</f>
        <v>26621</v>
      </c>
      <c r="E127" s="1674">
        <f t="shared" si="14"/>
        <v>109108</v>
      </c>
      <c r="F127" s="1674">
        <f t="shared" si="14"/>
        <v>107369</v>
      </c>
      <c r="G127" s="1674">
        <f t="shared" si="14"/>
        <v>324464</v>
      </c>
      <c r="H127" s="1674">
        <f t="shared" si="14"/>
        <v>0</v>
      </c>
      <c r="I127" s="1674">
        <f t="shared" si="14"/>
        <v>0</v>
      </c>
      <c r="J127" s="1674">
        <f t="shared" si="14"/>
        <v>0</v>
      </c>
      <c r="K127" s="1674">
        <f t="shared" si="14"/>
        <v>737494</v>
      </c>
      <c r="L127" s="1674">
        <f t="shared" si="14"/>
        <v>798896</v>
      </c>
    </row>
    <row r="128" spans="1:14" ht="12.75" customHeight="1" thickTop="1" x14ac:dyDescent="0.2">
      <c r="A128" s="1281" t="s">
        <v>973</v>
      </c>
      <c r="B128" s="531" t="s">
        <v>570</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806</v>
      </c>
      <c r="B129" s="1390" t="s">
        <v>565</v>
      </c>
      <c r="C129" s="1681">
        <f>SUM(C120,C127,C128)</f>
        <v>169932</v>
      </c>
      <c r="D129" s="1681">
        <f t="shared" ref="D129:L129" si="15">SUM(D120,D127,D128)</f>
        <v>26621</v>
      </c>
      <c r="E129" s="1681">
        <f t="shared" si="15"/>
        <v>109108</v>
      </c>
      <c r="F129" s="1681">
        <f t="shared" si="15"/>
        <v>107369</v>
      </c>
      <c r="G129" s="1681">
        <f t="shared" si="15"/>
        <v>324464</v>
      </c>
      <c r="H129" s="1681">
        <f t="shared" si="15"/>
        <v>0</v>
      </c>
      <c r="I129" s="1681">
        <f t="shared" si="15"/>
        <v>0</v>
      </c>
      <c r="J129" s="1681">
        <f t="shared" si="15"/>
        <v>0</v>
      </c>
      <c r="K129" s="1681">
        <f t="shared" si="15"/>
        <v>737494</v>
      </c>
      <c r="L129" s="1681">
        <f t="shared" si="15"/>
        <v>798896</v>
      </c>
    </row>
    <row r="130" spans="1:14" ht="15.75" customHeight="1" thickTop="1" thickBot="1" x14ac:dyDescent="0.25">
      <c r="A130" s="1348" t="s">
        <v>1029</v>
      </c>
      <c r="B130" s="1349" t="s">
        <v>571</v>
      </c>
      <c r="C130" s="1651">
        <v>0</v>
      </c>
      <c r="D130" s="1651">
        <v>0</v>
      </c>
      <c r="E130" s="1651">
        <v>0</v>
      </c>
      <c r="F130" s="1651">
        <v>0</v>
      </c>
      <c r="G130" s="1651">
        <v>0</v>
      </c>
      <c r="H130" s="1651">
        <v>0</v>
      </c>
      <c r="I130" s="1627">
        <v>0</v>
      </c>
      <c r="J130" s="1627">
        <v>0</v>
      </c>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v>0</v>
      </c>
      <c r="F133" s="1575"/>
      <c r="G133" s="1575"/>
      <c r="H133" s="1685">
        <v>0</v>
      </c>
      <c r="I133" s="1575"/>
      <c r="J133" s="1575"/>
      <c r="K133" s="1697">
        <f>SUM(E133,H133)</f>
        <v>0</v>
      </c>
      <c r="L133" s="1685">
        <v>0</v>
      </c>
      <c r="M133" s="201"/>
      <c r="N133" s="201"/>
    </row>
    <row r="134" spans="1:14" x14ac:dyDescent="0.2">
      <c r="A134" s="1274" t="s">
        <v>301</v>
      </c>
      <c r="B134" s="503">
        <v>4120</v>
      </c>
      <c r="C134" s="1673"/>
      <c r="D134" s="1673"/>
      <c r="E134" s="1583">
        <v>0</v>
      </c>
      <c r="F134" s="1673"/>
      <c r="G134" s="1673"/>
      <c r="H134" s="1586">
        <v>0</v>
      </c>
      <c r="I134" s="1582"/>
      <c r="J134" s="1673"/>
      <c r="K134" s="1678">
        <f>SUM(E134,H134)</f>
        <v>0</v>
      </c>
      <c r="L134" s="1586">
        <v>0</v>
      </c>
    </row>
    <row r="135" spans="1:14" x14ac:dyDescent="0.2">
      <c r="A135" s="1274" t="s">
        <v>692</v>
      </c>
      <c r="B135" s="503">
        <v>4140</v>
      </c>
      <c r="C135" s="1673"/>
      <c r="D135" s="1673"/>
      <c r="E135" s="1574">
        <v>0</v>
      </c>
      <c r="F135" s="1673"/>
      <c r="G135" s="1673"/>
      <c r="H135" s="1573">
        <v>0</v>
      </c>
      <c r="I135" s="1582"/>
      <c r="J135" s="1673"/>
      <c r="K135" s="1678">
        <f>SUM(E135,H135)</f>
        <v>0</v>
      </c>
      <c r="L135" s="1573">
        <v>0</v>
      </c>
    </row>
    <row r="136" spans="1:14" x14ac:dyDescent="0.2">
      <c r="A136" s="1278" t="s">
        <v>693</v>
      </c>
      <c r="B136" s="512">
        <v>4190</v>
      </c>
      <c r="C136" s="1673"/>
      <c r="D136" s="1673"/>
      <c r="E136" s="1574">
        <v>0</v>
      </c>
      <c r="F136" s="1673"/>
      <c r="G136" s="1673"/>
      <c r="H136" s="1573">
        <v>0</v>
      </c>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v>0</v>
      </c>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1160</v>
      </c>
      <c r="B144" s="512" t="s">
        <v>613</v>
      </c>
      <c r="C144" s="1673"/>
      <c r="D144" s="1673"/>
      <c r="E144" s="1673"/>
      <c r="F144" s="1673"/>
      <c r="G144" s="1673"/>
      <c r="H144" s="1573">
        <v>0</v>
      </c>
      <c r="I144" s="1575"/>
      <c r="J144" s="1673"/>
      <c r="K144" s="1678">
        <f>SUM(H144)</f>
        <v>0</v>
      </c>
      <c r="L144" s="1573">
        <v>0</v>
      </c>
    </row>
    <row r="145" spans="1:14" x14ac:dyDescent="0.2">
      <c r="A145" s="1274" t="s">
        <v>89</v>
      </c>
      <c r="B145" s="503" t="s">
        <v>585</v>
      </c>
      <c r="C145" s="1673"/>
      <c r="D145" s="1673"/>
      <c r="E145" s="1673"/>
      <c r="F145" s="1673"/>
      <c r="G145" s="1673"/>
      <c r="H145" s="1573">
        <v>0</v>
      </c>
      <c r="I145" s="1575"/>
      <c r="J145" s="1673"/>
      <c r="K145" s="1678">
        <f>SUM(H145)</f>
        <v>0</v>
      </c>
      <c r="L145" s="1573">
        <v>0</v>
      </c>
    </row>
    <row r="146" spans="1:14" ht="12.75" customHeight="1" x14ac:dyDescent="0.2">
      <c r="A146" s="1274" t="s">
        <v>615</v>
      </c>
      <c r="B146" s="503" t="s">
        <v>614</v>
      </c>
      <c r="C146" s="1673"/>
      <c r="D146" s="1673"/>
      <c r="E146" s="1673"/>
      <c r="F146" s="1673"/>
      <c r="G146" s="1673"/>
      <c r="H146" s="1573">
        <v>0</v>
      </c>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278" t="s">
        <v>616</v>
      </c>
      <c r="B151" s="2258"/>
      <c r="C151" s="1674">
        <f>SUM(C129,C130,C139,C149,C150)</f>
        <v>169932</v>
      </c>
      <c r="D151" s="1674">
        <f t="shared" ref="D151:K151" si="16">SUM(D129,D130,D139,D149,D150)</f>
        <v>26621</v>
      </c>
      <c r="E151" s="1674">
        <f t="shared" si="16"/>
        <v>109108</v>
      </c>
      <c r="F151" s="1674">
        <f t="shared" si="16"/>
        <v>107369</v>
      </c>
      <c r="G151" s="1674">
        <f t="shared" si="16"/>
        <v>324464</v>
      </c>
      <c r="H151" s="1674">
        <f t="shared" si="16"/>
        <v>0</v>
      </c>
      <c r="I151" s="1674">
        <f t="shared" si="16"/>
        <v>0</v>
      </c>
      <c r="J151" s="1674">
        <f t="shared" si="16"/>
        <v>0</v>
      </c>
      <c r="K151" s="1674">
        <f t="shared" si="16"/>
        <v>737494</v>
      </c>
      <c r="L151" s="1674">
        <f>SUM(L129,L130,L139,L149,L150)</f>
        <v>798896</v>
      </c>
    </row>
    <row r="152" spans="1:14" ht="12.75" customHeight="1" thickTop="1" x14ac:dyDescent="0.2">
      <c r="A152" s="2281" t="s">
        <v>1168</v>
      </c>
      <c r="B152" s="2282"/>
      <c r="C152" s="1675"/>
      <c r="D152" s="1675"/>
      <c r="E152" s="1675"/>
      <c r="F152" s="1675"/>
      <c r="G152" s="1675"/>
      <c r="H152" s="1675"/>
      <c r="I152" s="1675"/>
      <c r="J152" s="1673"/>
      <c r="K152" s="1689">
        <f>'Revenues 9-14'!D268-'Expenditures 15-22'!K151</f>
        <v>-58201</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6" t="s">
        <v>617</v>
      </c>
      <c r="B154" s="2268"/>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v>0</v>
      </c>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v>0</v>
      </c>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4">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1160</v>
      </c>
      <c r="B165" s="503" t="s">
        <v>613</v>
      </c>
      <c r="C165" s="1673"/>
      <c r="D165" s="1673"/>
      <c r="E165" s="1673"/>
      <c r="F165" s="1673"/>
      <c r="G165" s="1673"/>
      <c r="H165" s="1573">
        <v>0</v>
      </c>
      <c r="I165" s="1673"/>
      <c r="J165" s="1673"/>
      <c r="K165" s="1672">
        <f>SUM(C165:J165)</f>
        <v>0</v>
      </c>
      <c r="L165" s="1573">
        <v>0</v>
      </c>
    </row>
    <row r="166" spans="1:14" x14ac:dyDescent="0.2">
      <c r="A166" s="1274" t="s">
        <v>89</v>
      </c>
      <c r="B166" s="512" t="s">
        <v>585</v>
      </c>
      <c r="C166" s="1673"/>
      <c r="D166" s="1673"/>
      <c r="E166" s="1673"/>
      <c r="F166" s="1673"/>
      <c r="G166" s="1673"/>
      <c r="H166" s="1573">
        <v>0</v>
      </c>
      <c r="I166" s="1673"/>
      <c r="J166" s="1673"/>
      <c r="K166" s="1672">
        <f>SUM(C166:J166)</f>
        <v>0</v>
      </c>
      <c r="L166" s="1573">
        <v>0</v>
      </c>
    </row>
    <row r="167" spans="1:14" ht="12.75" customHeight="1" x14ac:dyDescent="0.2">
      <c r="A167" s="1274" t="s">
        <v>615</v>
      </c>
      <c r="B167" s="503" t="s">
        <v>614</v>
      </c>
      <c r="C167" s="1673"/>
      <c r="D167" s="1673"/>
      <c r="E167" s="1673"/>
      <c r="F167" s="1673"/>
      <c r="G167" s="1673"/>
      <c r="H167" s="1573">
        <v>0</v>
      </c>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36450</v>
      </c>
      <c r="I169" s="1673"/>
      <c r="J169" s="1673"/>
      <c r="K169" s="1672">
        <f>SUM(C169:H169)</f>
        <v>36450</v>
      </c>
      <c r="L169" s="1695">
        <v>36450</v>
      </c>
    </row>
    <row r="170" spans="1:14" ht="33.75" customHeight="1" x14ac:dyDescent="0.2">
      <c r="A170" s="543" t="s">
        <v>1651</v>
      </c>
      <c r="B170" s="545" t="s">
        <v>31</v>
      </c>
      <c r="C170" s="1673"/>
      <c r="D170" s="1673"/>
      <c r="E170" s="1673"/>
      <c r="F170" s="1673"/>
      <c r="G170" s="1673"/>
      <c r="H170" s="1646">
        <v>285000</v>
      </c>
      <c r="I170" s="1673"/>
      <c r="J170" s="1673"/>
      <c r="K170" s="1672">
        <f>SUM(C170:J170)</f>
        <v>285000</v>
      </c>
      <c r="L170" s="1646">
        <v>285000</v>
      </c>
    </row>
    <row r="171" spans="1:14" ht="15.75" customHeight="1" x14ac:dyDescent="0.2">
      <c r="A171" s="507" t="s">
        <v>761</v>
      </c>
      <c r="B171" s="546" t="s">
        <v>84</v>
      </c>
      <c r="C171" s="1673"/>
      <c r="D171" s="1673"/>
      <c r="E171" s="1573">
        <v>1000</v>
      </c>
      <c r="F171" s="1673"/>
      <c r="G171" s="1673"/>
      <c r="H171" s="1646">
        <v>0</v>
      </c>
      <c r="I171" s="1582"/>
      <c r="J171" s="1673"/>
      <c r="K171" s="1672">
        <f>SUM(C171:J171)</f>
        <v>1000</v>
      </c>
      <c r="L171" s="1646">
        <v>1000</v>
      </c>
    </row>
    <row r="172" spans="1:14" ht="12.75" customHeight="1" thickBot="1" x14ac:dyDescent="0.25">
      <c r="A172" s="1380" t="s">
        <v>633</v>
      </c>
      <c r="B172" s="1381" t="s">
        <v>489</v>
      </c>
      <c r="C172" s="1673"/>
      <c r="D172" s="1673"/>
      <c r="E172" s="1681">
        <f>SUM(E168,E169,E170,E171)</f>
        <v>1000</v>
      </c>
      <c r="F172" s="1673"/>
      <c r="G172" s="1673"/>
      <c r="H172" s="1681">
        <f>SUM(H168,H169,H170,H171)</f>
        <v>321450</v>
      </c>
      <c r="I172" s="1684"/>
      <c r="J172" s="1673"/>
      <c r="K172" s="1681">
        <f>SUM(K168,K169,K170,K171)</f>
        <v>322450</v>
      </c>
      <c r="L172" s="1681">
        <f>SUM(L168,L169,L170,L171)</f>
        <v>322450</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1000</v>
      </c>
      <c r="F174" s="1673"/>
      <c r="G174" s="1673"/>
      <c r="H174" s="1681">
        <f>SUM(H160,H172,H173)</f>
        <v>321450</v>
      </c>
      <c r="I174" s="1684"/>
      <c r="J174" s="1673"/>
      <c r="K174" s="1681">
        <f>SUM(K160,K172,K173)</f>
        <v>322450</v>
      </c>
      <c r="L174" s="1681">
        <f>SUM(L160,L172,L173)</f>
        <v>322450</v>
      </c>
    </row>
    <row r="175" spans="1:14" ht="13.5" thickTop="1" x14ac:dyDescent="0.2">
      <c r="A175" s="2261" t="s">
        <v>989</v>
      </c>
      <c r="B175" s="2262"/>
      <c r="C175" s="1673"/>
      <c r="D175" s="1673"/>
      <c r="E175" s="1673"/>
      <c r="F175" s="1673"/>
      <c r="G175" s="1673"/>
      <c r="H175" s="1675"/>
      <c r="I175" s="1673"/>
      <c r="J175" s="1673"/>
      <c r="K175" s="1689">
        <f>'Revenues 9-14'!E268-'Expenditures 15-22'!K174</f>
        <v>-218</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v>0</v>
      </c>
      <c r="D180" s="1573">
        <v>0</v>
      </c>
      <c r="E180" s="1573">
        <v>0</v>
      </c>
      <c r="F180" s="1573">
        <v>0</v>
      </c>
      <c r="G180" s="1573">
        <v>0</v>
      </c>
      <c r="H180" s="1573">
        <v>0</v>
      </c>
      <c r="I180" s="1574">
        <v>0</v>
      </c>
      <c r="J180" s="1574">
        <v>0</v>
      </c>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225990</v>
      </c>
      <c r="D182" s="1573">
        <v>5550</v>
      </c>
      <c r="E182" s="1573">
        <v>101450</v>
      </c>
      <c r="F182" s="1573">
        <v>44230</v>
      </c>
      <c r="G182" s="1573">
        <v>0</v>
      </c>
      <c r="H182" s="1573">
        <v>0</v>
      </c>
      <c r="I182" s="1574">
        <v>0</v>
      </c>
      <c r="J182" s="1574">
        <v>0</v>
      </c>
      <c r="K182" s="1672">
        <f>SUM(C182:J182)</f>
        <v>377220</v>
      </c>
      <c r="L182" s="1573">
        <v>415667</v>
      </c>
    </row>
    <row r="183" spans="1:14" ht="12.75" customHeight="1" thickBot="1" x14ac:dyDescent="0.25">
      <c r="A183" s="1279" t="s">
        <v>973</v>
      </c>
      <c r="B183" s="551">
        <v>2900</v>
      </c>
      <c r="C183" s="1649">
        <v>0</v>
      </c>
      <c r="D183" s="1649">
        <v>0</v>
      </c>
      <c r="E183" s="1649">
        <v>0</v>
      </c>
      <c r="F183" s="1649">
        <v>0</v>
      </c>
      <c r="G183" s="1649">
        <v>0</v>
      </c>
      <c r="H183" s="1649">
        <v>0</v>
      </c>
      <c r="I183" s="1628">
        <v>0</v>
      </c>
      <c r="J183" s="1628">
        <v>0</v>
      </c>
      <c r="K183" s="1681">
        <f>SUM(C183:J183)</f>
        <v>0</v>
      </c>
      <c r="L183" s="1649">
        <v>0</v>
      </c>
    </row>
    <row r="184" spans="1:14" ht="12.75" customHeight="1" thickTop="1" thickBot="1" x14ac:dyDescent="0.25">
      <c r="A184" s="1393" t="s">
        <v>806</v>
      </c>
      <c r="B184" s="1381" t="s">
        <v>565</v>
      </c>
      <c r="C184" s="1681">
        <f>SUM(C180,C182,C183)</f>
        <v>225990</v>
      </c>
      <c r="D184" s="1681">
        <f t="shared" ref="D184:J184" si="17">SUM(D180,D182,D183)</f>
        <v>5550</v>
      </c>
      <c r="E184" s="1681">
        <f t="shared" si="17"/>
        <v>101450</v>
      </c>
      <c r="F184" s="1681">
        <f t="shared" si="17"/>
        <v>44230</v>
      </c>
      <c r="G184" s="1681">
        <f t="shared" si="17"/>
        <v>0</v>
      </c>
      <c r="H184" s="1681">
        <f t="shared" si="17"/>
        <v>0</v>
      </c>
      <c r="I184" s="1681">
        <f t="shared" si="17"/>
        <v>0</v>
      </c>
      <c r="J184" s="1681">
        <f t="shared" si="17"/>
        <v>0</v>
      </c>
      <c r="K184" s="1681">
        <f>SUM(K180,K182,K183)</f>
        <v>377220</v>
      </c>
      <c r="L184" s="1681">
        <f>SUM(L180, L182:L183)</f>
        <v>415667</v>
      </c>
    </row>
    <row r="185" spans="1:14" ht="15.75" customHeight="1" thickTop="1" thickBot="1" x14ac:dyDescent="0.25">
      <c r="A185" s="1360" t="s">
        <v>933</v>
      </c>
      <c r="B185" s="1349">
        <v>3000</v>
      </c>
      <c r="C185" s="1651">
        <v>0</v>
      </c>
      <c r="D185" s="1651">
        <v>0</v>
      </c>
      <c r="E185" s="1651">
        <v>0</v>
      </c>
      <c r="F185" s="1651">
        <v>0</v>
      </c>
      <c r="G185" s="1651">
        <v>0</v>
      </c>
      <c r="H185" s="1651">
        <v>0</v>
      </c>
      <c r="I185" s="1627">
        <v>0</v>
      </c>
      <c r="J185" s="1627">
        <v>0</v>
      </c>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0</v>
      </c>
      <c r="F188" s="1673"/>
      <c r="G188" s="1673"/>
      <c r="H188" s="1573">
        <v>0</v>
      </c>
      <c r="I188" s="1582"/>
      <c r="J188" s="1673"/>
      <c r="K188" s="1672">
        <f t="shared" ref="K188:K193" si="18">SUM(E188,H188)</f>
        <v>0</v>
      </c>
      <c r="L188" s="1573">
        <v>0</v>
      </c>
    </row>
    <row r="189" spans="1:14" x14ac:dyDescent="0.2">
      <c r="A189" s="1274" t="s">
        <v>301</v>
      </c>
      <c r="B189" s="503">
        <v>4120</v>
      </c>
      <c r="C189" s="1673"/>
      <c r="D189" s="1673"/>
      <c r="E189" s="1573">
        <v>0</v>
      </c>
      <c r="F189" s="1673"/>
      <c r="G189" s="1673"/>
      <c r="H189" s="1573">
        <v>0</v>
      </c>
      <c r="I189" s="1582"/>
      <c r="J189" s="1673"/>
      <c r="K189" s="1672">
        <f t="shared" si="18"/>
        <v>0</v>
      </c>
      <c r="L189" s="1573">
        <v>0</v>
      </c>
    </row>
    <row r="190" spans="1:14" x14ac:dyDescent="0.2">
      <c r="A190" s="1274" t="s">
        <v>302</v>
      </c>
      <c r="B190" s="512">
        <v>4130</v>
      </c>
      <c r="C190" s="1673"/>
      <c r="D190" s="1673"/>
      <c r="E190" s="1573">
        <v>0</v>
      </c>
      <c r="F190" s="1673"/>
      <c r="G190" s="1673"/>
      <c r="H190" s="1573">
        <v>0</v>
      </c>
      <c r="I190" s="1582"/>
      <c r="J190" s="1673"/>
      <c r="K190" s="1672">
        <f t="shared" si="18"/>
        <v>0</v>
      </c>
      <c r="L190" s="1573">
        <v>0</v>
      </c>
    </row>
    <row r="191" spans="1:14" x14ac:dyDescent="0.2">
      <c r="A191" s="1274" t="s">
        <v>692</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693</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v>0</v>
      </c>
      <c r="F195" s="1673"/>
      <c r="G195" s="1673"/>
      <c r="H195" s="1695">
        <v>0</v>
      </c>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1160</v>
      </c>
      <c r="B201" s="512" t="s">
        <v>613</v>
      </c>
      <c r="C201" s="1673"/>
      <c r="D201" s="1673"/>
      <c r="E201" s="1673"/>
      <c r="F201" s="1673"/>
      <c r="G201" s="1673"/>
      <c r="H201" s="1573">
        <v>0</v>
      </c>
      <c r="I201" s="1673"/>
      <c r="J201" s="1673"/>
      <c r="K201" s="1672">
        <f>SUM(H201)</f>
        <v>0</v>
      </c>
      <c r="L201" s="1573">
        <v>0</v>
      </c>
    </row>
    <row r="202" spans="1:14" x14ac:dyDescent="0.2">
      <c r="A202" s="1274" t="s">
        <v>89</v>
      </c>
      <c r="B202" s="503" t="s">
        <v>585</v>
      </c>
      <c r="C202" s="1673"/>
      <c r="D202" s="1673"/>
      <c r="E202" s="1673"/>
      <c r="F202" s="1673"/>
      <c r="G202" s="1673"/>
      <c r="H202" s="1573">
        <v>0</v>
      </c>
      <c r="I202" s="1673"/>
      <c r="J202" s="1673"/>
      <c r="K202" s="1672">
        <f>SUM(H202)</f>
        <v>0</v>
      </c>
      <c r="L202" s="1573">
        <v>0</v>
      </c>
    </row>
    <row r="203" spans="1:14" x14ac:dyDescent="0.2">
      <c r="A203" s="1286" t="s">
        <v>615</v>
      </c>
      <c r="B203" s="503" t="s">
        <v>614</v>
      </c>
      <c r="C203" s="1673"/>
      <c r="D203" s="1673"/>
      <c r="E203" s="1673"/>
      <c r="F203" s="1673"/>
      <c r="G203" s="1673"/>
      <c r="H203" s="1577">
        <v>0</v>
      </c>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0</v>
      </c>
      <c r="I205" s="1673"/>
      <c r="J205" s="1673"/>
      <c r="K205" s="1696">
        <f>SUM(H205)</f>
        <v>0</v>
      </c>
      <c r="L205" s="1630">
        <v>0</v>
      </c>
    </row>
    <row r="206" spans="1:14" ht="30" customHeight="1" x14ac:dyDescent="0.2">
      <c r="A206" s="555" t="s">
        <v>1652</v>
      </c>
      <c r="B206" s="546" t="s">
        <v>31</v>
      </c>
      <c r="C206" s="1673"/>
      <c r="D206" s="1673"/>
      <c r="E206" s="1673"/>
      <c r="F206" s="1673"/>
      <c r="G206" s="1673"/>
      <c r="H206" s="1573">
        <v>0</v>
      </c>
      <c r="I206" s="1673"/>
      <c r="J206" s="1673"/>
      <c r="K206" s="1672">
        <f>SUM(H206)</f>
        <v>0</v>
      </c>
      <c r="L206" s="1573">
        <v>0</v>
      </c>
    </row>
    <row r="207" spans="1:14" ht="15.75" customHeight="1" x14ac:dyDescent="0.2">
      <c r="A207" s="507" t="s">
        <v>761</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225990</v>
      </c>
      <c r="D210" s="1674">
        <f>SUM(D184,D185)</f>
        <v>5550</v>
      </c>
      <c r="E210" s="1674">
        <f>SUM(E184,E185,E196)</f>
        <v>101450</v>
      </c>
      <c r="F210" s="1674">
        <f>SUM(F184,F185)</f>
        <v>44230</v>
      </c>
      <c r="G210" s="1674">
        <f>SUM(G184,G185)</f>
        <v>0</v>
      </c>
      <c r="H210" s="1674">
        <f>SUM(H184,H185,H196,H208,H209)</f>
        <v>0</v>
      </c>
      <c r="I210" s="1674">
        <f>SUM(I184,I185)</f>
        <v>0</v>
      </c>
      <c r="J210" s="1674">
        <f>SUM(J184,J185)</f>
        <v>0</v>
      </c>
      <c r="K210" s="1672">
        <f>SUM(K184,K185,K196,K208,K209)</f>
        <v>377220</v>
      </c>
      <c r="L210" s="1674">
        <f>SUM(L184,L185,L196,L208,L209)</f>
        <v>415667</v>
      </c>
    </row>
    <row r="211" spans="1:14" ht="13.5" thickTop="1" x14ac:dyDescent="0.2">
      <c r="A211" s="2261" t="s">
        <v>989</v>
      </c>
      <c r="B211" s="2262"/>
      <c r="C211" s="1675"/>
      <c r="D211" s="1675"/>
      <c r="E211" s="1675"/>
      <c r="F211" s="1675"/>
      <c r="G211" s="1675"/>
      <c r="H211" s="1675"/>
      <c r="I211" s="1673"/>
      <c r="J211" s="1673"/>
      <c r="K211" s="1689">
        <f>'Revenues 9-14'!F268-'Expenditures 15-22'!K210</f>
        <v>-4044</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3" t="s">
        <v>959</v>
      </c>
      <c r="B213" s="2284"/>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21711</v>
      </c>
      <c r="E215" s="1673"/>
      <c r="F215" s="1673"/>
      <c r="G215" s="1673"/>
      <c r="H215" s="1673"/>
      <c r="I215" s="1673"/>
      <c r="J215" s="1673"/>
      <c r="K215" s="1672">
        <f>D215</f>
        <v>21711</v>
      </c>
      <c r="L215" s="1573">
        <v>22646</v>
      </c>
    </row>
    <row r="216" spans="1:14" x14ac:dyDescent="0.2">
      <c r="A216" s="1274" t="s">
        <v>162</v>
      </c>
      <c r="B216" s="503" t="s">
        <v>961</v>
      </c>
      <c r="C216" s="1673"/>
      <c r="D216" s="1574">
        <v>3314</v>
      </c>
      <c r="E216" s="1673"/>
      <c r="F216" s="1673"/>
      <c r="G216" s="1673"/>
      <c r="H216" s="1673"/>
      <c r="I216" s="1673"/>
      <c r="J216" s="1673"/>
      <c r="K216" s="1672">
        <f t="shared" ref="K216:K228" si="19">D216</f>
        <v>3314</v>
      </c>
      <c r="L216" s="1573">
        <v>3317</v>
      </c>
    </row>
    <row r="217" spans="1:14" x14ac:dyDescent="0.2">
      <c r="A217" s="1274" t="s">
        <v>163</v>
      </c>
      <c r="B217" s="503">
        <v>1200</v>
      </c>
      <c r="C217" s="1673"/>
      <c r="D217" s="1573">
        <v>10229</v>
      </c>
      <c r="E217" s="1673"/>
      <c r="F217" s="1673"/>
      <c r="G217" s="1673"/>
      <c r="H217" s="1673"/>
      <c r="I217" s="1673"/>
      <c r="J217" s="1673"/>
      <c r="K217" s="1672">
        <f t="shared" si="19"/>
        <v>10229</v>
      </c>
      <c r="L217" s="1573">
        <v>10325</v>
      </c>
    </row>
    <row r="218" spans="1:14" x14ac:dyDescent="0.2">
      <c r="A218" s="1274" t="s">
        <v>276</v>
      </c>
      <c r="B218" s="503" t="s">
        <v>962</v>
      </c>
      <c r="C218" s="1673"/>
      <c r="D218" s="1574">
        <v>0</v>
      </c>
      <c r="E218" s="1673"/>
      <c r="F218" s="1673"/>
      <c r="G218" s="1673"/>
      <c r="H218" s="1673"/>
      <c r="I218" s="1673"/>
      <c r="J218" s="1673"/>
      <c r="K218" s="1672">
        <f t="shared" si="19"/>
        <v>0</v>
      </c>
      <c r="L218" s="1573">
        <v>0</v>
      </c>
    </row>
    <row r="219" spans="1:14" x14ac:dyDescent="0.2">
      <c r="A219" s="1274" t="s">
        <v>277</v>
      </c>
      <c r="B219" s="503">
        <v>1250</v>
      </c>
      <c r="C219" s="1673"/>
      <c r="D219" s="1573">
        <v>4333</v>
      </c>
      <c r="E219" s="1673"/>
      <c r="F219" s="1673"/>
      <c r="G219" s="1673"/>
      <c r="H219" s="1673"/>
      <c r="I219" s="1673"/>
      <c r="J219" s="1673"/>
      <c r="K219" s="1672">
        <f t="shared" si="19"/>
        <v>4333</v>
      </c>
      <c r="L219" s="1573">
        <v>4975</v>
      </c>
    </row>
    <row r="220" spans="1:14" x14ac:dyDescent="0.2">
      <c r="A220" s="1274" t="s">
        <v>278</v>
      </c>
      <c r="B220" s="503" t="s">
        <v>160</v>
      </c>
      <c r="C220" s="1673"/>
      <c r="D220" s="1574">
        <v>0</v>
      </c>
      <c r="E220" s="1673"/>
      <c r="F220" s="1673"/>
      <c r="G220" s="1673"/>
      <c r="H220" s="1673"/>
      <c r="I220" s="1673"/>
      <c r="J220" s="1673"/>
      <c r="K220" s="1672">
        <f t="shared" si="19"/>
        <v>0</v>
      </c>
      <c r="L220" s="1573">
        <v>0</v>
      </c>
    </row>
    <row r="221" spans="1:14" x14ac:dyDescent="0.2">
      <c r="A221" s="1274" t="s">
        <v>956</v>
      </c>
      <c r="B221" s="503">
        <v>1300</v>
      </c>
      <c r="C221" s="1673"/>
      <c r="D221" s="1573">
        <v>0</v>
      </c>
      <c r="E221" s="1673"/>
      <c r="F221" s="1673"/>
      <c r="G221" s="1673"/>
      <c r="H221" s="1673"/>
      <c r="I221" s="1673"/>
      <c r="J221" s="1673"/>
      <c r="K221" s="1672">
        <f t="shared" si="19"/>
        <v>0</v>
      </c>
      <c r="L221" s="1573">
        <v>0</v>
      </c>
    </row>
    <row r="222" spans="1:14" x14ac:dyDescent="0.2">
      <c r="A222" s="1274" t="s">
        <v>718</v>
      </c>
      <c r="B222" s="503">
        <v>1400</v>
      </c>
      <c r="C222" s="1673"/>
      <c r="D222" s="1573">
        <v>1568</v>
      </c>
      <c r="E222" s="1673"/>
      <c r="F222" s="1673"/>
      <c r="G222" s="1673"/>
      <c r="H222" s="1673"/>
      <c r="I222" s="1673"/>
      <c r="J222" s="1673"/>
      <c r="K222" s="1672">
        <f t="shared" si="19"/>
        <v>1568</v>
      </c>
      <c r="L222" s="1573">
        <v>1770</v>
      </c>
    </row>
    <row r="223" spans="1:14" x14ac:dyDescent="0.2">
      <c r="A223" s="1274" t="s">
        <v>957</v>
      </c>
      <c r="B223" s="503">
        <v>1500</v>
      </c>
      <c r="C223" s="1673"/>
      <c r="D223" s="1573">
        <v>4700</v>
      </c>
      <c r="E223" s="1673"/>
      <c r="F223" s="1673"/>
      <c r="G223" s="1673"/>
      <c r="H223" s="1673"/>
      <c r="I223" s="1673"/>
      <c r="J223" s="1673"/>
      <c r="K223" s="1672">
        <f t="shared" si="19"/>
        <v>4700</v>
      </c>
      <c r="L223" s="1573">
        <v>4740</v>
      </c>
    </row>
    <row r="224" spans="1:14" x14ac:dyDescent="0.2">
      <c r="A224" s="1274" t="s">
        <v>958</v>
      </c>
      <c r="B224" s="503">
        <v>1600</v>
      </c>
      <c r="C224" s="1673"/>
      <c r="D224" s="1573">
        <v>0</v>
      </c>
      <c r="E224" s="1673"/>
      <c r="F224" s="1673"/>
      <c r="G224" s="1673"/>
      <c r="H224" s="1673"/>
      <c r="I224" s="1673"/>
      <c r="J224" s="1673"/>
      <c r="K224" s="1672">
        <f t="shared" si="19"/>
        <v>0</v>
      </c>
      <c r="L224" s="1573">
        <v>0</v>
      </c>
    </row>
    <row r="225" spans="1:12" x14ac:dyDescent="0.2">
      <c r="A225" s="1274" t="s">
        <v>980</v>
      </c>
      <c r="B225" s="503">
        <v>1650</v>
      </c>
      <c r="C225" s="1673"/>
      <c r="D225" s="1573">
        <v>0</v>
      </c>
      <c r="E225" s="1673"/>
      <c r="F225" s="1673"/>
      <c r="G225" s="1673"/>
      <c r="H225" s="1673"/>
      <c r="I225" s="1673"/>
      <c r="J225" s="1673"/>
      <c r="K225" s="1672">
        <f t="shared" si="19"/>
        <v>0</v>
      </c>
      <c r="L225" s="1573">
        <v>0</v>
      </c>
    </row>
    <row r="226" spans="1:12" x14ac:dyDescent="0.2">
      <c r="A226" s="1274" t="s">
        <v>719</v>
      </c>
      <c r="B226" s="503" t="s">
        <v>161</v>
      </c>
      <c r="C226" s="1673"/>
      <c r="D226" s="1574">
        <v>332</v>
      </c>
      <c r="E226" s="1673"/>
      <c r="F226" s="1673"/>
      <c r="G226" s="1673"/>
      <c r="H226" s="1673"/>
      <c r="I226" s="1673"/>
      <c r="J226" s="1673"/>
      <c r="K226" s="1672">
        <f t="shared" si="19"/>
        <v>332</v>
      </c>
      <c r="L226" s="1573">
        <v>350</v>
      </c>
    </row>
    <row r="227" spans="1:12" x14ac:dyDescent="0.2">
      <c r="A227" s="1274" t="s">
        <v>1078</v>
      </c>
      <c r="B227" s="503">
        <v>1800</v>
      </c>
      <c r="C227" s="1673"/>
      <c r="D227" s="1573">
        <v>0</v>
      </c>
      <c r="E227" s="1673"/>
      <c r="F227" s="1673"/>
      <c r="G227" s="1673"/>
      <c r="H227" s="1673"/>
      <c r="I227" s="1673"/>
      <c r="J227" s="1673"/>
      <c r="K227" s="1672">
        <f t="shared" si="19"/>
        <v>0</v>
      </c>
      <c r="L227" s="1573">
        <v>0</v>
      </c>
    </row>
    <row r="228" spans="1:12" x14ac:dyDescent="0.2">
      <c r="A228" s="1274" t="s">
        <v>1079</v>
      </c>
      <c r="B228" s="503">
        <v>1900</v>
      </c>
      <c r="C228" s="1673"/>
      <c r="D228" s="1573">
        <v>0</v>
      </c>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46187</v>
      </c>
      <c r="E229" s="1673"/>
      <c r="F229" s="1673"/>
      <c r="G229" s="1673"/>
      <c r="H229" s="1673"/>
      <c r="I229" s="1673"/>
      <c r="J229" s="1673"/>
      <c r="K229" s="1674">
        <f>SUM(K215:K228)</f>
        <v>46187</v>
      </c>
      <c r="L229" s="1674">
        <f>SUM(L215:L228)</f>
        <v>48123</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0</v>
      </c>
      <c r="E232" s="1673"/>
      <c r="F232" s="1673"/>
      <c r="G232" s="1673"/>
      <c r="H232" s="1673"/>
      <c r="I232" s="1673"/>
      <c r="J232" s="1673"/>
      <c r="K232" s="1672">
        <f t="shared" ref="K232:K237" si="20">D232</f>
        <v>0</v>
      </c>
      <c r="L232" s="1573">
        <v>0</v>
      </c>
    </row>
    <row r="233" spans="1:12" x14ac:dyDescent="0.2">
      <c r="A233" s="1274" t="s">
        <v>1081</v>
      </c>
      <c r="B233" s="503">
        <v>2120</v>
      </c>
      <c r="C233" s="1673"/>
      <c r="D233" s="1573">
        <v>806</v>
      </c>
      <c r="E233" s="1673"/>
      <c r="F233" s="1673"/>
      <c r="G233" s="1673"/>
      <c r="H233" s="1673"/>
      <c r="I233" s="1673"/>
      <c r="J233" s="1673"/>
      <c r="K233" s="1672">
        <f t="shared" si="20"/>
        <v>806</v>
      </c>
      <c r="L233" s="1573">
        <v>825</v>
      </c>
    </row>
    <row r="234" spans="1:12" x14ac:dyDescent="0.2">
      <c r="A234" s="1274" t="s">
        <v>196</v>
      </c>
      <c r="B234" s="503">
        <v>2130</v>
      </c>
      <c r="C234" s="1673"/>
      <c r="D234" s="1573">
        <v>6367</v>
      </c>
      <c r="E234" s="1673"/>
      <c r="F234" s="1673"/>
      <c r="G234" s="1673"/>
      <c r="H234" s="1673"/>
      <c r="I234" s="1673"/>
      <c r="J234" s="1673"/>
      <c r="K234" s="1672">
        <f t="shared" si="20"/>
        <v>6367</v>
      </c>
      <c r="L234" s="1573">
        <v>6525</v>
      </c>
    </row>
    <row r="235" spans="1:12" x14ac:dyDescent="0.2">
      <c r="A235" s="1274" t="s">
        <v>197</v>
      </c>
      <c r="B235" s="503">
        <v>2140</v>
      </c>
      <c r="C235" s="1673"/>
      <c r="D235" s="1573">
        <v>0</v>
      </c>
      <c r="E235" s="1673"/>
      <c r="F235" s="1673"/>
      <c r="G235" s="1673"/>
      <c r="H235" s="1673"/>
      <c r="I235" s="1673"/>
      <c r="J235" s="1673"/>
      <c r="K235" s="1672">
        <f t="shared" si="20"/>
        <v>0</v>
      </c>
      <c r="L235" s="1573">
        <v>0</v>
      </c>
    </row>
    <row r="236" spans="1:12" x14ac:dyDescent="0.2">
      <c r="A236" s="1274" t="s">
        <v>198</v>
      </c>
      <c r="B236" s="503">
        <v>2150</v>
      </c>
      <c r="C236" s="1673"/>
      <c r="D236" s="1573">
        <v>0</v>
      </c>
      <c r="E236" s="1673"/>
      <c r="F236" s="1673"/>
      <c r="G236" s="1673"/>
      <c r="H236" s="1673"/>
      <c r="I236" s="1673"/>
      <c r="J236" s="1673"/>
      <c r="K236" s="1672">
        <f t="shared" si="20"/>
        <v>0</v>
      </c>
      <c r="L236" s="1573">
        <v>0</v>
      </c>
    </row>
    <row r="237" spans="1:12" x14ac:dyDescent="0.2">
      <c r="A237" s="1274" t="s">
        <v>164</v>
      </c>
      <c r="B237" s="503">
        <v>2190</v>
      </c>
      <c r="C237" s="1673"/>
      <c r="D237" s="1573">
        <v>0</v>
      </c>
      <c r="E237" s="1673"/>
      <c r="F237" s="1673"/>
      <c r="G237" s="1673"/>
      <c r="H237" s="1673"/>
      <c r="I237" s="1673"/>
      <c r="J237" s="1673"/>
      <c r="K237" s="1672">
        <f t="shared" si="20"/>
        <v>0</v>
      </c>
      <c r="L237" s="1573">
        <v>0</v>
      </c>
    </row>
    <row r="238" spans="1:12" ht="12.75" customHeight="1" thickBot="1" x14ac:dyDescent="0.25">
      <c r="A238" s="1380" t="s">
        <v>556</v>
      </c>
      <c r="B238" s="1383" t="s">
        <v>711</v>
      </c>
      <c r="C238" s="1673"/>
      <c r="D238" s="1674">
        <f>SUM(D232:D237)</f>
        <v>7173</v>
      </c>
      <c r="E238" s="1673"/>
      <c r="F238" s="1673"/>
      <c r="G238" s="1673"/>
      <c r="H238" s="1673"/>
      <c r="I238" s="1673"/>
      <c r="J238" s="1673"/>
      <c r="K238" s="1674">
        <f>SUM(K232:K237)</f>
        <v>7173</v>
      </c>
      <c r="L238" s="1674">
        <f>SUM(L232:L237)</f>
        <v>7350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52</v>
      </c>
      <c r="E240" s="1673"/>
      <c r="F240" s="1673"/>
      <c r="G240" s="1673"/>
      <c r="H240" s="1673"/>
      <c r="I240" s="1673"/>
      <c r="J240" s="1673"/>
      <c r="K240" s="1678">
        <f>D240</f>
        <v>52</v>
      </c>
      <c r="L240" s="1586">
        <v>45</v>
      </c>
    </row>
    <row r="241" spans="1:12" x14ac:dyDescent="0.2">
      <c r="A241" s="1274" t="s">
        <v>810</v>
      </c>
      <c r="B241" s="503">
        <v>2220</v>
      </c>
      <c r="C241" s="1673"/>
      <c r="D241" s="1573">
        <v>4151</v>
      </c>
      <c r="E241" s="1673"/>
      <c r="F241" s="1673"/>
      <c r="G241" s="1673"/>
      <c r="H241" s="1673"/>
      <c r="I241" s="1673"/>
      <c r="J241" s="1673"/>
      <c r="K241" s="1678">
        <f>D241</f>
        <v>4151</v>
      </c>
      <c r="L241" s="1573">
        <v>5650</v>
      </c>
    </row>
    <row r="242" spans="1:12" x14ac:dyDescent="0.2">
      <c r="A242" s="1274" t="s">
        <v>811</v>
      </c>
      <c r="B242" s="503">
        <v>2230</v>
      </c>
      <c r="C242" s="1673"/>
      <c r="D242" s="1573">
        <v>0</v>
      </c>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4203</v>
      </c>
      <c r="E243" s="1673"/>
      <c r="F243" s="1673"/>
      <c r="G243" s="1673"/>
      <c r="H243" s="1673"/>
      <c r="I243" s="1673"/>
      <c r="J243" s="1673"/>
      <c r="K243" s="1674">
        <f>SUM(K240:K242)</f>
        <v>4203</v>
      </c>
      <c r="L243" s="1674">
        <f>SUM(L240:L242)</f>
        <v>5695</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474</v>
      </c>
      <c r="E245" s="1673"/>
      <c r="F245" s="1673"/>
      <c r="G245" s="1673"/>
      <c r="H245" s="1673"/>
      <c r="I245" s="1673"/>
      <c r="J245" s="1673"/>
      <c r="K245" s="1678">
        <f>D245</f>
        <v>474</v>
      </c>
      <c r="L245" s="1586">
        <v>550</v>
      </c>
    </row>
    <row r="246" spans="1:12" x14ac:dyDescent="0.2">
      <c r="A246" s="1274" t="s">
        <v>813</v>
      </c>
      <c r="B246" s="503">
        <v>2320</v>
      </c>
      <c r="C246" s="1673"/>
      <c r="D246" s="1573">
        <v>12095</v>
      </c>
      <c r="E246" s="1673"/>
      <c r="F246" s="1673"/>
      <c r="G246" s="1673"/>
      <c r="H246" s="1673"/>
      <c r="I246" s="1673"/>
      <c r="J246" s="1673"/>
      <c r="K246" s="1678">
        <f t="shared" ref="K246:K256" si="21">D246</f>
        <v>12095</v>
      </c>
      <c r="L246" s="1573">
        <v>11100</v>
      </c>
    </row>
    <row r="247" spans="1:12" x14ac:dyDescent="0.2">
      <c r="A247" s="1274" t="s">
        <v>814</v>
      </c>
      <c r="B247" s="503">
        <v>2330</v>
      </c>
      <c r="C247" s="1673"/>
      <c r="D247" s="1573">
        <v>0</v>
      </c>
      <c r="E247" s="1673"/>
      <c r="F247" s="1673"/>
      <c r="G247" s="1673"/>
      <c r="H247" s="1673"/>
      <c r="I247" s="1673"/>
      <c r="J247" s="1673"/>
      <c r="K247" s="1678">
        <f t="shared" si="21"/>
        <v>0</v>
      </c>
      <c r="L247" s="1573">
        <v>0</v>
      </c>
    </row>
    <row r="248" spans="1:12" x14ac:dyDescent="0.2">
      <c r="A248" s="1275" t="s">
        <v>296</v>
      </c>
      <c r="B248" s="494" t="s">
        <v>279</v>
      </c>
      <c r="C248" s="1673"/>
      <c r="D248" s="1579">
        <v>0</v>
      </c>
      <c r="E248" s="1673"/>
      <c r="F248" s="1673"/>
      <c r="G248" s="1673"/>
      <c r="H248" s="1673"/>
      <c r="I248" s="1673"/>
      <c r="J248" s="1673"/>
      <c r="K248" s="1678">
        <f t="shared" si="21"/>
        <v>0</v>
      </c>
      <c r="L248" s="1573">
        <v>0</v>
      </c>
    </row>
    <row r="249" spans="1:12" x14ac:dyDescent="0.2">
      <c r="A249" s="1276" t="s">
        <v>1782</v>
      </c>
      <c r="B249" s="557" t="s">
        <v>280</v>
      </c>
      <c r="C249" s="1673"/>
      <c r="D249" s="1579">
        <v>0</v>
      </c>
      <c r="E249" s="1673"/>
      <c r="F249" s="1673"/>
      <c r="G249" s="1673"/>
      <c r="H249" s="1673"/>
      <c r="I249" s="1673"/>
      <c r="J249" s="1673"/>
      <c r="K249" s="1678">
        <f t="shared" si="21"/>
        <v>0</v>
      </c>
      <c r="L249" s="1573">
        <v>0</v>
      </c>
    </row>
    <row r="250" spans="1:12" x14ac:dyDescent="0.2">
      <c r="A250" s="1275" t="s">
        <v>1783</v>
      </c>
      <c r="B250" s="494" t="s">
        <v>281</v>
      </c>
      <c r="C250" s="1673"/>
      <c r="D250" s="1579">
        <v>0</v>
      </c>
      <c r="E250" s="1673"/>
      <c r="F250" s="1673"/>
      <c r="G250" s="1673"/>
      <c r="H250" s="1673"/>
      <c r="I250" s="1673"/>
      <c r="J250" s="1673"/>
      <c r="K250" s="1678">
        <f t="shared" si="21"/>
        <v>0</v>
      </c>
      <c r="L250" s="1573">
        <v>0</v>
      </c>
    </row>
    <row r="251" spans="1:12" x14ac:dyDescent="0.2">
      <c r="A251" s="1275" t="s">
        <v>236</v>
      </c>
      <c r="B251" s="494" t="s">
        <v>282</v>
      </c>
      <c r="C251" s="1673"/>
      <c r="D251" s="1579">
        <v>0</v>
      </c>
      <c r="E251" s="1673"/>
      <c r="F251" s="1673"/>
      <c r="G251" s="1673"/>
      <c r="H251" s="1673"/>
      <c r="I251" s="1673"/>
      <c r="J251" s="1673"/>
      <c r="K251" s="1678">
        <f t="shared" si="21"/>
        <v>0</v>
      </c>
      <c r="L251" s="1573">
        <v>0</v>
      </c>
    </row>
    <row r="252" spans="1:12" x14ac:dyDescent="0.2">
      <c r="A252" s="1275" t="s">
        <v>697</v>
      </c>
      <c r="B252" s="494" t="s">
        <v>283</v>
      </c>
      <c r="C252" s="1673"/>
      <c r="D252" s="1579">
        <v>0</v>
      </c>
      <c r="E252" s="1673"/>
      <c r="F252" s="1673"/>
      <c r="G252" s="1673"/>
      <c r="H252" s="1673"/>
      <c r="I252" s="1673"/>
      <c r="J252" s="1673"/>
      <c r="K252" s="1678">
        <f t="shared" si="21"/>
        <v>0</v>
      </c>
      <c r="L252" s="1573">
        <v>0</v>
      </c>
    </row>
    <row r="253" spans="1:12" x14ac:dyDescent="0.2">
      <c r="A253" s="1275" t="s">
        <v>237</v>
      </c>
      <c r="B253" s="494" t="s">
        <v>284</v>
      </c>
      <c r="C253" s="1673"/>
      <c r="D253" s="1579">
        <v>0</v>
      </c>
      <c r="E253" s="1673"/>
      <c r="F253" s="1673"/>
      <c r="G253" s="1673"/>
      <c r="H253" s="1673"/>
      <c r="I253" s="1673"/>
      <c r="J253" s="1673"/>
      <c r="K253" s="1678">
        <f t="shared" si="21"/>
        <v>0</v>
      </c>
      <c r="L253" s="1573">
        <v>0</v>
      </c>
    </row>
    <row r="254" spans="1:12" ht="22.5" x14ac:dyDescent="0.2">
      <c r="A254" s="1275" t="s">
        <v>1022</v>
      </c>
      <c r="B254" s="557" t="s">
        <v>285</v>
      </c>
      <c r="C254" s="1673"/>
      <c r="D254" s="1579">
        <v>0</v>
      </c>
      <c r="E254" s="1673"/>
      <c r="F254" s="1673"/>
      <c r="G254" s="1673"/>
      <c r="H254" s="1673"/>
      <c r="I254" s="1673"/>
      <c r="J254" s="1673"/>
      <c r="K254" s="1678">
        <f t="shared" si="21"/>
        <v>0</v>
      </c>
      <c r="L254" s="1573">
        <v>0</v>
      </c>
    </row>
    <row r="255" spans="1:12" x14ac:dyDescent="0.2">
      <c r="A255" s="1275" t="s">
        <v>1023</v>
      </c>
      <c r="B255" s="494" t="s">
        <v>286</v>
      </c>
      <c r="C255" s="1673"/>
      <c r="D255" s="1579">
        <v>0</v>
      </c>
      <c r="E255" s="1673"/>
      <c r="F255" s="1673"/>
      <c r="G255" s="1673"/>
      <c r="H255" s="1673"/>
      <c r="I255" s="1673"/>
      <c r="J255" s="1673"/>
      <c r="K255" s="1678">
        <f t="shared" si="21"/>
        <v>0</v>
      </c>
      <c r="L255" s="1573">
        <v>0</v>
      </c>
    </row>
    <row r="256" spans="1:12" x14ac:dyDescent="0.2">
      <c r="A256" s="1275" t="s">
        <v>965</v>
      </c>
      <c r="B256" s="503" t="s">
        <v>287</v>
      </c>
      <c r="C256" s="1673"/>
      <c r="D256" s="1579">
        <v>0</v>
      </c>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12569</v>
      </c>
      <c r="E257" s="1673"/>
      <c r="F257" s="1673"/>
      <c r="G257" s="1673"/>
      <c r="H257" s="1673"/>
      <c r="I257" s="1673"/>
      <c r="J257" s="1673"/>
      <c r="K257" s="1674">
        <f>SUM(K245:K256)</f>
        <v>12569</v>
      </c>
      <c r="L257" s="1674">
        <f>SUM(L245:L256)</f>
        <v>11650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18698</v>
      </c>
      <c r="E259" s="1673"/>
      <c r="F259" s="1673"/>
      <c r="G259" s="1673"/>
      <c r="H259" s="1673"/>
      <c r="I259" s="1673"/>
      <c r="J259" s="1673"/>
      <c r="K259" s="1678">
        <f>D259</f>
        <v>18698</v>
      </c>
      <c r="L259" s="1586">
        <v>17800</v>
      </c>
    </row>
    <row r="260" spans="1:14" s="493" customFormat="1" x14ac:dyDescent="0.2">
      <c r="A260" s="1292" t="s">
        <v>1781</v>
      </c>
      <c r="B260" s="512">
        <v>2490</v>
      </c>
      <c r="C260" s="1673"/>
      <c r="D260" s="1573">
        <v>0</v>
      </c>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18698</v>
      </c>
      <c r="E261" s="1673"/>
      <c r="F261" s="1673"/>
      <c r="G261" s="1673"/>
      <c r="H261" s="1673"/>
      <c r="I261" s="1673"/>
      <c r="J261" s="1673"/>
      <c r="K261" s="1674">
        <f>SUM(K259:K260)</f>
        <v>18698</v>
      </c>
      <c r="L261" s="1674">
        <f>SUM(L259:L260)</f>
        <v>17800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0</v>
      </c>
      <c r="E263" s="1673"/>
      <c r="F263" s="1673"/>
      <c r="G263" s="1673"/>
      <c r="H263" s="1673"/>
      <c r="I263" s="1673"/>
      <c r="J263" s="1673"/>
      <c r="K263" s="1678">
        <f>D263</f>
        <v>0</v>
      </c>
      <c r="L263" s="1586">
        <v>0</v>
      </c>
    </row>
    <row r="264" spans="1:14" x14ac:dyDescent="0.2">
      <c r="A264" s="1274" t="s">
        <v>460</v>
      </c>
      <c r="B264" s="559">
        <v>2520</v>
      </c>
      <c r="C264" s="1673"/>
      <c r="D264" s="1573">
        <v>10966</v>
      </c>
      <c r="E264" s="1673"/>
      <c r="F264" s="1673"/>
      <c r="G264" s="1673"/>
      <c r="H264" s="1673"/>
      <c r="I264" s="1673"/>
      <c r="J264" s="1673"/>
      <c r="K264" s="1678">
        <f t="shared" ref="K264:K269" si="22">D264</f>
        <v>10966</v>
      </c>
      <c r="L264" s="1573">
        <v>10650</v>
      </c>
    </row>
    <row r="265" spans="1:14" x14ac:dyDescent="0.2">
      <c r="A265" s="1274" t="s">
        <v>4</v>
      </c>
      <c r="B265" s="503">
        <v>2530</v>
      </c>
      <c r="C265" s="1673"/>
      <c r="D265" s="1573">
        <v>0</v>
      </c>
      <c r="E265" s="1673"/>
      <c r="F265" s="1673"/>
      <c r="G265" s="1673"/>
      <c r="H265" s="1673"/>
      <c r="I265" s="1673"/>
      <c r="J265" s="1673"/>
      <c r="K265" s="1678">
        <f t="shared" si="22"/>
        <v>0</v>
      </c>
      <c r="L265" s="1573">
        <v>0</v>
      </c>
    </row>
    <row r="266" spans="1:14" x14ac:dyDescent="0.2">
      <c r="A266" s="1274" t="s">
        <v>195</v>
      </c>
      <c r="B266" s="503">
        <v>2540</v>
      </c>
      <c r="C266" s="1673"/>
      <c r="D266" s="1573">
        <v>36031</v>
      </c>
      <c r="E266" s="1673"/>
      <c r="F266" s="1673"/>
      <c r="G266" s="1673"/>
      <c r="H266" s="1673"/>
      <c r="I266" s="1673"/>
      <c r="J266" s="1673"/>
      <c r="K266" s="1678">
        <f t="shared" si="22"/>
        <v>36031</v>
      </c>
      <c r="L266" s="1573">
        <v>37105</v>
      </c>
    </row>
    <row r="267" spans="1:14" x14ac:dyDescent="0.2">
      <c r="A267" s="1274" t="s">
        <v>947</v>
      </c>
      <c r="B267" s="503">
        <v>2550</v>
      </c>
      <c r="C267" s="1673"/>
      <c r="D267" s="1573">
        <v>45906</v>
      </c>
      <c r="E267" s="1673"/>
      <c r="F267" s="1673"/>
      <c r="G267" s="1673"/>
      <c r="H267" s="1673"/>
      <c r="I267" s="1673"/>
      <c r="J267" s="1673"/>
      <c r="K267" s="1678">
        <f t="shared" si="22"/>
        <v>45906</v>
      </c>
      <c r="L267" s="1573">
        <v>44250</v>
      </c>
    </row>
    <row r="268" spans="1:14" x14ac:dyDescent="0.2">
      <c r="A268" s="1274" t="s">
        <v>100</v>
      </c>
      <c r="B268" s="503">
        <v>2560</v>
      </c>
      <c r="C268" s="1673"/>
      <c r="D268" s="1573">
        <v>17694</v>
      </c>
      <c r="E268" s="1673"/>
      <c r="F268" s="1673"/>
      <c r="G268" s="1673"/>
      <c r="H268" s="1673"/>
      <c r="I268" s="1673"/>
      <c r="J268" s="1673"/>
      <c r="K268" s="1678">
        <f t="shared" si="22"/>
        <v>17694</v>
      </c>
      <c r="L268" s="1573">
        <v>17600</v>
      </c>
    </row>
    <row r="269" spans="1:14" x14ac:dyDescent="0.2">
      <c r="A269" s="1274" t="s">
        <v>101</v>
      </c>
      <c r="B269" s="503">
        <v>2570</v>
      </c>
      <c r="C269" s="1673"/>
      <c r="D269" s="1573">
        <v>0</v>
      </c>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110597</v>
      </c>
      <c r="E270" s="1673"/>
      <c r="F270" s="1673"/>
      <c r="G270" s="1673"/>
      <c r="H270" s="1673"/>
      <c r="I270" s="1673"/>
      <c r="J270" s="1673"/>
      <c r="K270" s="1674">
        <f>SUM(K263:K269)</f>
        <v>110597</v>
      </c>
      <c r="L270" s="1674">
        <f>SUM(L263:L269)</f>
        <v>109605</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v>0</v>
      </c>
      <c r="E272" s="1673"/>
      <c r="F272" s="1673"/>
      <c r="G272" s="1673"/>
      <c r="H272" s="1673"/>
      <c r="I272" s="1673"/>
      <c r="J272" s="1673"/>
      <c r="K272" s="1678">
        <f>D272</f>
        <v>0</v>
      </c>
      <c r="L272" s="1586">
        <v>0</v>
      </c>
    </row>
    <row r="273" spans="1:12" x14ac:dyDescent="0.2">
      <c r="A273" s="1274" t="s">
        <v>603</v>
      </c>
      <c r="B273" s="512">
        <v>2620</v>
      </c>
      <c r="C273" s="1673"/>
      <c r="D273" s="1573">
        <v>0</v>
      </c>
      <c r="E273" s="1673"/>
      <c r="F273" s="1673"/>
      <c r="G273" s="1673"/>
      <c r="H273" s="1673"/>
      <c r="I273" s="1673"/>
      <c r="J273" s="1673"/>
      <c r="K273" s="1678">
        <f>D273</f>
        <v>0</v>
      </c>
      <c r="L273" s="1573">
        <v>0</v>
      </c>
    </row>
    <row r="274" spans="1:12" ht="12" customHeight="1" x14ac:dyDescent="0.2">
      <c r="A274" s="1274" t="s">
        <v>1052</v>
      </c>
      <c r="B274" s="503">
        <v>2630</v>
      </c>
      <c r="C274" s="1673"/>
      <c r="D274" s="1573">
        <v>0</v>
      </c>
      <c r="E274" s="1673"/>
      <c r="F274" s="1673"/>
      <c r="G274" s="1673"/>
      <c r="H274" s="1673"/>
      <c r="I274" s="1673"/>
      <c r="J274" s="1673"/>
      <c r="K274" s="1678">
        <f>D274</f>
        <v>0</v>
      </c>
      <c r="L274" s="1573">
        <v>0</v>
      </c>
    </row>
    <row r="275" spans="1:12" x14ac:dyDescent="0.2">
      <c r="A275" s="1274" t="s">
        <v>400</v>
      </c>
      <c r="B275" s="503">
        <v>2640</v>
      </c>
      <c r="C275" s="1673"/>
      <c r="D275" s="1573">
        <v>0</v>
      </c>
      <c r="E275" s="1673"/>
      <c r="F275" s="1673"/>
      <c r="G275" s="1673"/>
      <c r="H275" s="1673"/>
      <c r="I275" s="1673"/>
      <c r="J275" s="1673"/>
      <c r="K275" s="1678">
        <f>D275</f>
        <v>0</v>
      </c>
      <c r="L275" s="1573">
        <v>0</v>
      </c>
    </row>
    <row r="276" spans="1:12" x14ac:dyDescent="0.2">
      <c r="A276" s="1274" t="s">
        <v>401</v>
      </c>
      <c r="B276" s="503">
        <v>2660</v>
      </c>
      <c r="C276" s="1673"/>
      <c r="D276" s="1573">
        <v>0</v>
      </c>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v>0</v>
      </c>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153240</v>
      </c>
      <c r="E279" s="1673"/>
      <c r="F279" s="1673"/>
      <c r="G279" s="1673"/>
      <c r="H279" s="1673"/>
      <c r="I279" s="1673"/>
      <c r="J279" s="1673"/>
      <c r="K279" s="1681">
        <f>SUM(K238,K243,K257,K261,K270,K277,K278)</f>
        <v>153240</v>
      </c>
      <c r="L279" s="1681">
        <f>SUM(L238,L243,L257,L261,L270,L277,L278)</f>
        <v>152100</v>
      </c>
    </row>
    <row r="280" spans="1:12" ht="15.75" customHeight="1" thickTop="1" thickBot="1" x14ac:dyDescent="0.25">
      <c r="A280" s="1362" t="s">
        <v>870</v>
      </c>
      <c r="B280" s="1351">
        <v>3000</v>
      </c>
      <c r="C280" s="1673"/>
      <c r="D280" s="1651">
        <v>2900</v>
      </c>
      <c r="E280" s="1673"/>
      <c r="F280" s="1673"/>
      <c r="G280" s="1673"/>
      <c r="H280" s="1673"/>
      <c r="I280" s="1673"/>
      <c r="J280" s="1673"/>
      <c r="K280" s="1687">
        <f>D280</f>
        <v>2900</v>
      </c>
      <c r="L280" s="1651">
        <v>2975</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v>0</v>
      </c>
      <c r="E282" s="1673"/>
      <c r="F282" s="1673"/>
      <c r="G282" s="1673"/>
      <c r="H282" s="1673"/>
      <c r="I282" s="1673"/>
      <c r="J282" s="1673"/>
      <c r="K282" s="1672">
        <f>D282</f>
        <v>0</v>
      </c>
      <c r="L282" s="1574">
        <v>0</v>
      </c>
    </row>
    <row r="283" spans="1:12" x14ac:dyDescent="0.2">
      <c r="A283" s="1274" t="s">
        <v>301</v>
      </c>
      <c r="B283" s="503">
        <v>4120</v>
      </c>
      <c r="C283" s="1673"/>
      <c r="D283" s="1573">
        <v>19342</v>
      </c>
      <c r="E283" s="1673"/>
      <c r="F283" s="1673"/>
      <c r="G283" s="1673"/>
      <c r="H283" s="1673"/>
      <c r="I283" s="1673"/>
      <c r="J283" s="1673"/>
      <c r="K283" s="1672">
        <f>D283</f>
        <v>19342</v>
      </c>
      <c r="L283" s="1573">
        <v>20250</v>
      </c>
    </row>
    <row r="284" spans="1:12" x14ac:dyDescent="0.2">
      <c r="A284" s="1274" t="s">
        <v>692</v>
      </c>
      <c r="B284" s="503">
        <v>4140</v>
      </c>
      <c r="C284" s="1673"/>
      <c r="D284" s="1574">
        <v>0</v>
      </c>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19342</v>
      </c>
      <c r="E285" s="1673"/>
      <c r="F285" s="1673"/>
      <c r="G285" s="1673"/>
      <c r="H285" s="1673"/>
      <c r="I285" s="1673"/>
      <c r="J285" s="1673"/>
      <c r="K285" s="1674">
        <f>SUM(K282:K284)</f>
        <v>19342</v>
      </c>
      <c r="L285" s="1674">
        <f>SUM(L282:L284)</f>
        <v>20250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1160</v>
      </c>
      <c r="B290" s="512" t="s">
        <v>613</v>
      </c>
      <c r="C290" s="1673"/>
      <c r="D290" s="1673"/>
      <c r="E290" s="1673"/>
      <c r="F290" s="1673"/>
      <c r="G290" s="1673"/>
      <c r="H290" s="1573">
        <v>0</v>
      </c>
      <c r="I290" s="1673"/>
      <c r="J290" s="1673"/>
      <c r="K290" s="1672">
        <f>H290</f>
        <v>0</v>
      </c>
      <c r="L290" s="1573">
        <v>0</v>
      </c>
    </row>
    <row r="291" spans="1:14" x14ac:dyDescent="0.2">
      <c r="A291" s="1274" t="s">
        <v>89</v>
      </c>
      <c r="B291" s="503" t="s">
        <v>585</v>
      </c>
      <c r="C291" s="1673"/>
      <c r="D291" s="1673"/>
      <c r="E291" s="1673"/>
      <c r="F291" s="1673"/>
      <c r="G291" s="1673"/>
      <c r="H291" s="1573">
        <v>0</v>
      </c>
      <c r="I291" s="1673"/>
      <c r="J291" s="1673"/>
      <c r="K291" s="1672">
        <f>H291</f>
        <v>0</v>
      </c>
      <c r="L291" s="1573">
        <v>0</v>
      </c>
    </row>
    <row r="292" spans="1:14" x14ac:dyDescent="0.2">
      <c r="A292" s="1274" t="s">
        <v>757</v>
      </c>
      <c r="B292" s="503" t="s">
        <v>614</v>
      </c>
      <c r="C292" s="1673"/>
      <c r="D292" s="1673"/>
      <c r="E292" s="1673"/>
      <c r="F292" s="1673"/>
      <c r="G292" s="1673"/>
      <c r="H292" s="1573">
        <v>0</v>
      </c>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279" t="s">
        <v>502</v>
      </c>
      <c r="B295" s="2280"/>
      <c r="C295" s="1673"/>
      <c r="D295" s="1674">
        <f>SUM(D229,D279,D280,D285)</f>
        <v>221669</v>
      </c>
      <c r="E295" s="1673"/>
      <c r="F295" s="1673"/>
      <c r="G295" s="1673"/>
      <c r="H295" s="1674">
        <f>H293</f>
        <v>0</v>
      </c>
      <c r="I295" s="1673"/>
      <c r="J295" s="1673"/>
      <c r="K295" s="1674">
        <f>SUM(K229,K279,K280,K285,K293,K294)</f>
        <v>221669</v>
      </c>
      <c r="L295" s="1674">
        <f>SUM(L229,L279,L280,L285,L293,L294)</f>
        <v>223448</v>
      </c>
    </row>
    <row r="296" spans="1:14" ht="13.5" thickTop="1" x14ac:dyDescent="0.2">
      <c r="A296" s="2261" t="s">
        <v>989</v>
      </c>
      <c r="B296" s="2262"/>
      <c r="C296" s="1673"/>
      <c r="D296" s="1675"/>
      <c r="E296" s="1673"/>
      <c r="F296" s="1673"/>
      <c r="G296" s="1673"/>
      <c r="H296" s="1707"/>
      <c r="I296" s="1673"/>
      <c r="J296" s="1673"/>
      <c r="K296" s="1689">
        <f>'Revenues 9-14'!G268-'Expenditures 15-22'!K295</f>
        <v>-17354</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1" t="s">
        <v>142</v>
      </c>
      <c r="B298" s="2265"/>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v>0</v>
      </c>
      <c r="D301" s="1573">
        <v>0</v>
      </c>
      <c r="E301" s="1573">
        <v>33640</v>
      </c>
      <c r="F301" s="1573">
        <v>0</v>
      </c>
      <c r="G301" s="1573">
        <v>157759</v>
      </c>
      <c r="H301" s="1573">
        <v>0</v>
      </c>
      <c r="I301" s="1574">
        <v>0</v>
      </c>
      <c r="J301" s="1574">
        <v>0</v>
      </c>
      <c r="K301" s="1672">
        <f>SUM(C301:J301)</f>
        <v>191399</v>
      </c>
      <c r="L301" s="1574">
        <v>250000</v>
      </c>
    </row>
    <row r="302" spans="1:14" ht="13.5" customHeight="1" x14ac:dyDescent="0.2">
      <c r="A302" s="1287" t="s">
        <v>973</v>
      </c>
      <c r="B302" s="503" t="s">
        <v>570</v>
      </c>
      <c r="C302" s="1573">
        <v>0</v>
      </c>
      <c r="D302" s="1573">
        <v>0</v>
      </c>
      <c r="E302" s="1573">
        <v>0</v>
      </c>
      <c r="F302" s="1573">
        <v>0</v>
      </c>
      <c r="G302" s="1573">
        <v>0</v>
      </c>
      <c r="H302" s="1573">
        <v>0</v>
      </c>
      <c r="I302" s="1574">
        <v>0</v>
      </c>
      <c r="J302" s="1574">
        <v>0</v>
      </c>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33640</v>
      </c>
      <c r="F303" s="1681">
        <f t="shared" si="23"/>
        <v>0</v>
      </c>
      <c r="G303" s="1681">
        <f t="shared" si="23"/>
        <v>157759</v>
      </c>
      <c r="H303" s="1681">
        <f t="shared" si="23"/>
        <v>0</v>
      </c>
      <c r="I303" s="1681">
        <f t="shared" si="23"/>
        <v>0</v>
      </c>
      <c r="J303" s="1681">
        <f t="shared" si="23"/>
        <v>0</v>
      </c>
      <c r="K303" s="1681">
        <f t="shared" si="23"/>
        <v>191399</v>
      </c>
      <c r="L303" s="1681">
        <f t="shared" si="23"/>
        <v>250000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v>0</v>
      </c>
      <c r="F306" s="1673"/>
      <c r="G306" s="1673"/>
      <c r="H306" s="1574">
        <v>0</v>
      </c>
      <c r="I306" s="1673"/>
      <c r="J306" s="1673"/>
      <c r="K306" s="1672">
        <f>SUM(E306,H306)</f>
        <v>0</v>
      </c>
      <c r="L306" s="1574">
        <v>0</v>
      </c>
    </row>
    <row r="307" spans="1:14" x14ac:dyDescent="0.2">
      <c r="A307" s="1274" t="s">
        <v>301</v>
      </c>
      <c r="B307" s="503">
        <v>4120</v>
      </c>
      <c r="C307" s="1673"/>
      <c r="D307" s="1673"/>
      <c r="E307" s="1574">
        <v>0</v>
      </c>
      <c r="F307" s="1673"/>
      <c r="G307" s="1673"/>
      <c r="H307" s="1574">
        <v>0</v>
      </c>
      <c r="I307" s="1582"/>
      <c r="J307" s="1673"/>
      <c r="K307" s="1672">
        <f>SUM(E307,H307)</f>
        <v>0</v>
      </c>
      <c r="L307" s="1573">
        <v>0</v>
      </c>
    </row>
    <row r="308" spans="1:14" x14ac:dyDescent="0.2">
      <c r="A308" s="1274" t="s">
        <v>692</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693</v>
      </c>
      <c r="B309" s="512">
        <v>4190</v>
      </c>
      <c r="C309" s="1673"/>
      <c r="D309" s="1673"/>
      <c r="E309" s="1574">
        <v>0</v>
      </c>
      <c r="F309" s="1673"/>
      <c r="G309" s="1673"/>
      <c r="H309" s="1574">
        <v>0</v>
      </c>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276" t="s">
        <v>275</v>
      </c>
      <c r="B312" s="2277"/>
      <c r="C312" s="1674">
        <f>SUM(C303)</f>
        <v>0</v>
      </c>
      <c r="D312" s="1674">
        <f>SUM(D303)</f>
        <v>0</v>
      </c>
      <c r="E312" s="1674">
        <f>SUM(E303,E310)</f>
        <v>33640</v>
      </c>
      <c r="F312" s="1674">
        <f>SUM(F303)</f>
        <v>0</v>
      </c>
      <c r="G312" s="1674">
        <f>SUM(G303)</f>
        <v>157759</v>
      </c>
      <c r="H312" s="1674">
        <f>SUM(H303,H310)</f>
        <v>0</v>
      </c>
      <c r="I312" s="1674">
        <f>SUM(I303)</f>
        <v>0</v>
      </c>
      <c r="J312" s="1674">
        <f>SUM(J303)</f>
        <v>0</v>
      </c>
      <c r="K312" s="1674">
        <f>SUM(K303,K310,K311)</f>
        <v>191399</v>
      </c>
      <c r="L312" s="1674">
        <f>SUM(L303,L310,L311)</f>
        <v>250000</v>
      </c>
      <c r="M312" s="539"/>
      <c r="N312" s="539"/>
    </row>
    <row r="313" spans="1:14" ht="13.5" thickTop="1" x14ac:dyDescent="0.2">
      <c r="A313" s="2272" t="s">
        <v>989</v>
      </c>
      <c r="B313" s="2273"/>
      <c r="C313" s="1677"/>
      <c r="D313" s="1677"/>
      <c r="E313" s="1677"/>
      <c r="F313" s="1677"/>
      <c r="G313" s="1677"/>
      <c r="H313" s="1677"/>
      <c r="I313" s="1677"/>
      <c r="J313" s="1677"/>
      <c r="K313" s="1696">
        <f>'Revenues 9-14'!H268-'Expenditures 15-22'!K312</f>
        <v>-37717</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5" t="s">
        <v>148</v>
      </c>
      <c r="B315" s="2286"/>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7" t="s">
        <v>892</v>
      </c>
      <c r="B317" s="2286"/>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v>0</v>
      </c>
      <c r="D319" s="1574">
        <v>0</v>
      </c>
      <c r="E319" s="1574">
        <v>0</v>
      </c>
      <c r="F319" s="1574">
        <v>0</v>
      </c>
      <c r="G319" s="1574">
        <v>0</v>
      </c>
      <c r="H319" s="1574">
        <v>0</v>
      </c>
      <c r="I319" s="1574">
        <v>0</v>
      </c>
      <c r="J319" s="1574">
        <v>0</v>
      </c>
      <c r="K319" s="1672">
        <f>SUM(C319:J319)</f>
        <v>0</v>
      </c>
      <c r="L319" s="1574">
        <v>0</v>
      </c>
      <c r="M319" s="539"/>
      <c r="N319" s="539"/>
    </row>
    <row r="320" spans="1:14" s="548" customFormat="1" x14ac:dyDescent="0.2">
      <c r="A320" s="1293" t="s">
        <v>1782</v>
      </c>
      <c r="B320" s="568" t="s">
        <v>280</v>
      </c>
      <c r="C320" s="1574">
        <v>0</v>
      </c>
      <c r="D320" s="1574">
        <v>0</v>
      </c>
      <c r="E320" s="1574">
        <v>0</v>
      </c>
      <c r="F320" s="1574">
        <v>0</v>
      </c>
      <c r="G320" s="1574">
        <v>0</v>
      </c>
      <c r="H320" s="1574">
        <v>0</v>
      </c>
      <c r="I320" s="1574">
        <v>0</v>
      </c>
      <c r="J320" s="1574">
        <v>0</v>
      </c>
      <c r="K320" s="1672">
        <f t="shared" ref="K320:K327" si="24">SUM(C320:J320)</f>
        <v>0</v>
      </c>
      <c r="L320" s="1574">
        <v>0</v>
      </c>
      <c r="M320" s="539"/>
      <c r="N320" s="539"/>
    </row>
    <row r="321" spans="1:14" s="548" customFormat="1" x14ac:dyDescent="0.2">
      <c r="A321" s="1289" t="s">
        <v>297</v>
      </c>
      <c r="B321" s="567" t="s">
        <v>281</v>
      </c>
      <c r="C321" s="1574">
        <v>0</v>
      </c>
      <c r="D321" s="1574">
        <v>0</v>
      </c>
      <c r="E321" s="1574">
        <v>586</v>
      </c>
      <c r="F321" s="1574">
        <v>0</v>
      </c>
      <c r="G321" s="1574">
        <v>0</v>
      </c>
      <c r="H321" s="1574">
        <v>0</v>
      </c>
      <c r="I321" s="1574">
        <v>0</v>
      </c>
      <c r="J321" s="1574">
        <v>0</v>
      </c>
      <c r="K321" s="1672">
        <f t="shared" si="24"/>
        <v>586</v>
      </c>
      <c r="L321" s="1574">
        <v>1000</v>
      </c>
      <c r="M321" s="539"/>
      <c r="N321" s="539"/>
    </row>
    <row r="322" spans="1:14" s="548" customFormat="1" x14ac:dyDescent="0.2">
      <c r="A322" s="1289" t="s">
        <v>236</v>
      </c>
      <c r="B322" s="567" t="s">
        <v>282</v>
      </c>
      <c r="C322" s="1574">
        <v>0</v>
      </c>
      <c r="D322" s="1574">
        <v>0</v>
      </c>
      <c r="E322" s="1574">
        <v>91751</v>
      </c>
      <c r="F322" s="1574">
        <v>0</v>
      </c>
      <c r="G322" s="1574">
        <v>0</v>
      </c>
      <c r="H322" s="1574">
        <v>0</v>
      </c>
      <c r="I322" s="1574">
        <v>0</v>
      </c>
      <c r="J322" s="1574">
        <v>0</v>
      </c>
      <c r="K322" s="1672">
        <f t="shared" si="24"/>
        <v>91751</v>
      </c>
      <c r="L322" s="1574">
        <v>105700</v>
      </c>
      <c r="M322" s="539"/>
      <c r="N322" s="539"/>
    </row>
    <row r="323" spans="1:14" s="548" customFormat="1" x14ac:dyDescent="0.2">
      <c r="A323" s="1289" t="s">
        <v>697</v>
      </c>
      <c r="B323" s="567" t="s">
        <v>283</v>
      </c>
      <c r="C323" s="1574">
        <v>0</v>
      </c>
      <c r="D323" s="1574">
        <v>0</v>
      </c>
      <c r="E323" s="1574">
        <v>88039</v>
      </c>
      <c r="F323" s="1574">
        <v>0</v>
      </c>
      <c r="G323" s="1574">
        <v>14516</v>
      </c>
      <c r="H323" s="1574">
        <v>0</v>
      </c>
      <c r="I323" s="1574">
        <v>0</v>
      </c>
      <c r="J323" s="1574">
        <v>0</v>
      </c>
      <c r="K323" s="1672">
        <f t="shared" si="24"/>
        <v>102555</v>
      </c>
      <c r="L323" s="1574">
        <v>102000</v>
      </c>
      <c r="M323" s="539"/>
      <c r="N323" s="539"/>
    </row>
    <row r="324" spans="1:14" s="548" customFormat="1" x14ac:dyDescent="0.2">
      <c r="A324" s="1289" t="s">
        <v>237</v>
      </c>
      <c r="B324" s="567" t="s">
        <v>284</v>
      </c>
      <c r="C324" s="1574">
        <v>0</v>
      </c>
      <c r="D324" s="1574">
        <v>0</v>
      </c>
      <c r="E324" s="1574">
        <v>0</v>
      </c>
      <c r="F324" s="1574">
        <v>0</v>
      </c>
      <c r="G324" s="1574">
        <v>0</v>
      </c>
      <c r="H324" s="1574">
        <v>0</v>
      </c>
      <c r="I324" s="1574">
        <v>0</v>
      </c>
      <c r="J324" s="1574">
        <v>0</v>
      </c>
      <c r="K324" s="1672">
        <f t="shared" si="24"/>
        <v>0</v>
      </c>
      <c r="L324" s="1574">
        <v>0</v>
      </c>
      <c r="M324" s="539"/>
      <c r="N324" s="539"/>
    </row>
    <row r="325" spans="1:14" s="548" customFormat="1" ht="22.5" x14ac:dyDescent="0.2">
      <c r="A325" s="1289" t="s">
        <v>1022</v>
      </c>
      <c r="B325" s="568" t="s">
        <v>285</v>
      </c>
      <c r="C325" s="1574">
        <v>337382</v>
      </c>
      <c r="D325" s="1574">
        <v>10709</v>
      </c>
      <c r="E325" s="1574">
        <v>0</v>
      </c>
      <c r="F325" s="1574">
        <v>0</v>
      </c>
      <c r="G325" s="1574">
        <v>0</v>
      </c>
      <c r="H325" s="1574">
        <v>0</v>
      </c>
      <c r="I325" s="1574">
        <v>0</v>
      </c>
      <c r="J325" s="1574">
        <v>0</v>
      </c>
      <c r="K325" s="1672">
        <f t="shared" si="24"/>
        <v>348091</v>
      </c>
      <c r="L325" s="1574">
        <v>485000</v>
      </c>
      <c r="M325" s="539"/>
      <c r="N325" s="539"/>
    </row>
    <row r="326" spans="1:14" s="548" customFormat="1" x14ac:dyDescent="0.2">
      <c r="A326" s="1289" t="s">
        <v>1023</v>
      </c>
      <c r="B326" s="567" t="s">
        <v>286</v>
      </c>
      <c r="C326" s="1574">
        <v>0</v>
      </c>
      <c r="D326" s="1574">
        <v>0</v>
      </c>
      <c r="E326" s="1574">
        <v>0</v>
      </c>
      <c r="F326" s="1574">
        <v>0</v>
      </c>
      <c r="G326" s="1574">
        <v>0</v>
      </c>
      <c r="H326" s="1574">
        <v>0</v>
      </c>
      <c r="I326" s="1574">
        <v>0</v>
      </c>
      <c r="J326" s="1574">
        <v>0</v>
      </c>
      <c r="K326" s="1672">
        <f t="shared" si="24"/>
        <v>0</v>
      </c>
      <c r="L326" s="1574">
        <v>0</v>
      </c>
      <c r="M326" s="539"/>
      <c r="N326" s="539"/>
    </row>
    <row r="327" spans="1:14" s="548" customFormat="1" x14ac:dyDescent="0.2">
      <c r="A327" s="1289" t="s">
        <v>965</v>
      </c>
      <c r="B327" s="567" t="s">
        <v>287</v>
      </c>
      <c r="C327" s="1574">
        <v>0</v>
      </c>
      <c r="D327" s="1574">
        <v>0</v>
      </c>
      <c r="E327" s="1574">
        <v>3475</v>
      </c>
      <c r="F327" s="1574">
        <v>0</v>
      </c>
      <c r="G327" s="1574">
        <v>0</v>
      </c>
      <c r="H327" s="1574">
        <v>0</v>
      </c>
      <c r="I327" s="1574">
        <v>0</v>
      </c>
      <c r="J327" s="1574">
        <v>0</v>
      </c>
      <c r="K327" s="1672">
        <f t="shared" si="24"/>
        <v>3475</v>
      </c>
      <c r="L327" s="1574">
        <v>10000</v>
      </c>
      <c r="M327" s="539"/>
      <c r="N327" s="539"/>
    </row>
    <row r="328" spans="1:14" s="548" customFormat="1" x14ac:dyDescent="0.2">
      <c r="A328" s="1290" t="s">
        <v>469</v>
      </c>
      <c r="B328" s="562" t="s">
        <v>1122</v>
      </c>
      <c r="C328" s="1579">
        <v>0</v>
      </c>
      <c r="D328" s="1579">
        <v>0</v>
      </c>
      <c r="E328" s="1579">
        <v>0</v>
      </c>
      <c r="F328" s="1579">
        <v>0</v>
      </c>
      <c r="G328" s="1579">
        <v>0</v>
      </c>
      <c r="H328" s="1579">
        <v>0</v>
      </c>
      <c r="I328" s="1579">
        <v>0</v>
      </c>
      <c r="J328" s="1579">
        <v>0</v>
      </c>
      <c r="K328" s="1713">
        <f>SUM(C328:J328)</f>
        <v>0</v>
      </c>
      <c r="L328" s="1579">
        <v>0</v>
      </c>
      <c r="M328" s="539"/>
      <c r="N328" s="539"/>
    </row>
    <row r="329" spans="1:14" s="548" customFormat="1" x14ac:dyDescent="0.2">
      <c r="A329" s="1290" t="s">
        <v>1123</v>
      </c>
      <c r="B329" s="562" t="s">
        <v>1124</v>
      </c>
      <c r="C329" s="1579">
        <v>0</v>
      </c>
      <c r="D329" s="1579">
        <v>0</v>
      </c>
      <c r="E329" s="1579">
        <v>0</v>
      </c>
      <c r="F329" s="1579">
        <v>0</v>
      </c>
      <c r="G329" s="1579">
        <v>0</v>
      </c>
      <c r="H329" s="1579">
        <v>0</v>
      </c>
      <c r="I329" s="1579">
        <v>0</v>
      </c>
      <c r="J329" s="1579">
        <v>0</v>
      </c>
      <c r="K329" s="1713">
        <f>SUM(C329:J329)</f>
        <v>0</v>
      </c>
      <c r="L329" s="1579">
        <v>0</v>
      </c>
      <c r="M329" s="539"/>
      <c r="N329" s="539"/>
    </row>
    <row r="330" spans="1:14" s="548" customFormat="1" ht="12.75" customHeight="1" thickBot="1" x14ac:dyDescent="0.25">
      <c r="A330" s="1401" t="s">
        <v>712</v>
      </c>
      <c r="B330" s="1381" t="s">
        <v>565</v>
      </c>
      <c r="C330" s="1674">
        <f>SUM(C319:C329)</f>
        <v>337382</v>
      </c>
      <c r="D330" s="1674">
        <f t="shared" ref="D330:J330" si="25">SUM(D319:D329)</f>
        <v>10709</v>
      </c>
      <c r="E330" s="1674">
        <f t="shared" si="25"/>
        <v>183851</v>
      </c>
      <c r="F330" s="1674">
        <f t="shared" si="25"/>
        <v>0</v>
      </c>
      <c r="G330" s="1674">
        <f t="shared" si="25"/>
        <v>14516</v>
      </c>
      <c r="H330" s="1674">
        <f t="shared" si="25"/>
        <v>0</v>
      </c>
      <c r="I330" s="1674">
        <f t="shared" si="25"/>
        <v>0</v>
      </c>
      <c r="J330" s="1674">
        <f t="shared" si="25"/>
        <v>0</v>
      </c>
      <c r="K330" s="1674">
        <f>SUM(K319:K329)</f>
        <v>546458</v>
      </c>
      <c r="L330" s="1674">
        <f>SUM(L319:L329)</f>
        <v>703700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v>0</v>
      </c>
      <c r="I333" s="1714"/>
      <c r="J333" s="1714"/>
      <c r="K333" s="1672">
        <f>H333</f>
        <v>0</v>
      </c>
      <c r="L333" s="1574">
        <v>0</v>
      </c>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v>0</v>
      </c>
      <c r="I337" s="1684"/>
      <c r="J337" s="1684"/>
      <c r="K337" s="1672">
        <f>H337</f>
        <v>0</v>
      </c>
      <c r="L337" s="1583">
        <v>0</v>
      </c>
    </row>
    <row r="338" spans="1:14" ht="12.75" customHeight="1" x14ac:dyDescent="0.2">
      <c r="A338" s="1288" t="s">
        <v>1160</v>
      </c>
      <c r="B338" s="562" t="s">
        <v>613</v>
      </c>
      <c r="C338" s="1684"/>
      <c r="D338" s="1684"/>
      <c r="E338" s="1684"/>
      <c r="F338" s="1684"/>
      <c r="G338" s="1684"/>
      <c r="H338" s="1583">
        <v>0</v>
      </c>
      <c r="I338" s="1684"/>
      <c r="J338" s="1684"/>
      <c r="K338" s="1672">
        <f>H338</f>
        <v>0</v>
      </c>
      <c r="L338" s="1583">
        <v>0</v>
      </c>
    </row>
    <row r="339" spans="1:14" x14ac:dyDescent="0.2">
      <c r="A339" s="1274" t="s">
        <v>895</v>
      </c>
      <c r="B339" s="512">
        <v>5150</v>
      </c>
      <c r="C339" s="1684"/>
      <c r="D339" s="1684"/>
      <c r="E339" s="1684"/>
      <c r="F339" s="1684"/>
      <c r="G339" s="1684"/>
      <c r="H339" s="1574">
        <v>0</v>
      </c>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337382</v>
      </c>
      <c r="D342" s="1674">
        <f>SUM(D330)</f>
        <v>10709</v>
      </c>
      <c r="E342" s="1674">
        <f>SUM(E330)</f>
        <v>183851</v>
      </c>
      <c r="F342" s="1674">
        <f>SUM(F330)</f>
        <v>0</v>
      </c>
      <c r="G342" s="1674">
        <f>SUM(G330)</f>
        <v>14516</v>
      </c>
      <c r="H342" s="1674">
        <f>SUM(H330,H334,H340)</f>
        <v>0</v>
      </c>
      <c r="I342" s="1674">
        <f>SUM(I330)</f>
        <v>0</v>
      </c>
      <c r="J342" s="1674">
        <f>SUM(J330)</f>
        <v>0</v>
      </c>
      <c r="K342" s="1674">
        <f>SUM(K330,K334,K340)</f>
        <v>546458</v>
      </c>
      <c r="L342" s="1681">
        <f>SUM(L330,L334,L340,L341)</f>
        <v>703700</v>
      </c>
    </row>
    <row r="343" spans="1:14" ht="12.75" customHeight="1" thickTop="1" x14ac:dyDescent="0.2">
      <c r="A343" s="2274" t="s">
        <v>989</v>
      </c>
      <c r="B343" s="2275"/>
      <c r="C343" s="1673"/>
      <c r="D343" s="1673"/>
      <c r="E343" s="1673"/>
      <c r="F343" s="1673"/>
      <c r="G343" s="1673"/>
      <c r="H343" s="1673"/>
      <c r="I343" s="1673"/>
      <c r="J343" s="1673"/>
      <c r="K343" s="1689">
        <f>'Revenues 9-14'!J268-'Expenditures 15-22'!K342</f>
        <v>93350</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4" t="s">
        <v>960</v>
      </c>
      <c r="B345" s="2265"/>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v>0</v>
      </c>
      <c r="D348" s="1573">
        <v>0</v>
      </c>
      <c r="E348" s="1573">
        <v>0</v>
      </c>
      <c r="F348" s="1573">
        <v>0</v>
      </c>
      <c r="G348" s="1573">
        <v>0</v>
      </c>
      <c r="H348" s="1573">
        <v>0</v>
      </c>
      <c r="I348" s="1574">
        <v>0</v>
      </c>
      <c r="J348" s="1574">
        <v>0</v>
      </c>
      <c r="K348" s="1672">
        <f>SUM(C348:J348)</f>
        <v>0</v>
      </c>
      <c r="L348" s="1573">
        <v>0</v>
      </c>
    </row>
    <row r="349" spans="1:14" x14ac:dyDescent="0.2">
      <c r="A349" s="1274" t="s">
        <v>195</v>
      </c>
      <c r="B349" s="503">
        <v>2540</v>
      </c>
      <c r="C349" s="1573">
        <v>0</v>
      </c>
      <c r="D349" s="1573">
        <v>0</v>
      </c>
      <c r="E349" s="1573">
        <v>0</v>
      </c>
      <c r="F349" s="1573">
        <v>0</v>
      </c>
      <c r="G349" s="1573">
        <v>0</v>
      </c>
      <c r="H349" s="1573">
        <v>0</v>
      </c>
      <c r="I349" s="1574">
        <v>0</v>
      </c>
      <c r="J349" s="1574">
        <v>0</v>
      </c>
      <c r="K349" s="1672">
        <f>SUM(C349:J349)</f>
        <v>0</v>
      </c>
      <c r="L349" s="1573">
        <v>45000</v>
      </c>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45000</v>
      </c>
    </row>
    <row r="351" spans="1:14" ht="12.75" customHeight="1" thickTop="1" x14ac:dyDescent="0.2">
      <c r="A351" s="1280" t="s">
        <v>973</v>
      </c>
      <c r="B351" s="521" t="s">
        <v>570</v>
      </c>
      <c r="C351" s="1586">
        <v>0</v>
      </c>
      <c r="D351" s="1586">
        <v>0</v>
      </c>
      <c r="E351" s="1586">
        <v>0</v>
      </c>
      <c r="F351" s="1586">
        <v>0</v>
      </c>
      <c r="G351" s="1586">
        <v>0</v>
      </c>
      <c r="H351" s="1586">
        <v>0</v>
      </c>
      <c r="I351" s="1583">
        <v>0</v>
      </c>
      <c r="J351" s="1583">
        <v>0</v>
      </c>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45000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v>0</v>
      </c>
      <c r="I354" s="1716"/>
      <c r="J354" s="1673"/>
      <c r="K354" s="1713">
        <f>H354</f>
        <v>0</v>
      </c>
      <c r="L354" s="1577">
        <v>0</v>
      </c>
    </row>
    <row r="355" spans="1:14" ht="12.75" customHeight="1" x14ac:dyDescent="0.2">
      <c r="A355" s="1283" t="s">
        <v>1825</v>
      </c>
      <c r="B355" s="562" t="s">
        <v>1818</v>
      </c>
      <c r="C355" s="1673"/>
      <c r="D355" s="1673"/>
      <c r="E355" s="1673"/>
      <c r="F355" s="1673"/>
      <c r="G355" s="1673"/>
      <c r="H355" s="1574">
        <v>0</v>
      </c>
      <c r="I355" s="1716"/>
      <c r="J355" s="1673"/>
      <c r="K355" s="1607">
        <f>H355</f>
        <v>0</v>
      </c>
      <c r="L355" s="1574">
        <v>0</v>
      </c>
    </row>
    <row r="356" spans="1:14" ht="12.75" customHeight="1" x14ac:dyDescent="0.2">
      <c r="A356" s="1469" t="s">
        <v>693</v>
      </c>
      <c r="B356" s="557" t="s">
        <v>554</v>
      </c>
      <c r="C356" s="1673"/>
      <c r="D356" s="1673"/>
      <c r="E356" s="1673"/>
      <c r="F356" s="1673"/>
      <c r="G356" s="1673"/>
      <c r="H356" s="1584">
        <v>0</v>
      </c>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615</v>
      </c>
      <c r="B361" s="494" t="s">
        <v>614</v>
      </c>
      <c r="C361" s="1673"/>
      <c r="D361" s="1673"/>
      <c r="E361" s="1673"/>
      <c r="F361" s="1673"/>
      <c r="G361" s="1673"/>
      <c r="H361" s="1574">
        <v>0</v>
      </c>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45000</v>
      </c>
    </row>
    <row r="368" spans="1:14" ht="13.5" thickTop="1" x14ac:dyDescent="0.2">
      <c r="A368" s="2261" t="s">
        <v>989</v>
      </c>
      <c r="B368" s="2262"/>
      <c r="C368" s="1694"/>
      <c r="D368" s="1694"/>
      <c r="E368" s="1677"/>
      <c r="F368" s="1677"/>
      <c r="G368" s="1677"/>
      <c r="H368" s="1677"/>
      <c r="I368" s="1677"/>
      <c r="J368" s="1676"/>
      <c r="K368" s="1672">
        <f>'Revenues 9-14'!K268-'Expenditures 15-22'!K367</f>
        <v>41391</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2" firstPageNumber="15" fitToWidth="0"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8"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89"/>
      <c r="B3" s="1294"/>
      <c r="C3" s="1295"/>
      <c r="D3" s="1296" t="s">
        <v>254</v>
      </c>
      <c r="E3" s="1295"/>
      <c r="F3" s="1296" t="s">
        <v>255</v>
      </c>
    </row>
    <row r="4" spans="1:8" ht="13.7" customHeight="1" x14ac:dyDescent="0.2">
      <c r="A4" s="579" t="s">
        <v>1145</v>
      </c>
      <c r="B4" s="1721">
        <f>'Revenues 9-14'!C5</f>
        <v>1918034</v>
      </c>
      <c r="C4" s="1722">
        <v>1038411</v>
      </c>
      <c r="D4" s="1723">
        <f>B4-C4</f>
        <v>879623</v>
      </c>
      <c r="E4" s="1722">
        <v>1956581</v>
      </c>
      <c r="F4" s="1723">
        <f>E4-C4</f>
        <v>918170</v>
      </c>
    </row>
    <row r="5" spans="1:8" ht="13.7" customHeight="1" x14ac:dyDescent="0.2">
      <c r="A5" s="579" t="s">
        <v>865</v>
      </c>
      <c r="B5" s="1724">
        <f>'Revenues 9-14'!D5</f>
        <v>551455</v>
      </c>
      <c r="C5" s="1664">
        <v>298776</v>
      </c>
      <c r="D5" s="1725">
        <f t="shared" ref="D5:D18" si="0">B5-C5</f>
        <v>252679</v>
      </c>
      <c r="E5" s="1664">
        <v>562955</v>
      </c>
      <c r="F5" s="1725">
        <f>E5-C5</f>
        <v>264179</v>
      </c>
    </row>
    <row r="6" spans="1:8" ht="13.7" customHeight="1" x14ac:dyDescent="0.2">
      <c r="A6" s="579" t="s">
        <v>408</v>
      </c>
      <c r="B6" s="1724">
        <f>'Revenues 9-14'!E5</f>
        <v>257609</v>
      </c>
      <c r="C6" s="1664">
        <v>137291</v>
      </c>
      <c r="D6" s="1725">
        <f t="shared" si="0"/>
        <v>120318</v>
      </c>
      <c r="E6" s="1664">
        <v>258685</v>
      </c>
      <c r="F6" s="1725">
        <f t="shared" ref="F6:F18" si="1">E6-C6</f>
        <v>121394</v>
      </c>
    </row>
    <row r="7" spans="1:8" ht="13.7" customHeight="1" x14ac:dyDescent="0.2">
      <c r="A7" s="579" t="s">
        <v>154</v>
      </c>
      <c r="B7" s="1724">
        <f>'Revenues 9-14'!F5</f>
        <v>163411</v>
      </c>
      <c r="C7" s="1664">
        <v>88543</v>
      </c>
      <c r="D7" s="1725">
        <f t="shared" si="0"/>
        <v>74868</v>
      </c>
      <c r="E7" s="1664">
        <v>166833</v>
      </c>
      <c r="F7" s="1725">
        <f t="shared" si="1"/>
        <v>78290</v>
      </c>
    </row>
    <row r="8" spans="1:8" ht="13.7" customHeight="1" x14ac:dyDescent="0.2">
      <c r="A8" s="579" t="s">
        <v>1169</v>
      </c>
      <c r="B8" s="1724">
        <f>'Revenues 9-14'!G5</f>
        <v>73518</v>
      </c>
      <c r="C8" s="1664">
        <v>42689</v>
      </c>
      <c r="D8" s="1725">
        <f t="shared" si="0"/>
        <v>30829</v>
      </c>
      <c r="E8" s="1664">
        <v>80434</v>
      </c>
      <c r="F8" s="1725">
        <f t="shared" si="1"/>
        <v>37745</v>
      </c>
    </row>
    <row r="9" spans="1:8" ht="13.7" customHeight="1" x14ac:dyDescent="0.2">
      <c r="A9" s="579" t="s">
        <v>405</v>
      </c>
      <c r="B9" s="1724">
        <f>'Revenues 9-14'!H5</f>
        <v>0</v>
      </c>
      <c r="C9" s="1664">
        <v>0</v>
      </c>
      <c r="D9" s="1725">
        <f t="shared" si="0"/>
        <v>0</v>
      </c>
      <c r="E9" s="1664">
        <v>0</v>
      </c>
      <c r="F9" s="1725">
        <f t="shared" si="1"/>
        <v>0</v>
      </c>
    </row>
    <row r="10" spans="1:8" ht="13.7" customHeight="1" x14ac:dyDescent="0.2">
      <c r="A10" s="579" t="s">
        <v>404</v>
      </c>
      <c r="B10" s="1724">
        <f>'Revenues 9-14'!I5</f>
        <v>40875</v>
      </c>
      <c r="C10" s="1664">
        <v>22158</v>
      </c>
      <c r="D10" s="1725">
        <f t="shared" si="0"/>
        <v>18717</v>
      </c>
      <c r="E10" s="1664">
        <v>41751</v>
      </c>
      <c r="F10" s="1725">
        <f t="shared" si="1"/>
        <v>19593</v>
      </c>
    </row>
    <row r="11" spans="1:8" x14ac:dyDescent="0.2">
      <c r="A11" s="579" t="s">
        <v>406</v>
      </c>
      <c r="B11" s="1724">
        <f>'Revenues 9-14'!J5</f>
        <v>636549</v>
      </c>
      <c r="C11" s="1664">
        <v>378636</v>
      </c>
      <c r="D11" s="1725">
        <f t="shared" si="0"/>
        <v>257913</v>
      </c>
      <c r="E11" s="1664">
        <v>713428</v>
      </c>
      <c r="F11" s="1725">
        <f t="shared" si="1"/>
        <v>334792</v>
      </c>
    </row>
    <row r="12" spans="1:8" ht="13.7" customHeight="1" x14ac:dyDescent="0.2">
      <c r="A12" s="579" t="s">
        <v>156</v>
      </c>
      <c r="B12" s="1724">
        <f>'Revenues 9-14'!K5</f>
        <v>40875</v>
      </c>
      <c r="C12" s="1664">
        <v>22158</v>
      </c>
      <c r="D12" s="1725">
        <f t="shared" si="0"/>
        <v>18717</v>
      </c>
      <c r="E12" s="1664">
        <v>41751</v>
      </c>
      <c r="F12" s="1725">
        <f t="shared" si="1"/>
        <v>19593</v>
      </c>
    </row>
    <row r="13" spans="1:8" ht="13.7" customHeight="1" x14ac:dyDescent="0.2">
      <c r="A13" s="579" t="s">
        <v>930</v>
      </c>
      <c r="B13" s="1724">
        <f>SUM('Revenues 9-14'!C6:D6)</f>
        <v>40875</v>
      </c>
      <c r="C13" s="1664">
        <v>22158</v>
      </c>
      <c r="D13" s="1725">
        <f t="shared" si="0"/>
        <v>18717</v>
      </c>
      <c r="E13" s="1664">
        <v>41751</v>
      </c>
      <c r="F13" s="1725">
        <f t="shared" si="1"/>
        <v>19593</v>
      </c>
    </row>
    <row r="14" spans="1:8" ht="13.7" customHeight="1" x14ac:dyDescent="0.2">
      <c r="A14" s="579" t="s">
        <v>407</v>
      </c>
      <c r="B14" s="1724">
        <f>SUM('Revenues 9-14'!C7:D7,'Revenues 9-14'!F7:H7)</f>
        <v>32700</v>
      </c>
      <c r="C14" s="1664">
        <v>17727</v>
      </c>
      <c r="D14" s="1725">
        <f t="shared" si="0"/>
        <v>14973</v>
      </c>
      <c r="E14" s="1664">
        <v>33401</v>
      </c>
      <c r="F14" s="1725">
        <f t="shared" si="1"/>
        <v>15674</v>
      </c>
    </row>
    <row r="15" spans="1:8" ht="13.7" customHeight="1" x14ac:dyDescent="0.2">
      <c r="A15" s="579" t="s">
        <v>1148</v>
      </c>
      <c r="B15" s="1724">
        <f>SUM('Revenues 9-14'!D9:E9,'Revenues 9-14'!H9)</f>
        <v>0</v>
      </c>
      <c r="C15" s="1664">
        <v>0</v>
      </c>
      <c r="D15" s="1725">
        <f t="shared" si="0"/>
        <v>0</v>
      </c>
      <c r="E15" s="1664">
        <v>0</v>
      </c>
      <c r="F15" s="1725">
        <f t="shared" si="1"/>
        <v>0</v>
      </c>
    </row>
    <row r="16" spans="1:8" ht="13.7" customHeight="1" x14ac:dyDescent="0.2">
      <c r="A16" s="579" t="s">
        <v>1149</v>
      </c>
      <c r="B16" s="1724">
        <f>'Revenues 9-14'!G8</f>
        <v>117252</v>
      </c>
      <c r="C16" s="1664">
        <v>67198</v>
      </c>
      <c r="D16" s="1725">
        <f t="shared" si="0"/>
        <v>50054</v>
      </c>
      <c r="E16" s="1664">
        <v>126616</v>
      </c>
      <c r="F16" s="1725">
        <f t="shared" si="1"/>
        <v>59418</v>
      </c>
    </row>
    <row r="17" spans="1:6" ht="13.7" customHeight="1" x14ac:dyDescent="0.2">
      <c r="A17" s="579" t="s">
        <v>1150</v>
      </c>
      <c r="B17" s="1724">
        <f>'Revenues 9-14'!C10</f>
        <v>0</v>
      </c>
      <c r="C17" s="1664">
        <v>0</v>
      </c>
      <c r="D17" s="1725">
        <f t="shared" si="0"/>
        <v>0</v>
      </c>
      <c r="E17" s="1664">
        <v>0</v>
      </c>
      <c r="F17" s="1725">
        <f t="shared" si="1"/>
        <v>0</v>
      </c>
    </row>
    <row r="18" spans="1:6" ht="13.7" customHeight="1" x14ac:dyDescent="0.2">
      <c r="A18" s="579" t="s">
        <v>757</v>
      </c>
      <c r="B18" s="1724">
        <f>SUM('Revenues 9-14'!C11:K11)</f>
        <v>0</v>
      </c>
      <c r="C18" s="1664">
        <v>0</v>
      </c>
      <c r="D18" s="1725">
        <f t="shared" si="0"/>
        <v>0</v>
      </c>
      <c r="E18" s="1664">
        <v>0</v>
      </c>
      <c r="F18" s="1725">
        <f t="shared" si="1"/>
        <v>0</v>
      </c>
    </row>
    <row r="19" spans="1:6" ht="13.7" customHeight="1" thickBot="1" x14ac:dyDescent="0.25">
      <c r="A19" s="1432" t="s">
        <v>1151</v>
      </c>
      <c r="B19" s="1726">
        <f>SUM(B4:B18)</f>
        <v>3873153</v>
      </c>
      <c r="C19" s="1726">
        <f>SUM(C4:C18)</f>
        <v>2135745</v>
      </c>
      <c r="D19" s="1726">
        <f>SUM(D4:D18)</f>
        <v>1737408</v>
      </c>
      <c r="E19" s="1726">
        <f>SUM(E4:E18)</f>
        <v>4024186</v>
      </c>
      <c r="F19" s="1726">
        <f>SUM(F4:F18)</f>
        <v>1888441</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0" t="s">
        <v>625</v>
      </c>
      <c r="B1" s="2308"/>
      <c r="C1" s="585"/>
    </row>
    <row r="2" spans="1:7" ht="33.75" x14ac:dyDescent="0.2">
      <c r="A2" s="2315" t="s">
        <v>1779</v>
      </c>
      <c r="B2" s="2316"/>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7" t="s">
        <v>1104</v>
      </c>
      <c r="B3" s="2318"/>
      <c r="C3" s="2311"/>
      <c r="D3" s="2312"/>
      <c r="E3" s="2312"/>
      <c r="F3" s="2313"/>
    </row>
    <row r="4" spans="1:7" ht="12.75" customHeight="1" thickBot="1" x14ac:dyDescent="0.25">
      <c r="A4" s="2305" t="s">
        <v>626</v>
      </c>
      <c r="B4" s="2306"/>
      <c r="C4" s="1656"/>
      <c r="D4" s="1656"/>
      <c r="E4" s="1656"/>
      <c r="F4" s="1732">
        <f>SUM(C4+D4)-E4</f>
        <v>0</v>
      </c>
    </row>
    <row r="5" spans="1:7" ht="15.75" customHeight="1" thickTop="1" x14ac:dyDescent="0.2">
      <c r="A5" s="2309" t="s">
        <v>1101</v>
      </c>
      <c r="B5" s="2304"/>
      <c r="C5" s="2298"/>
      <c r="D5" s="2299"/>
      <c r="E5" s="2299"/>
      <c r="F5" s="2300"/>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01" t="s">
        <v>627</v>
      </c>
      <c r="B15" s="2302"/>
      <c r="C15" s="1732">
        <f>SUM(C6:C14)</f>
        <v>0</v>
      </c>
      <c r="D15" s="1732">
        <f>SUM(D6:D14)</f>
        <v>0</v>
      </c>
      <c r="E15" s="1732">
        <f>SUM(E6:E14)</f>
        <v>0</v>
      </c>
      <c r="F15" s="1732">
        <f>SUM(F6:F14)</f>
        <v>0</v>
      </c>
      <c r="G15" s="473"/>
    </row>
    <row r="16" spans="1:7" s="197" customFormat="1" ht="15.75" customHeight="1" thickTop="1" x14ac:dyDescent="0.2">
      <c r="A16" s="2314" t="s">
        <v>1102</v>
      </c>
      <c r="B16" s="2304"/>
      <c r="C16" s="2298"/>
      <c r="D16" s="2299"/>
      <c r="E16" s="2299"/>
      <c r="F16" s="2300"/>
    </row>
    <row r="17" spans="1:11" ht="12.75" customHeight="1" thickBot="1" x14ac:dyDescent="0.25">
      <c r="A17" s="2296" t="s">
        <v>64</v>
      </c>
      <c r="B17" s="2297"/>
      <c r="C17" s="1733"/>
      <c r="D17" s="1664"/>
      <c r="E17" s="1733"/>
      <c r="F17" s="1732">
        <f>SUM(C17+D17)-E17</f>
        <v>0</v>
      </c>
    </row>
    <row r="18" spans="1:11" ht="12.75" customHeight="1" thickTop="1" thickBot="1" x14ac:dyDescent="0.25">
      <c r="A18" s="2296" t="s">
        <v>6</v>
      </c>
      <c r="B18" s="2297"/>
      <c r="C18" s="1733"/>
      <c r="D18" s="1664"/>
      <c r="E18" s="1733"/>
      <c r="F18" s="1732">
        <f>SUM(C18+D18)-E18</f>
        <v>0</v>
      </c>
    </row>
    <row r="19" spans="1:11" ht="12.75" customHeight="1" thickTop="1" thickBot="1" x14ac:dyDescent="0.25">
      <c r="A19" s="2296" t="s">
        <v>385</v>
      </c>
      <c r="B19" s="2297"/>
      <c r="C19" s="1733"/>
      <c r="D19" s="1664"/>
      <c r="E19" s="1733"/>
      <c r="F19" s="1732">
        <f>SUM(C19+D19)-E19</f>
        <v>0</v>
      </c>
    </row>
    <row r="20" spans="1:11" ht="12.75" customHeight="1" thickTop="1" thickBot="1" x14ac:dyDescent="0.25">
      <c r="A20" s="2296" t="s">
        <v>445</v>
      </c>
      <c r="B20" s="2297"/>
      <c r="C20" s="1733"/>
      <c r="D20" s="1664"/>
      <c r="E20" s="1733"/>
      <c r="F20" s="1732">
        <f>SUM(C20+D20)-E20</f>
        <v>0</v>
      </c>
    </row>
    <row r="21" spans="1:11" ht="14.25" thickTop="1" thickBot="1" x14ac:dyDescent="0.25">
      <c r="A21" s="2301" t="s">
        <v>628</v>
      </c>
      <c r="B21" s="2302"/>
      <c r="C21" s="1732">
        <f>SUM(C17:C20)</f>
        <v>0</v>
      </c>
      <c r="D21" s="1732">
        <f>SUM(D17:D20)</f>
        <v>0</v>
      </c>
      <c r="E21" s="1732">
        <f>SUM(E17:E20)</f>
        <v>0</v>
      </c>
      <c r="F21" s="1732">
        <f>SUM(F17:F20)</f>
        <v>0</v>
      </c>
      <c r="G21" s="473"/>
    </row>
    <row r="22" spans="1:11" ht="15.75" customHeight="1" thickTop="1" x14ac:dyDescent="0.2">
      <c r="A22" s="2303" t="s">
        <v>1103</v>
      </c>
      <c r="B22" s="2304"/>
      <c r="C22" s="2298"/>
      <c r="D22" s="2299"/>
      <c r="E22" s="2299"/>
      <c r="F22" s="2300"/>
    </row>
    <row r="23" spans="1:11" ht="13.5" thickBot="1" x14ac:dyDescent="0.25">
      <c r="A23" s="2305" t="s">
        <v>629</v>
      </c>
      <c r="B23" s="2306"/>
      <c r="C23" s="1656"/>
      <c r="D23" s="1656"/>
      <c r="E23" s="1656"/>
      <c r="F23" s="1732">
        <f>SUM(C23+D23)-E23</f>
        <v>0</v>
      </c>
      <c r="G23" s="473"/>
    </row>
    <row r="24" spans="1:11" ht="15.75" customHeight="1" thickTop="1" x14ac:dyDescent="0.2">
      <c r="A24" s="2303" t="s">
        <v>2006</v>
      </c>
      <c r="B24" s="2304"/>
      <c r="C24" s="2298"/>
      <c r="D24" s="2299"/>
      <c r="E24" s="2299"/>
      <c r="F24" s="2300"/>
    </row>
    <row r="25" spans="1:11" ht="13.5" thickBot="1" x14ac:dyDescent="0.25">
      <c r="A25" s="2305" t="s">
        <v>2007</v>
      </c>
      <c r="B25" s="2306"/>
      <c r="C25" s="1656"/>
      <c r="D25" s="1656"/>
      <c r="E25" s="1656"/>
      <c r="F25" s="1732">
        <f>SUM(C25+D25)-E25</f>
        <v>0</v>
      </c>
      <c r="G25" s="473"/>
    </row>
    <row r="26" spans="1:11" ht="15.75" customHeight="1" thickTop="1" x14ac:dyDescent="0.2">
      <c r="A26" s="2309" t="s">
        <v>652</v>
      </c>
      <c r="B26" s="2304"/>
      <c r="C26" s="589"/>
      <c r="D26" s="589"/>
      <c r="E26" s="589"/>
      <c r="F26" s="590"/>
    </row>
    <row r="27" spans="1:11" ht="13.5" thickBot="1" x14ac:dyDescent="0.25">
      <c r="A27" s="2301" t="s">
        <v>1061</v>
      </c>
      <c r="B27" s="2302"/>
      <c r="C27" s="1664"/>
      <c r="D27" s="1664"/>
      <c r="E27" s="1664"/>
      <c r="F27" s="1732">
        <f>SUM(C27+D27)-E27</f>
        <v>0</v>
      </c>
      <c r="G27" s="473"/>
    </row>
    <row r="28" spans="1:11" ht="7.5" customHeight="1" thickTop="1" x14ac:dyDescent="0.2">
      <c r="A28" s="489"/>
    </row>
    <row r="29" spans="1:11" ht="23.25" customHeight="1" x14ac:dyDescent="0.2">
      <c r="A29" s="2307" t="s">
        <v>578</v>
      </c>
      <c r="B29" s="2308"/>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2079</v>
      </c>
      <c r="B31" s="595" t="s">
        <v>2081</v>
      </c>
      <c r="C31" s="1734">
        <v>1000000</v>
      </c>
      <c r="D31" s="1735">
        <v>1</v>
      </c>
      <c r="E31" s="1734">
        <v>490000</v>
      </c>
      <c r="F31" s="1734"/>
      <c r="G31" s="1734"/>
      <c r="H31" s="1734">
        <v>240000</v>
      </c>
      <c r="I31" s="1736">
        <f>((E31+F31)-H31)+G31</f>
        <v>250000</v>
      </c>
      <c r="J31" s="1734">
        <f>250000-147012</f>
        <v>102988</v>
      </c>
      <c r="K31" s="596"/>
    </row>
    <row r="32" spans="1:11" ht="12" customHeight="1" x14ac:dyDescent="0.2">
      <c r="A32" s="594" t="s">
        <v>2080</v>
      </c>
      <c r="B32" s="595">
        <v>42872</v>
      </c>
      <c r="C32" s="1734">
        <v>50000</v>
      </c>
      <c r="D32" s="1735">
        <v>7</v>
      </c>
      <c r="E32" s="1734">
        <v>425000</v>
      </c>
      <c r="F32" s="1734"/>
      <c r="G32" s="1734"/>
      <c r="H32" s="1734">
        <v>45000</v>
      </c>
      <c r="I32" s="1736">
        <f>((E32+F32)-H32)+G32</f>
        <v>380000</v>
      </c>
      <c r="J32" s="1734">
        <v>380000</v>
      </c>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1050000</v>
      </c>
      <c r="D49" s="1742"/>
      <c r="E49" s="1736">
        <f t="shared" ref="E49:J49" si="2">SUM(E31:E48)</f>
        <v>915000</v>
      </c>
      <c r="F49" s="1736">
        <f t="shared" si="2"/>
        <v>0</v>
      </c>
      <c r="G49" s="1736">
        <f t="shared" si="2"/>
        <v>0</v>
      </c>
      <c r="H49" s="1736">
        <f t="shared" si="2"/>
        <v>285000</v>
      </c>
      <c r="I49" s="1736">
        <f t="shared" si="2"/>
        <v>630000</v>
      </c>
      <c r="J49" s="1736">
        <f t="shared" si="2"/>
        <v>482988</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90" t="s">
        <v>580</v>
      </c>
      <c r="C52" s="2291"/>
      <c r="D52" s="2291"/>
      <c r="E52" s="603" t="s">
        <v>840</v>
      </c>
      <c r="F52" s="2292" t="s">
        <v>2082</v>
      </c>
      <c r="G52" s="2293"/>
      <c r="H52" s="596"/>
      <c r="I52" s="596"/>
      <c r="J52" s="600"/>
    </row>
    <row r="53" spans="1:11" ht="11.25" customHeight="1" x14ac:dyDescent="0.2">
      <c r="A53" s="604" t="s">
        <v>907</v>
      </c>
      <c r="B53" s="605" t="s">
        <v>945</v>
      </c>
      <c r="C53" s="600"/>
      <c r="D53" s="597"/>
      <c r="E53" s="603" t="s">
        <v>494</v>
      </c>
      <c r="F53" s="2294"/>
      <c r="G53" s="2295"/>
      <c r="H53" s="596"/>
      <c r="I53" s="596"/>
      <c r="J53" s="600"/>
    </row>
    <row r="54" spans="1:11" ht="11.25" customHeight="1" x14ac:dyDescent="0.2">
      <c r="A54" s="606" t="s">
        <v>908</v>
      </c>
      <c r="B54" s="601" t="s">
        <v>946</v>
      </c>
      <c r="C54" s="600"/>
      <c r="D54" s="597"/>
      <c r="E54" s="603" t="s">
        <v>495</v>
      </c>
      <c r="F54" s="2294"/>
      <c r="G54" s="229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9" t="s">
        <v>851</v>
      </c>
      <c r="B1" s="2320"/>
      <c r="C1" s="2320"/>
      <c r="D1" s="2320"/>
      <c r="E1" s="2320"/>
      <c r="F1" s="2320"/>
      <c r="G1" s="2321"/>
      <c r="H1" s="1298"/>
      <c r="I1" s="614"/>
      <c r="J1" s="400"/>
    </row>
    <row r="2" spans="1:11" ht="26.25" x14ac:dyDescent="0.2">
      <c r="A2" s="2338" t="s">
        <v>1658</v>
      </c>
      <c r="B2" s="2339"/>
      <c r="C2" s="2339"/>
      <c r="D2" s="2339"/>
      <c r="E2" s="2340"/>
      <c r="F2" s="615" t="s">
        <v>898</v>
      </c>
      <c r="G2" s="616" t="s">
        <v>1655</v>
      </c>
      <c r="H2" s="616" t="s">
        <v>407</v>
      </c>
      <c r="I2" s="616" t="s">
        <v>1148</v>
      </c>
      <c r="J2" s="616" t="s">
        <v>1789</v>
      </c>
      <c r="K2" s="616" t="s">
        <v>137</v>
      </c>
    </row>
    <row r="3" spans="1:11" x14ac:dyDescent="0.2">
      <c r="A3" s="2341" t="str">
        <f>"Cash Basis Fund Balance as of July 1, "&amp;'AFR20'!E2-1</f>
        <v>Cash Basis Fund Balance as of July 1, 2019</v>
      </c>
      <c r="B3" s="2342"/>
      <c r="C3" s="2342"/>
      <c r="D3" s="2342"/>
      <c r="E3" s="2343"/>
      <c r="F3" s="617"/>
      <c r="G3" s="1744"/>
      <c r="H3" s="1744"/>
      <c r="I3" s="1744"/>
      <c r="J3" s="1745">
        <v>80076</v>
      </c>
      <c r="K3" s="1745"/>
    </row>
    <row r="4" spans="1:11" x14ac:dyDescent="0.2">
      <c r="A4" s="2344" t="s">
        <v>366</v>
      </c>
      <c r="B4" s="2345"/>
      <c r="C4" s="2345"/>
      <c r="D4" s="2345"/>
      <c r="E4" s="2291"/>
      <c r="F4" s="620"/>
      <c r="G4" s="1746"/>
      <c r="H4" s="1747"/>
      <c r="I4" s="1746"/>
      <c r="J4" s="1748"/>
      <c r="K4" s="1748"/>
    </row>
    <row r="5" spans="1:11" x14ac:dyDescent="0.2">
      <c r="A5" s="2322" t="s">
        <v>1060</v>
      </c>
      <c r="B5" s="2323"/>
      <c r="C5" s="2323"/>
      <c r="D5" s="2323"/>
      <c r="E5" s="2324"/>
      <c r="F5" s="622" t="s">
        <v>843</v>
      </c>
      <c r="G5" s="1749"/>
      <c r="H5" s="1744">
        <f>17727+14931+42</f>
        <v>32700</v>
      </c>
      <c r="I5" s="1750"/>
      <c r="J5" s="1751"/>
      <c r="K5" s="1751"/>
    </row>
    <row r="6" spans="1:11" x14ac:dyDescent="0.2">
      <c r="A6" s="625" t="s">
        <v>715</v>
      </c>
      <c r="B6" s="626"/>
      <c r="C6" s="626"/>
      <c r="D6" s="626"/>
      <c r="E6" s="627"/>
      <c r="F6" s="628" t="s">
        <v>844</v>
      </c>
      <c r="G6" s="1744"/>
      <c r="H6" s="1744">
        <v>8</v>
      </c>
      <c r="I6" s="1744"/>
      <c r="J6" s="1745">
        <v>271</v>
      </c>
      <c r="K6" s="1745"/>
    </row>
    <row r="7" spans="1:11" x14ac:dyDescent="0.2">
      <c r="A7" s="629" t="s">
        <v>244</v>
      </c>
      <c r="B7" s="630"/>
      <c r="C7" s="630"/>
      <c r="D7" s="630"/>
      <c r="E7" s="631"/>
      <c r="F7" s="622" t="s">
        <v>845</v>
      </c>
      <c r="G7" s="1746"/>
      <c r="H7" s="1746"/>
      <c r="I7" s="1746"/>
      <c r="J7" s="1752"/>
      <c r="K7" s="1745">
        <v>1900</v>
      </c>
    </row>
    <row r="8" spans="1:11" x14ac:dyDescent="0.2">
      <c r="A8" s="629" t="s">
        <v>342</v>
      </c>
      <c r="B8" s="630"/>
      <c r="C8" s="630"/>
      <c r="D8" s="630"/>
      <c r="E8" s="631"/>
      <c r="F8" s="622" t="s">
        <v>846</v>
      </c>
      <c r="G8" s="1753"/>
      <c r="H8" s="1753"/>
      <c r="I8" s="1753"/>
      <c r="J8" s="1745">
        <v>217052.89</v>
      </c>
      <c r="K8" s="1748"/>
    </row>
    <row r="9" spans="1:11" x14ac:dyDescent="0.2">
      <c r="A9" s="629" t="s">
        <v>137</v>
      </c>
      <c r="B9" s="630"/>
      <c r="C9" s="630"/>
      <c r="D9" s="630"/>
      <c r="E9" s="631"/>
      <c r="F9" s="628" t="s">
        <v>848</v>
      </c>
      <c r="G9" s="1753"/>
      <c r="H9" s="1749"/>
      <c r="I9" s="1749"/>
      <c r="J9" s="1752"/>
      <c r="K9" s="1745">
        <v>4561.3999999999996</v>
      </c>
    </row>
    <row r="10" spans="1:11" x14ac:dyDescent="0.2">
      <c r="A10" s="2322" t="s">
        <v>1790</v>
      </c>
      <c r="B10" s="2323"/>
      <c r="C10" s="2323"/>
      <c r="D10" s="2323"/>
      <c r="E10" s="2325"/>
      <c r="F10" s="633" t="s">
        <v>857</v>
      </c>
      <c r="G10" s="1753"/>
      <c r="H10" s="1754"/>
      <c r="I10" s="1744"/>
      <c r="J10" s="1745"/>
      <c r="K10" s="1745"/>
    </row>
    <row r="11" spans="1:11" x14ac:dyDescent="0.2">
      <c r="A11" s="2322" t="s">
        <v>159</v>
      </c>
      <c r="B11" s="2323"/>
      <c r="C11" s="2323"/>
      <c r="D11" s="2323"/>
      <c r="E11" s="2324"/>
      <c r="F11" s="622" t="s">
        <v>847</v>
      </c>
      <c r="G11" s="1749"/>
      <c r="H11" s="1744"/>
      <c r="I11" s="1744"/>
      <c r="J11" s="1745"/>
      <c r="K11" s="1751"/>
    </row>
    <row r="12" spans="1:11" ht="13.5" thickBot="1" x14ac:dyDescent="0.25">
      <c r="A12" s="2349" t="s">
        <v>899</v>
      </c>
      <c r="B12" s="2350"/>
      <c r="C12" s="2350"/>
      <c r="D12" s="2350"/>
      <c r="E12" s="2351"/>
      <c r="F12" s="1433"/>
      <c r="G12" s="1755">
        <f>SUM(G5:G11)</f>
        <v>0</v>
      </c>
      <c r="H12" s="1755">
        <f>SUM(H5:H11)</f>
        <v>32708</v>
      </c>
      <c r="I12" s="1755">
        <f>SUM(I5:I11)</f>
        <v>0</v>
      </c>
      <c r="J12" s="1755">
        <f>SUM(J5:J11)</f>
        <v>217323.89</v>
      </c>
      <c r="K12" s="1755">
        <f>SUM(K5:K11)</f>
        <v>6461.4</v>
      </c>
    </row>
    <row r="13" spans="1:11" ht="13.5" thickTop="1" x14ac:dyDescent="0.2">
      <c r="A13" s="2346" t="s">
        <v>367</v>
      </c>
      <c r="B13" s="2347"/>
      <c r="C13" s="2347"/>
      <c r="D13" s="2347"/>
      <c r="E13" s="2348"/>
      <c r="F13" s="634"/>
      <c r="G13" s="1756"/>
      <c r="H13" s="1757"/>
      <c r="I13" s="1758"/>
      <c r="J13" s="1758"/>
      <c r="K13" s="1758"/>
    </row>
    <row r="14" spans="1:11" x14ac:dyDescent="0.2">
      <c r="A14" s="2329" t="s">
        <v>453</v>
      </c>
      <c r="B14" s="2329"/>
      <c r="C14" s="2329"/>
      <c r="D14" s="2329"/>
      <c r="E14" s="2330"/>
      <c r="F14" s="635" t="s">
        <v>849</v>
      </c>
      <c r="G14" s="1753"/>
      <c r="H14" s="1744">
        <v>32708</v>
      </c>
      <c r="I14" s="1749"/>
      <c r="J14" s="1751"/>
      <c r="K14" s="1745">
        <v>6461</v>
      </c>
    </row>
    <row r="15" spans="1:11" x14ac:dyDescent="0.2">
      <c r="A15" s="2323" t="s">
        <v>4</v>
      </c>
      <c r="B15" s="2323"/>
      <c r="C15" s="2323"/>
      <c r="D15" s="2323"/>
      <c r="E15" s="2324"/>
      <c r="F15" s="635" t="s">
        <v>850</v>
      </c>
      <c r="G15" s="1749"/>
      <c r="H15" s="1744"/>
      <c r="I15" s="1744"/>
      <c r="J15" s="1745">
        <v>279692</v>
      </c>
      <c r="K15" s="1745"/>
    </row>
    <row r="16" spans="1:11" x14ac:dyDescent="0.2">
      <c r="A16" s="2323" t="s">
        <v>295</v>
      </c>
      <c r="B16" s="2323"/>
      <c r="C16" s="2323"/>
      <c r="D16" s="2323"/>
      <c r="E16" s="2324"/>
      <c r="F16" s="635" t="s">
        <v>917</v>
      </c>
      <c r="G16" s="1750"/>
      <c r="H16" s="1746"/>
      <c r="I16" s="1746"/>
      <c r="J16" s="1748"/>
      <c r="K16" s="1748"/>
    </row>
    <row r="17" spans="1:15" x14ac:dyDescent="0.2">
      <c r="A17" s="2356" t="s">
        <v>929</v>
      </c>
      <c r="B17" s="2356"/>
      <c r="C17" s="2356"/>
      <c r="D17" s="2356"/>
      <c r="E17" s="2357"/>
      <c r="F17" s="636"/>
      <c r="G17" s="1759"/>
      <c r="H17" s="1760"/>
      <c r="I17" s="1760"/>
      <c r="J17" s="1761"/>
      <c r="K17" s="1762"/>
    </row>
    <row r="18" spans="1:15" x14ac:dyDescent="0.2">
      <c r="A18" s="2333" t="s">
        <v>365</v>
      </c>
      <c r="B18" s="2334"/>
      <c r="C18" s="2334"/>
      <c r="D18" s="2334"/>
      <c r="E18" s="2335"/>
      <c r="F18" s="635" t="s">
        <v>926</v>
      </c>
      <c r="G18" s="1753"/>
      <c r="H18" s="1753"/>
      <c r="I18" s="1753"/>
      <c r="J18" s="1745"/>
      <c r="K18" s="1763"/>
    </row>
    <row r="19" spans="1:15" ht="21.75" customHeight="1" x14ac:dyDescent="0.2">
      <c r="A19" s="2331" t="s">
        <v>1786</v>
      </c>
      <c r="B19" s="2331"/>
      <c r="C19" s="2331"/>
      <c r="D19" s="2331"/>
      <c r="E19" s="2332"/>
      <c r="F19" s="635" t="s">
        <v>927</v>
      </c>
      <c r="G19" s="1753"/>
      <c r="H19" s="1753"/>
      <c r="I19" s="1753"/>
      <c r="J19" s="1745"/>
      <c r="K19" s="1763"/>
    </row>
    <row r="20" spans="1:15" x14ac:dyDescent="0.2">
      <c r="A20" s="2333" t="s">
        <v>1791</v>
      </c>
      <c r="B20" s="2334"/>
      <c r="C20" s="2334"/>
      <c r="D20" s="2334"/>
      <c r="E20" s="2335"/>
      <c r="F20" s="635" t="s">
        <v>928</v>
      </c>
      <c r="G20" s="1753"/>
      <c r="H20" s="1753"/>
      <c r="I20" s="1753"/>
      <c r="J20" s="1745"/>
      <c r="K20" s="1763"/>
    </row>
    <row r="21" spans="1:15" ht="13.5" thickBot="1" x14ac:dyDescent="0.25">
      <c r="A21" s="2352" t="s">
        <v>633</v>
      </c>
      <c r="B21" s="2352"/>
      <c r="C21" s="2352"/>
      <c r="D21" s="2352"/>
      <c r="E21" s="2352"/>
      <c r="F21" s="1434"/>
      <c r="G21" s="1760"/>
      <c r="H21" s="1764"/>
      <c r="I21" s="1764"/>
      <c r="J21" s="1765">
        <f>SUM(J18:J20)</f>
        <v>0</v>
      </c>
      <c r="K21" s="1761"/>
    </row>
    <row r="22" spans="1:15" ht="13.5" thickTop="1" x14ac:dyDescent="0.2">
      <c r="A22" s="2323" t="s">
        <v>1792</v>
      </c>
      <c r="B22" s="2323"/>
      <c r="C22" s="2323"/>
      <c r="D22" s="2323"/>
      <c r="E22" s="2324"/>
      <c r="F22" s="635" t="s">
        <v>857</v>
      </c>
      <c r="G22" s="1753"/>
      <c r="H22" s="1744"/>
      <c r="I22" s="1744"/>
      <c r="J22" s="1766"/>
      <c r="K22" s="1745"/>
    </row>
    <row r="23" spans="1:15" ht="13.5" thickBot="1" x14ac:dyDescent="0.25">
      <c r="A23" s="2353" t="s">
        <v>900</v>
      </c>
      <c r="B23" s="2352"/>
      <c r="C23" s="2352"/>
      <c r="D23" s="2352"/>
      <c r="E23" s="2352"/>
      <c r="F23" s="1436"/>
      <c r="G23" s="1755">
        <f>SUM(G14:G16,G21,G22)</f>
        <v>0</v>
      </c>
      <c r="H23" s="1755">
        <f>SUM(H14:H16,H21,H22)</f>
        <v>32708</v>
      </c>
      <c r="I23" s="1755">
        <f>SUM(I14:I16,I21,I22)</f>
        <v>0</v>
      </c>
      <c r="J23" s="1755">
        <f>SUM(J14:J16,J21,J22)</f>
        <v>279692</v>
      </c>
      <c r="K23" s="1755">
        <f>SUM(K14:K16,K21,K22)</f>
        <v>6461</v>
      </c>
      <c r="M23" s="1846"/>
      <c r="N23" s="1846"/>
      <c r="O23" s="1846"/>
    </row>
    <row r="24" spans="1:15" ht="14.25" thickTop="1" thickBot="1" x14ac:dyDescent="0.25">
      <c r="A24" s="2354" t="str">
        <f>"Ending Cash Basis Fund Balance as of June 30, "&amp;'AFR20'!E2</f>
        <v>Ending Cash Basis Fund Balance as of June 30, 2020</v>
      </c>
      <c r="B24" s="2355"/>
      <c r="C24" s="2355"/>
      <c r="D24" s="2355"/>
      <c r="E24" s="2355"/>
      <c r="F24" s="1437"/>
      <c r="G24" s="1767">
        <f>SUM(G3,G12)-G23</f>
        <v>0</v>
      </c>
      <c r="H24" s="1767">
        <f>SUM(H3,H12)-H23</f>
        <v>0</v>
      </c>
      <c r="I24" s="1767">
        <f>SUM(I3,I12)-I23</f>
        <v>0</v>
      </c>
      <c r="J24" s="1767">
        <f>SUM(J3,J12)-J23</f>
        <v>17707.890000000014</v>
      </c>
      <c r="K24" s="1767">
        <f>SUM(K3,K12)-K23</f>
        <v>0.3999999999996362</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17707.890000000014</v>
      </c>
      <c r="K26" s="1755">
        <f>K24-K25</f>
        <v>0.3999999999996362</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t="s">
        <v>2051</v>
      </c>
      <c r="E30" s="648" t="s">
        <v>763</v>
      </c>
      <c r="F30" s="197"/>
      <c r="G30" s="645"/>
    </row>
    <row r="31" spans="1:15" x14ac:dyDescent="0.2">
      <c r="A31" s="649"/>
      <c r="D31" s="232"/>
      <c r="E31" s="650" t="s">
        <v>764</v>
      </c>
      <c r="F31" s="651" t="s">
        <v>536</v>
      </c>
      <c r="G31" s="618"/>
      <c r="H31" s="2326"/>
      <c r="I31" s="2327"/>
      <c r="J31" s="2327"/>
      <c r="K31" s="2327"/>
    </row>
    <row r="32" spans="1:15" x14ac:dyDescent="0.2">
      <c r="A32" s="649"/>
      <c r="B32" s="232"/>
      <c r="C32" s="232"/>
      <c r="D32" s="232"/>
      <c r="E32" s="645"/>
      <c r="F32" s="651" t="s">
        <v>537</v>
      </c>
      <c r="G32" s="618"/>
      <c r="H32" s="2328"/>
      <c r="I32" s="2327"/>
      <c r="J32" s="2327"/>
      <c r="K32" s="2327"/>
    </row>
    <row r="33" spans="1:11" ht="1.5" customHeight="1" x14ac:dyDescent="0.2">
      <c r="A33" s="652" t="s">
        <v>1159</v>
      </c>
      <c r="B33" s="341"/>
      <c r="C33" s="341"/>
      <c r="D33" s="341"/>
      <c r="E33" s="341"/>
      <c r="F33" s="341"/>
      <c r="G33" s="653"/>
      <c r="H33" s="2328"/>
      <c r="I33" s="2327"/>
      <c r="J33" s="2327"/>
      <c r="K33" s="2327"/>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3" t="s">
        <v>538</v>
      </c>
      <c r="B41" s="2336"/>
      <c r="C41" s="2336"/>
      <c r="D41" s="2336"/>
      <c r="E41" s="2336"/>
      <c r="F41" s="2337"/>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0" t="s">
        <v>1875</v>
      </c>
      <c r="B1" s="2361"/>
      <c r="C1" s="2362"/>
      <c r="D1" s="666"/>
      <c r="E1" s="667"/>
      <c r="F1" s="667"/>
      <c r="G1" s="668"/>
      <c r="H1" s="669"/>
      <c r="I1" s="670"/>
      <c r="J1" s="2358"/>
      <c r="K1" s="2359"/>
      <c r="L1" s="2359"/>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v>0</v>
      </c>
      <c r="D3" s="1769"/>
      <c r="E3" s="1769"/>
      <c r="F3" s="1765">
        <f>(C3+D3)-E3</f>
        <v>0</v>
      </c>
      <c r="G3" s="675"/>
      <c r="H3" s="674">
        <v>0</v>
      </c>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36210</v>
      </c>
      <c r="D5" s="1770"/>
      <c r="E5" s="1770"/>
      <c r="F5" s="1765">
        <f>(C5+D5)-E5</f>
        <v>36210</v>
      </c>
      <c r="G5" s="676"/>
      <c r="H5" s="680"/>
      <c r="I5" s="680"/>
      <c r="J5" s="680"/>
      <c r="K5" s="637"/>
      <c r="L5" s="1442">
        <f>F5-K5</f>
        <v>36210</v>
      </c>
    </row>
    <row r="6" spans="1:14" ht="14.25" thickTop="1" thickBot="1" x14ac:dyDescent="0.25">
      <c r="A6" s="629" t="s">
        <v>1107</v>
      </c>
      <c r="B6" s="679">
        <v>222</v>
      </c>
      <c r="C6" s="1745">
        <v>0</v>
      </c>
      <c r="D6" s="1745"/>
      <c r="E6" s="1745"/>
      <c r="F6" s="1765">
        <f>(C6+D6)-E6</f>
        <v>0</v>
      </c>
      <c r="G6" s="676">
        <v>50</v>
      </c>
      <c r="H6" s="619">
        <v>0</v>
      </c>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4681859</v>
      </c>
      <c r="D8" s="1771">
        <v>86834</v>
      </c>
      <c r="E8" s="1771"/>
      <c r="F8" s="1765">
        <f>(C8+D8)-E8</f>
        <v>4768693</v>
      </c>
      <c r="G8" s="681">
        <v>50</v>
      </c>
      <c r="H8" s="619">
        <v>2957891</v>
      </c>
      <c r="I8" s="619">
        <v>55692</v>
      </c>
      <c r="J8" s="619"/>
      <c r="K8" s="1442">
        <f>(H8+I8)-J8</f>
        <v>3013583</v>
      </c>
      <c r="L8" s="1442">
        <f>F8-K8</f>
        <v>1755110</v>
      </c>
    </row>
    <row r="9" spans="1:14" ht="14.25" thickTop="1" thickBot="1" x14ac:dyDescent="0.25">
      <c r="A9" s="629" t="s">
        <v>1109</v>
      </c>
      <c r="B9" s="679">
        <v>232</v>
      </c>
      <c r="C9" s="1745">
        <v>0</v>
      </c>
      <c r="D9" s="1745"/>
      <c r="E9" s="1745"/>
      <c r="F9" s="1765">
        <f>(C9+D9)-E9</f>
        <v>0</v>
      </c>
      <c r="G9" s="681">
        <v>20</v>
      </c>
      <c r="H9" s="619">
        <v>0</v>
      </c>
      <c r="I9" s="619"/>
      <c r="J9" s="619"/>
      <c r="K9" s="1442">
        <f>(H9+I9)-J9</f>
        <v>0</v>
      </c>
      <c r="L9" s="1442">
        <f>F9-K9</f>
        <v>0</v>
      </c>
    </row>
    <row r="10" spans="1:14" ht="24" thickTop="1" thickBot="1" x14ac:dyDescent="0.25">
      <c r="A10" s="682" t="s">
        <v>1110</v>
      </c>
      <c r="B10" s="679">
        <v>240</v>
      </c>
      <c r="C10" s="1772">
        <v>1814384</v>
      </c>
      <c r="D10" s="1772">
        <v>396583</v>
      </c>
      <c r="E10" s="1772"/>
      <c r="F10" s="1773">
        <f>(C10+D10)-E10</f>
        <v>2210967</v>
      </c>
      <c r="G10" s="681">
        <v>20</v>
      </c>
      <c r="H10" s="683">
        <v>367100</v>
      </c>
      <c r="I10" s="683">
        <v>109891</v>
      </c>
      <c r="J10" s="683"/>
      <c r="K10" s="1442">
        <f>(H10+I10)-J10</f>
        <v>476991</v>
      </c>
      <c r="L10" s="1442">
        <f>F10-K10</f>
        <v>1733976</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907828</v>
      </c>
      <c r="D12" s="1771">
        <v>83127</v>
      </c>
      <c r="E12" s="1771">
        <v>69610</v>
      </c>
      <c r="F12" s="1765">
        <f>(C12+D12)-E12</f>
        <v>921345</v>
      </c>
      <c r="G12" s="681">
        <v>10</v>
      </c>
      <c r="H12" s="619">
        <v>446741</v>
      </c>
      <c r="I12" s="619">
        <v>92135</v>
      </c>
      <c r="J12" s="619">
        <v>69610</v>
      </c>
      <c r="K12" s="1442">
        <f>(H12+I12)-J12</f>
        <v>469266</v>
      </c>
      <c r="L12" s="1442">
        <f>F12-K12</f>
        <v>452079</v>
      </c>
    </row>
    <row r="13" spans="1:14" ht="14.25" thickTop="1" thickBot="1" x14ac:dyDescent="0.25">
      <c r="A13" s="684" t="s">
        <v>1112</v>
      </c>
      <c r="B13" s="679">
        <v>252</v>
      </c>
      <c r="C13" s="1771">
        <v>329981</v>
      </c>
      <c r="D13" s="1771"/>
      <c r="E13" s="1771"/>
      <c r="F13" s="1765">
        <f>(C13+D13)-E13</f>
        <v>329981</v>
      </c>
      <c r="G13" s="681">
        <v>5</v>
      </c>
      <c r="H13" s="619">
        <v>300169</v>
      </c>
      <c r="I13" s="619">
        <v>7453</v>
      </c>
      <c r="J13" s="619"/>
      <c r="K13" s="1442">
        <f>(H13+I13)-J13</f>
        <v>307622</v>
      </c>
      <c r="L13" s="1442">
        <f>F13-K13</f>
        <v>22359</v>
      </c>
    </row>
    <row r="14" spans="1:14" ht="14.25" thickTop="1" thickBot="1" x14ac:dyDescent="0.25">
      <c r="A14" s="684" t="s">
        <v>1113</v>
      </c>
      <c r="B14" s="679">
        <v>253</v>
      </c>
      <c r="C14" s="1745">
        <v>62857</v>
      </c>
      <c r="D14" s="1745"/>
      <c r="E14" s="1745"/>
      <c r="F14" s="1765">
        <f>(C14+D14)-E14</f>
        <v>62857</v>
      </c>
      <c r="G14" s="681">
        <v>3</v>
      </c>
      <c r="H14" s="619">
        <v>62856</v>
      </c>
      <c r="I14" s="619">
        <v>1</v>
      </c>
      <c r="J14" s="619"/>
      <c r="K14" s="1442">
        <f>(H14+I14)-J14</f>
        <v>62857</v>
      </c>
      <c r="L14" s="1442">
        <f>F14-K14</f>
        <v>0</v>
      </c>
    </row>
    <row r="15" spans="1:14" ht="15" customHeight="1" thickTop="1" thickBot="1" x14ac:dyDescent="0.25">
      <c r="A15" s="1366" t="s">
        <v>525</v>
      </c>
      <c r="B15" s="1365">
        <v>260</v>
      </c>
      <c r="C15" s="1771">
        <v>0</v>
      </c>
      <c r="D15" s="1771">
        <v>7227</v>
      </c>
      <c r="E15" s="1771"/>
      <c r="F15" s="1765">
        <f>(C15+D15)-E15</f>
        <v>7227</v>
      </c>
      <c r="G15" s="685" t="s">
        <v>857</v>
      </c>
      <c r="H15" s="632"/>
      <c r="I15" s="632"/>
      <c r="J15" s="632"/>
      <c r="K15" s="632"/>
      <c r="L15" s="1442">
        <f>F15-K15</f>
        <v>7227</v>
      </c>
    </row>
    <row r="16" spans="1:14" ht="15" customHeight="1" thickTop="1" thickBot="1" x14ac:dyDescent="0.25">
      <c r="A16" s="1438" t="s">
        <v>638</v>
      </c>
      <c r="B16" s="1439">
        <v>200</v>
      </c>
      <c r="C16" s="1765">
        <f>SUM(C3,C5:C6,C8:C10,C12:C15)</f>
        <v>7833119</v>
      </c>
      <c r="D16" s="1765">
        <f>SUM(D3,D5:D6,D8:D10,D12:D15)</f>
        <v>573771</v>
      </c>
      <c r="E16" s="1765">
        <f>SUM(E3,E5:E6,E8:E10,E12:E15)</f>
        <v>69610</v>
      </c>
      <c r="F16" s="1765">
        <f>SUM(F3,F5:F6,F8:F10,F12:F15)</f>
        <v>8337280</v>
      </c>
      <c r="G16" s="681"/>
      <c r="H16" s="1435">
        <f>SUM(H3,H6,H8:H10,H12:H14,)</f>
        <v>4134757</v>
      </c>
      <c r="I16" s="1435">
        <f>SUM(I3,I6,I8:I10,I12:I14,)</f>
        <v>265172</v>
      </c>
      <c r="J16" s="1435">
        <f>SUM(J3,J6,J8:J10,J12:J14,)</f>
        <v>69610</v>
      </c>
      <c r="K16" s="1435">
        <f>(H16+I16)-J16</f>
        <v>4330319</v>
      </c>
      <c r="L16" s="1435">
        <f>F16-K16</f>
        <v>4006961</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265172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6" t="str">
        <f>"ESTIMATED OPERATING EXPENSE PER PUPIL (OEPP)/PER CAPITA TUITION CHARGE (PCTC) COMPUTATIONS ("&amp;'AFR20'!E2-1&amp;" - "&amp;'AFR20'!E2&amp;")"</f>
        <v>ESTIMATED OPERATING EXPENSE PER PUPIL (OEPP)/PER CAPITA TUITION CHARGE (PCTC) COMPUTATIONS (2019 - 2020)</v>
      </c>
      <c r="B1" s="2367"/>
      <c r="C1" s="2367"/>
      <c r="D1" s="2367"/>
      <c r="E1" s="2367"/>
      <c r="F1" s="2368"/>
      <c r="G1" s="691"/>
      <c r="I1" s="701"/>
    </row>
    <row r="2" spans="1:9" ht="15" customHeight="1" thickBot="1" x14ac:dyDescent="0.25">
      <c r="A2" s="2369" t="s">
        <v>474</v>
      </c>
      <c r="B2" s="2370"/>
      <c r="C2" s="2370"/>
      <c r="D2" s="2370"/>
      <c r="E2" s="2370"/>
      <c r="F2" s="2371"/>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2"/>
      <c r="B5" s="2373"/>
      <c r="C5" s="2373"/>
      <c r="D5" s="2373"/>
      <c r="E5" s="2373"/>
      <c r="F5" s="2373"/>
    </row>
    <row r="6" spans="1:9" ht="13.5" customHeight="1" thickBot="1" x14ac:dyDescent="0.25">
      <c r="A6" s="2363" t="s">
        <v>1095</v>
      </c>
      <c r="B6" s="2364"/>
      <c r="C6" s="2364"/>
      <c r="D6" s="2364"/>
      <c r="E6" s="2364"/>
      <c r="F6" s="2365"/>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4573590</v>
      </c>
      <c r="G8" s="701"/>
    </row>
    <row r="9" spans="1:9" x14ac:dyDescent="0.2">
      <c r="A9" s="705" t="s">
        <v>457</v>
      </c>
      <c r="B9" s="706" t="s">
        <v>1848</v>
      </c>
      <c r="C9" s="707"/>
      <c r="D9" s="705" t="s">
        <v>498</v>
      </c>
      <c r="E9" s="704"/>
      <c r="F9" s="1775">
        <f>'Expenditures 15-22'!K151</f>
        <v>737494</v>
      </c>
      <c r="G9" s="708"/>
    </row>
    <row r="10" spans="1:9" x14ac:dyDescent="0.2">
      <c r="A10" s="705" t="s">
        <v>496</v>
      </c>
      <c r="B10" s="706" t="s">
        <v>1849</v>
      </c>
      <c r="C10" s="707"/>
      <c r="D10" s="705" t="s">
        <v>498</v>
      </c>
      <c r="E10" s="704"/>
      <c r="F10" s="1775">
        <f>'Expenditures 15-22'!K174</f>
        <v>322450</v>
      </c>
      <c r="G10" s="708"/>
    </row>
    <row r="11" spans="1:9" x14ac:dyDescent="0.2">
      <c r="A11" s="705" t="s">
        <v>458</v>
      </c>
      <c r="B11" s="706" t="s">
        <v>1850</v>
      </c>
      <c r="C11" s="707"/>
      <c r="D11" s="705" t="s">
        <v>498</v>
      </c>
      <c r="E11" s="704"/>
      <c r="F11" s="1775">
        <f>'Expenditures 15-22'!K210</f>
        <v>377220</v>
      </c>
      <c r="G11" s="708"/>
    </row>
    <row r="12" spans="1:9" x14ac:dyDescent="0.2">
      <c r="A12" s="705" t="s">
        <v>459</v>
      </c>
      <c r="B12" s="706" t="s">
        <v>1851</v>
      </c>
      <c r="C12" s="707"/>
      <c r="D12" s="705" t="s">
        <v>498</v>
      </c>
      <c r="E12" s="704"/>
      <c r="F12" s="1775">
        <f>'Expenditures 15-22'!K295</f>
        <v>221669</v>
      </c>
      <c r="G12" s="708"/>
    </row>
    <row r="13" spans="1:9" x14ac:dyDescent="0.2">
      <c r="A13" s="705" t="s">
        <v>106</v>
      </c>
      <c r="B13" s="706" t="s">
        <v>1852</v>
      </c>
      <c r="C13" s="707"/>
      <c r="D13" s="705" t="s">
        <v>498</v>
      </c>
      <c r="E13" s="704"/>
      <c r="F13" s="1775">
        <f>'Expenditures 15-22'!K342</f>
        <v>546458</v>
      </c>
      <c r="G13" s="709"/>
    </row>
    <row r="14" spans="1:9" ht="12" customHeight="1" thickBot="1" x14ac:dyDescent="0.25">
      <c r="A14" s="1443"/>
      <c r="B14" s="1444"/>
      <c r="C14" s="1445"/>
      <c r="D14" s="1446" t="s">
        <v>498</v>
      </c>
      <c r="E14" s="1447" t="s">
        <v>952</v>
      </c>
      <c r="F14" s="1776">
        <f>SUM(F8:F13)</f>
        <v>6778881</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73187</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17068</v>
      </c>
      <c r="G52" s="701"/>
    </row>
    <row r="53" spans="1:7" x14ac:dyDescent="0.2">
      <c r="A53" s="705" t="s">
        <v>456</v>
      </c>
      <c r="B53" s="705" t="s">
        <v>1458</v>
      </c>
      <c r="C53" s="724">
        <f>'Expenditures 15-22'!B102</f>
        <v>4000</v>
      </c>
      <c r="D53" s="723" t="str">
        <f>'Expenditures 15-22'!A102</f>
        <v>Total Payments to Other Govt Units</v>
      </c>
      <c r="E53" s="704"/>
      <c r="F53" s="1782">
        <f>'Expenditures 15-22'!K102</f>
        <v>783621</v>
      </c>
      <c r="G53" s="701"/>
    </row>
    <row r="54" spans="1:7" x14ac:dyDescent="0.2">
      <c r="A54" s="705" t="s">
        <v>456</v>
      </c>
      <c r="B54" s="705" t="s">
        <v>1459</v>
      </c>
      <c r="C54" s="724" t="s">
        <v>975</v>
      </c>
      <c r="D54" s="720" t="s">
        <v>1086</v>
      </c>
      <c r="E54" s="704"/>
      <c r="F54" s="1782">
        <f>'Expenditures 15-22'!G114</f>
        <v>77032</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324464</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285000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3314</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2900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19342</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14516</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1600444</v>
      </c>
      <c r="G77" s="701"/>
    </row>
    <row r="78" spans="1:9" s="728" customFormat="1" ht="12" customHeight="1" thickTop="1" thickBot="1" x14ac:dyDescent="0.25">
      <c r="A78" s="1450"/>
      <c r="B78" s="1448"/>
      <c r="C78" s="1445"/>
      <c r="D78" s="1449" t="s">
        <v>2012</v>
      </c>
      <c r="E78" s="1447"/>
      <c r="F78" s="1788">
        <f>(F14-F77)</f>
        <v>5178437</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443.4</v>
      </c>
      <c r="G79" s="733"/>
      <c r="H79" s="705"/>
      <c r="I79" s="705"/>
    </row>
    <row r="80" spans="1:9" s="728" customFormat="1" ht="12" customHeight="1" thickBot="1" x14ac:dyDescent="0.25">
      <c r="A80" s="1452"/>
      <c r="B80" s="1448"/>
      <c r="C80" s="1445"/>
      <c r="D80" s="1449" t="s">
        <v>2013</v>
      </c>
      <c r="E80" s="1447" t="s">
        <v>952</v>
      </c>
      <c r="F80" s="1790">
        <f>IF(F79&gt;0,F78/F79," Complete Line 79")</f>
        <v>11678.928732521426</v>
      </c>
      <c r="G80" s="705"/>
    </row>
    <row r="81" spans="1:7" s="728" customFormat="1" ht="8.25" customHeight="1" thickTop="1" x14ac:dyDescent="0.2">
      <c r="A81" s="734"/>
      <c r="B81" s="705"/>
      <c r="C81" s="707"/>
      <c r="D81" s="735"/>
      <c r="E81" s="704"/>
      <c r="F81" s="1791"/>
      <c r="G81" s="705"/>
    </row>
    <row r="82" spans="1:7" s="728" customFormat="1" ht="12" thickBot="1" x14ac:dyDescent="0.25">
      <c r="A82" s="2363" t="s">
        <v>1096</v>
      </c>
      <c r="B82" s="2364"/>
      <c r="C82" s="2364"/>
      <c r="D82" s="2364"/>
      <c r="E82" s="2364"/>
      <c r="F82" s="236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310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47163</v>
      </c>
      <c r="G95" s="745"/>
    </row>
    <row r="96" spans="1:7" x14ac:dyDescent="0.2">
      <c r="A96" s="741" t="s">
        <v>139</v>
      </c>
      <c r="B96" s="741" t="s">
        <v>174</v>
      </c>
      <c r="C96" s="743">
        <v>1700</v>
      </c>
      <c r="D96" s="751" t="str">
        <f>'Revenues 9-14'!A82</f>
        <v>Total District/School Activity Income</v>
      </c>
      <c r="E96" s="739"/>
      <c r="F96" s="1793">
        <f>SUM('Revenues 9-14'!C82,'Revenues 9-14'!D82)</f>
        <v>50288</v>
      </c>
      <c r="G96" s="745"/>
    </row>
    <row r="97" spans="1:7" x14ac:dyDescent="0.2">
      <c r="A97" s="741" t="s">
        <v>456</v>
      </c>
      <c r="B97" s="741" t="s">
        <v>175</v>
      </c>
      <c r="C97" s="743">
        <f>'Revenues 9-14'!B84</f>
        <v>1811</v>
      </c>
      <c r="D97" s="744" t="str">
        <f>'Revenues 9-14'!A84</f>
        <v>Rentals - Regular Textbooks</v>
      </c>
      <c r="E97" s="739"/>
      <c r="F97" s="1793">
        <f>'Revenues 9-14'!C84</f>
        <v>0</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685</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15046</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12815</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26809</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1739</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4561</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190744</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50000</v>
      </c>
      <c r="G121" s="763"/>
    </row>
    <row r="122" spans="1:7" x14ac:dyDescent="0.2">
      <c r="A122" s="760" t="s">
        <v>497</v>
      </c>
      <c r="B122" s="760" t="s">
        <v>1926</v>
      </c>
      <c r="C122" s="761">
        <f>'Revenues 9-14'!B168</f>
        <v>3999</v>
      </c>
      <c r="D122" s="762" t="s">
        <v>540</v>
      </c>
      <c r="E122" s="764"/>
      <c r="F122" s="1793">
        <f>SUM('Revenues 9-14'!C168:G168,'Revenues 9-14'!J168)</f>
        <v>750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134894</v>
      </c>
      <c r="G126" s="763"/>
    </row>
    <row r="127" spans="1:7" x14ac:dyDescent="0.2">
      <c r="A127" s="760" t="s">
        <v>663</v>
      </c>
      <c r="B127" s="760" t="s">
        <v>1931</v>
      </c>
      <c r="C127" s="765">
        <v>4300</v>
      </c>
      <c r="D127" s="766" t="str">
        <f>'Revenues 9-14'!A204</f>
        <v>Total Title I</v>
      </c>
      <c r="E127" s="739"/>
      <c r="F127" s="1793">
        <f>SUM('Revenues 9-14'!C204,'Revenues 9-14'!D204,'Revenues 9-14'!F204,'Revenues 9-14'!G204)</f>
        <v>155482</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53730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126168</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11939</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38819</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3690</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6043</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38835</v>
      </c>
      <c r="G171" s="760"/>
    </row>
    <row r="172" spans="1:7" x14ac:dyDescent="0.2">
      <c r="A172" s="1529" t="s">
        <v>5</v>
      </c>
      <c r="B172" s="1530" t="s">
        <v>1885</v>
      </c>
      <c r="C172" s="1531">
        <v>3100</v>
      </c>
      <c r="D172" s="1532" t="s">
        <v>1887</v>
      </c>
      <c r="E172" s="739"/>
      <c r="F172" s="1794">
        <v>99716.43</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1070226.43</v>
      </c>
    </row>
    <row r="176" spans="1:7" ht="12" customHeight="1" x14ac:dyDescent="0.2">
      <c r="A176" s="1443"/>
      <c r="B176" s="1453"/>
      <c r="C176" s="1454"/>
      <c r="D176" s="1455" t="s">
        <v>2014</v>
      </c>
      <c r="E176" s="1456"/>
      <c r="F176" s="1793">
        <f>'PCTC-OEPP 27-28'!F78-F175</f>
        <v>4108210.5700000003</v>
      </c>
    </row>
    <row r="177" spans="1:9" ht="12" customHeight="1" x14ac:dyDescent="0.2">
      <c r="A177" s="1443"/>
      <c r="B177" s="1453"/>
      <c r="C177" s="1454"/>
      <c r="D177" s="1455" t="s">
        <v>1794</v>
      </c>
      <c r="E177" s="1456"/>
      <c r="F177" s="1793">
        <f>'Cap Outlay Deprec 26'!I18</f>
        <v>265172</v>
      </c>
    </row>
    <row r="178" spans="1:9" ht="12" customHeight="1" x14ac:dyDescent="0.2">
      <c r="A178" s="1443"/>
      <c r="B178" s="1453"/>
      <c r="C178" s="1454"/>
      <c r="D178" s="1455" t="s">
        <v>2015</v>
      </c>
      <c r="E178" s="1456"/>
      <c r="F178" s="1793">
        <f>F176+F177</f>
        <v>4373382.57</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443.4</v>
      </c>
      <c r="G179" s="763"/>
      <c r="I179" s="701"/>
    </row>
    <row r="180" spans="1:9" ht="12" customHeight="1" thickBot="1" x14ac:dyDescent="0.25">
      <c r="A180" s="1443"/>
      <c r="B180" s="1457"/>
      <c r="C180" s="1454"/>
      <c r="D180" s="1455" t="s">
        <v>2017</v>
      </c>
      <c r="E180" s="1456" t="s">
        <v>1528</v>
      </c>
      <c r="F180" s="1798">
        <f>F178/F179</f>
        <v>9863.2895128552118</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6"/>
  <sheetViews>
    <sheetView showGridLines="0" zoomScaleNormal="100" workbookViewId="0"/>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77" t="s">
        <v>1795</v>
      </c>
      <c r="B4" s="2378"/>
      <c r="C4" s="2378"/>
      <c r="D4" s="2378"/>
      <c r="E4" s="2378"/>
      <c r="F4" s="2379"/>
    </row>
    <row r="5" spans="1:6" x14ac:dyDescent="0.25">
      <c r="A5" s="2380"/>
      <c r="B5" s="2381"/>
      <c r="C5" s="2381"/>
      <c r="D5" s="2381"/>
      <c r="E5" s="2381"/>
      <c r="F5" s="2382"/>
    </row>
    <row r="6" spans="1:6" ht="18.75" x14ac:dyDescent="0.25">
      <c r="A6" s="1867" t="s">
        <v>1796</v>
      </c>
      <c r="B6" s="1868"/>
      <c r="C6" s="1869"/>
      <c r="D6" s="1869"/>
      <c r="E6" s="1869"/>
      <c r="F6" s="1870"/>
    </row>
    <row r="7" spans="1:6" ht="47.25" customHeight="1" x14ac:dyDescent="0.25">
      <c r="A7" s="2383" t="s">
        <v>1985</v>
      </c>
      <c r="B7" s="2384"/>
      <c r="C7" s="2384"/>
      <c r="D7" s="2384"/>
      <c r="E7" s="2384"/>
      <c r="F7" s="2385"/>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86" t="s">
        <v>1981</v>
      </c>
      <c r="B10" s="2387"/>
      <c r="C10" s="2387"/>
      <c r="D10" s="2387"/>
      <c r="E10" s="2387"/>
      <c r="F10" s="2388"/>
    </row>
    <row r="11" spans="1:6" ht="33" customHeight="1" x14ac:dyDescent="0.25">
      <c r="A11" s="2383" t="s">
        <v>1986</v>
      </c>
      <c r="B11" s="2384"/>
      <c r="C11" s="2384"/>
      <c r="D11" s="2384"/>
      <c r="E11" s="2384"/>
      <c r="F11" s="2385"/>
    </row>
    <row r="12" spans="1:6" ht="15" customHeight="1" x14ac:dyDescent="0.25">
      <c r="A12" s="1873" t="s">
        <v>1982</v>
      </c>
      <c r="B12" s="1874"/>
      <c r="C12" s="1875"/>
      <c r="D12" s="1875"/>
      <c r="E12" s="1875"/>
      <c r="F12" s="1876"/>
    </row>
    <row r="13" spans="1:6" ht="17.25" customHeight="1" x14ac:dyDescent="0.25">
      <c r="A13" s="2383" t="s">
        <v>1983</v>
      </c>
      <c r="B13" s="2384"/>
      <c r="C13" s="2384"/>
      <c r="D13" s="2384"/>
      <c r="E13" s="2384"/>
      <c r="F13" s="2385"/>
    </row>
    <row r="14" spans="1:6" ht="15" customHeight="1" x14ac:dyDescent="0.25">
      <c r="A14" s="1873" t="s">
        <v>1800</v>
      </c>
      <c r="B14" s="1874"/>
      <c r="C14" s="1875"/>
      <c r="D14" s="1875"/>
      <c r="E14" s="1875"/>
      <c r="F14" s="1876"/>
    </row>
    <row r="15" spans="1:6" ht="32.25" customHeight="1" x14ac:dyDescent="0.25">
      <c r="A15" s="237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5"/>
      <c r="C15" s="2375"/>
      <c r="D15" s="2375"/>
      <c r="E15" s="2375"/>
      <c r="F15" s="2376"/>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5" t="s">
        <v>2060</v>
      </c>
      <c r="B18" s="1908">
        <v>402550300</v>
      </c>
      <c r="C18" s="2036" t="s">
        <v>2061</v>
      </c>
      <c r="D18" s="1886">
        <v>71745</v>
      </c>
      <c r="E18" s="1906" t="str">
        <f t="shared" ref="E18:E81" si="0">IF(D18&lt;25000,D18,"25,000")</f>
        <v>25,000</v>
      </c>
      <c r="F18" s="1906">
        <f t="shared" ref="F18:F81" si="1">IF(D18&gt;=25000,(D18-E18),"0")</f>
        <v>46745</v>
      </c>
      <c r="G18" s="1887"/>
    </row>
    <row r="19" spans="1:7" hidden="1" x14ac:dyDescent="0.25">
      <c r="A19" s="1888"/>
      <c r="B19" s="1908"/>
      <c r="C19" s="1885"/>
      <c r="D19" s="1886"/>
      <c r="E19" s="1906">
        <f t="shared" si="0"/>
        <v>0</v>
      </c>
      <c r="F19" s="1906" t="str">
        <f t="shared" si="1"/>
        <v>0</v>
      </c>
    </row>
    <row r="20" spans="1:7" hidden="1" x14ac:dyDescent="0.25">
      <c r="A20" s="1888"/>
      <c r="B20" s="1908"/>
      <c r="C20" s="1885"/>
      <c r="D20" s="1886"/>
      <c r="E20" s="1906">
        <f t="shared" si="0"/>
        <v>0</v>
      </c>
      <c r="F20" s="1906" t="str">
        <f t="shared" si="1"/>
        <v>0</v>
      </c>
    </row>
    <row r="21" spans="1:7" hidden="1" x14ac:dyDescent="0.25">
      <c r="A21" s="1888"/>
      <c r="B21" s="1908"/>
      <c r="C21" s="1885"/>
      <c r="D21" s="1886"/>
      <c r="E21" s="1906">
        <f t="shared" si="0"/>
        <v>0</v>
      </c>
      <c r="F21" s="1906" t="str">
        <f t="shared" si="1"/>
        <v>0</v>
      </c>
    </row>
    <row r="22" spans="1:7" hidden="1" x14ac:dyDescent="0.25">
      <c r="A22" s="1888"/>
      <c r="B22" s="1908"/>
      <c r="C22" s="1885"/>
      <c r="D22" s="1886"/>
      <c r="E22" s="1906">
        <f t="shared" si="0"/>
        <v>0</v>
      </c>
      <c r="F22" s="1906" t="str">
        <f t="shared" si="1"/>
        <v>0</v>
      </c>
    </row>
    <row r="23" spans="1:7" hidden="1" x14ac:dyDescent="0.25">
      <c r="A23" s="1888"/>
      <c r="B23" s="1908"/>
      <c r="C23" s="1885"/>
      <c r="D23" s="1886"/>
      <c r="E23" s="1906">
        <f t="shared" si="0"/>
        <v>0</v>
      </c>
      <c r="F23" s="1906" t="str">
        <f t="shared" si="1"/>
        <v>0</v>
      </c>
    </row>
    <row r="24" spans="1:7" hidden="1" x14ac:dyDescent="0.25">
      <c r="A24" s="1888"/>
      <c r="B24" s="1908"/>
      <c r="C24" s="1885"/>
      <c r="D24" s="1886"/>
      <c r="E24" s="1906">
        <f t="shared" si="0"/>
        <v>0</v>
      </c>
      <c r="F24" s="1906" t="str">
        <f t="shared" si="1"/>
        <v>0</v>
      </c>
    </row>
    <row r="25" spans="1:7" hidden="1" x14ac:dyDescent="0.25">
      <c r="A25" s="1888"/>
      <c r="B25" s="1908"/>
      <c r="C25" s="1885"/>
      <c r="D25" s="1886"/>
      <c r="E25" s="1906">
        <f t="shared" si="0"/>
        <v>0</v>
      </c>
      <c r="F25" s="1906" t="str">
        <f t="shared" si="1"/>
        <v>0</v>
      </c>
    </row>
    <row r="26" spans="1:7" hidden="1" x14ac:dyDescent="0.25">
      <c r="A26" s="1888"/>
      <c r="B26" s="1908"/>
      <c r="C26" s="1885"/>
      <c r="D26" s="1886"/>
      <c r="E26" s="1906">
        <f t="shared" si="0"/>
        <v>0</v>
      </c>
      <c r="F26" s="1906" t="str">
        <f t="shared" si="1"/>
        <v>0</v>
      </c>
    </row>
    <row r="27" spans="1:7" hidden="1" x14ac:dyDescent="0.25">
      <c r="A27" s="1888"/>
      <c r="B27" s="1908"/>
      <c r="C27" s="1889"/>
      <c r="D27" s="1886"/>
      <c r="E27" s="1906">
        <f t="shared" si="0"/>
        <v>0</v>
      </c>
      <c r="F27" s="1906" t="str">
        <f t="shared" si="1"/>
        <v>0</v>
      </c>
    </row>
    <row r="28" spans="1:7" hidden="1" x14ac:dyDescent="0.25">
      <c r="A28" s="1888"/>
      <c r="B28" s="1908"/>
      <c r="C28" s="1889"/>
      <c r="D28" s="1886"/>
      <c r="E28" s="1906">
        <f t="shared" si="0"/>
        <v>0</v>
      </c>
      <c r="F28" s="1906" t="str">
        <f t="shared" si="1"/>
        <v>0</v>
      </c>
    </row>
    <row r="29" spans="1:7" hidden="1" x14ac:dyDescent="0.25">
      <c r="A29" s="1888"/>
      <c r="B29" s="1908"/>
      <c r="C29" s="1889"/>
      <c r="D29" s="1886"/>
      <c r="E29" s="1906">
        <f t="shared" si="0"/>
        <v>0</v>
      </c>
      <c r="F29" s="1906" t="str">
        <f t="shared" si="1"/>
        <v>0</v>
      </c>
    </row>
    <row r="30" spans="1:7" hidden="1" x14ac:dyDescent="0.25">
      <c r="A30" s="1888"/>
      <c r="B30" s="1908"/>
      <c r="C30" s="1889"/>
      <c r="D30" s="1886"/>
      <c r="E30" s="1906">
        <f t="shared" si="0"/>
        <v>0</v>
      </c>
      <c r="F30" s="1906" t="str">
        <f t="shared" si="1"/>
        <v>0</v>
      </c>
    </row>
    <row r="31" spans="1:7" hidden="1" x14ac:dyDescent="0.25">
      <c r="A31" s="1888"/>
      <c r="B31" s="1908"/>
      <c r="C31" s="1889"/>
      <c r="D31" s="1886"/>
      <c r="E31" s="1906">
        <f t="shared" si="0"/>
        <v>0</v>
      </c>
      <c r="F31" s="1906" t="str">
        <f t="shared" si="1"/>
        <v>0</v>
      </c>
    </row>
    <row r="32" spans="1:7" hidden="1" x14ac:dyDescent="0.25">
      <c r="A32" s="1888"/>
      <c r="B32" s="1908"/>
      <c r="C32" s="1889"/>
      <c r="D32" s="1886"/>
      <c r="E32" s="1906">
        <f t="shared" si="0"/>
        <v>0</v>
      </c>
      <c r="F32" s="1906" t="str">
        <f t="shared" si="1"/>
        <v>0</v>
      </c>
    </row>
    <row r="33" spans="1:6" hidden="1" x14ac:dyDescent="0.25">
      <c r="A33" s="1888"/>
      <c r="B33" s="1908"/>
      <c r="C33" s="1889"/>
      <c r="D33" s="1886"/>
      <c r="E33" s="1906">
        <f t="shared" si="0"/>
        <v>0</v>
      </c>
      <c r="F33" s="1906" t="str">
        <f t="shared" si="1"/>
        <v>0</v>
      </c>
    </row>
    <row r="34" spans="1:6" hidden="1" x14ac:dyDescent="0.25">
      <c r="A34" s="1888"/>
      <c r="B34" s="1908"/>
      <c r="C34" s="1889"/>
      <c r="D34" s="1886"/>
      <c r="E34" s="1906">
        <f t="shared" si="0"/>
        <v>0</v>
      </c>
      <c r="F34" s="1906" t="str">
        <f t="shared" si="1"/>
        <v>0</v>
      </c>
    </row>
    <row r="35" spans="1:6" hidden="1" x14ac:dyDescent="0.25">
      <c r="A35" s="1888"/>
      <c r="B35" s="1908"/>
      <c r="C35" s="1889"/>
      <c r="D35" s="1886"/>
      <c r="E35" s="1906">
        <f t="shared" si="0"/>
        <v>0</v>
      </c>
      <c r="F35" s="1906" t="str">
        <f t="shared" si="1"/>
        <v>0</v>
      </c>
    </row>
    <row r="36" spans="1:6" hidden="1" x14ac:dyDescent="0.25">
      <c r="A36" s="1888"/>
      <c r="B36" s="1908"/>
      <c r="C36" s="1889"/>
      <c r="D36" s="1886"/>
      <c r="E36" s="1906">
        <f t="shared" si="0"/>
        <v>0</v>
      </c>
      <c r="F36" s="1906" t="str">
        <f t="shared" si="1"/>
        <v>0</v>
      </c>
    </row>
    <row r="37" spans="1:6" hidden="1" x14ac:dyDescent="0.25">
      <c r="A37" s="1888"/>
      <c r="B37" s="1908"/>
      <c r="C37" s="1889"/>
      <c r="D37" s="1886"/>
      <c r="E37" s="1906">
        <f t="shared" si="0"/>
        <v>0</v>
      </c>
      <c r="F37" s="1906" t="str">
        <f t="shared" si="1"/>
        <v>0</v>
      </c>
    </row>
    <row r="38" spans="1:6" hidden="1" x14ac:dyDescent="0.25">
      <c r="A38" s="1888"/>
      <c r="B38" s="1908"/>
      <c r="C38" s="1889"/>
      <c r="D38" s="1886"/>
      <c r="E38" s="1906">
        <f t="shared" si="0"/>
        <v>0</v>
      </c>
      <c r="F38" s="1906" t="str">
        <f t="shared" si="1"/>
        <v>0</v>
      </c>
    </row>
    <row r="39" spans="1:6" hidden="1" x14ac:dyDescent="0.25">
      <c r="A39" s="1888"/>
      <c r="B39" s="1909"/>
      <c r="C39" s="1889"/>
      <c r="D39" s="1886"/>
      <c r="E39" s="1906">
        <f t="shared" si="0"/>
        <v>0</v>
      </c>
      <c r="F39" s="1906" t="str">
        <f t="shared" si="1"/>
        <v>0</v>
      </c>
    </row>
    <row r="40" spans="1:6" hidden="1" x14ac:dyDescent="0.25">
      <c r="A40" s="1888"/>
      <c r="B40" s="1909"/>
      <c r="C40" s="1889"/>
      <c r="D40" s="1886"/>
      <c r="E40" s="1906">
        <f t="shared" si="0"/>
        <v>0</v>
      </c>
      <c r="F40" s="1906" t="str">
        <f t="shared" si="1"/>
        <v>0</v>
      </c>
    </row>
    <row r="41" spans="1:6" hidden="1" x14ac:dyDescent="0.25">
      <c r="A41" s="1888"/>
      <c r="B41" s="1909"/>
      <c r="C41" s="1889"/>
      <c r="D41" s="1886"/>
      <c r="E41" s="1906">
        <f t="shared" si="0"/>
        <v>0</v>
      </c>
      <c r="F41" s="1906" t="str">
        <f t="shared" si="1"/>
        <v>0</v>
      </c>
    </row>
    <row r="42" spans="1:6" hidden="1" x14ac:dyDescent="0.25">
      <c r="A42" s="1888"/>
      <c r="B42" s="1909"/>
      <c r="C42" s="1889"/>
      <c r="D42" s="1886"/>
      <c r="E42" s="1906">
        <f t="shared" si="0"/>
        <v>0</v>
      </c>
      <c r="F42" s="1906" t="str">
        <f t="shared" si="1"/>
        <v>0</v>
      </c>
    </row>
    <row r="43" spans="1:6" hidden="1" x14ac:dyDescent="0.25">
      <c r="A43" s="1888"/>
      <c r="B43" s="1909"/>
      <c r="C43" s="1889"/>
      <c r="D43" s="1886"/>
      <c r="E43" s="1906">
        <f t="shared" si="0"/>
        <v>0</v>
      </c>
      <c r="F43" s="1906" t="str">
        <f t="shared" si="1"/>
        <v>0</v>
      </c>
    </row>
    <row r="44" spans="1:6" hidden="1" x14ac:dyDescent="0.25">
      <c r="A44" s="1888"/>
      <c r="B44" s="1909"/>
      <c r="C44" s="1889"/>
      <c r="D44" s="1886"/>
      <c r="E44" s="1906">
        <f t="shared" si="0"/>
        <v>0</v>
      </c>
      <c r="F44" s="1906" t="str">
        <f t="shared" si="1"/>
        <v>0</v>
      </c>
    </row>
    <row r="45" spans="1:6" hidden="1" x14ac:dyDescent="0.25">
      <c r="A45" s="1888"/>
      <c r="B45" s="1909"/>
      <c r="C45" s="1889"/>
      <c r="D45" s="1886"/>
      <c r="E45" s="1906">
        <f t="shared" si="0"/>
        <v>0</v>
      </c>
      <c r="F45" s="1906" t="str">
        <f t="shared" si="1"/>
        <v>0</v>
      </c>
    </row>
    <row r="46" spans="1:6" hidden="1" x14ac:dyDescent="0.25">
      <c r="A46" s="1888"/>
      <c r="B46" s="1909"/>
      <c r="C46" s="1889"/>
      <c r="D46" s="1886"/>
      <c r="E46" s="1906">
        <f t="shared" si="0"/>
        <v>0</v>
      </c>
      <c r="F46" s="1906" t="str">
        <f t="shared" si="1"/>
        <v>0</v>
      </c>
    </row>
    <row r="47" spans="1:6" hidden="1" x14ac:dyDescent="0.25">
      <c r="A47" s="1888"/>
      <c r="B47" s="1909"/>
      <c r="C47" s="1889"/>
      <c r="D47" s="1886"/>
      <c r="E47" s="1906">
        <f t="shared" si="0"/>
        <v>0</v>
      </c>
      <c r="F47" s="1906" t="str">
        <f t="shared" si="1"/>
        <v>0</v>
      </c>
    </row>
    <row r="48" spans="1:6" hidden="1" x14ac:dyDescent="0.25">
      <c r="A48" s="1888"/>
      <c r="B48" s="1909"/>
      <c r="C48" s="1889"/>
      <c r="D48" s="1886"/>
      <c r="E48" s="1906">
        <f t="shared" si="0"/>
        <v>0</v>
      </c>
      <c r="F48" s="1906" t="str">
        <f t="shared" si="1"/>
        <v>0</v>
      </c>
    </row>
    <row r="49" spans="1:6" hidden="1" x14ac:dyDescent="0.25">
      <c r="A49" s="1888"/>
      <c r="B49" s="1909"/>
      <c r="C49" s="1889"/>
      <c r="D49" s="1886"/>
      <c r="E49" s="1906">
        <f t="shared" si="0"/>
        <v>0</v>
      </c>
      <c r="F49" s="1906" t="str">
        <f t="shared" si="1"/>
        <v>0</v>
      </c>
    </row>
    <row r="50" spans="1:6" hidden="1" x14ac:dyDescent="0.25">
      <c r="A50" s="1888"/>
      <c r="B50" s="1909"/>
      <c r="C50" s="1889"/>
      <c r="D50" s="1886"/>
      <c r="E50" s="1906">
        <f t="shared" si="0"/>
        <v>0</v>
      </c>
      <c r="F50" s="1906" t="str">
        <f t="shared" si="1"/>
        <v>0</v>
      </c>
    </row>
    <row r="51" spans="1:6" hidden="1" x14ac:dyDescent="0.25">
      <c r="A51" s="1888"/>
      <c r="B51" s="1909"/>
      <c r="C51" s="1889"/>
      <c r="D51" s="1886"/>
      <c r="E51" s="1906">
        <f t="shared" si="0"/>
        <v>0</v>
      </c>
      <c r="F51" s="1906" t="str">
        <f t="shared" si="1"/>
        <v>0</v>
      </c>
    </row>
    <row r="52" spans="1:6" hidden="1" x14ac:dyDescent="0.25">
      <c r="A52" s="1888"/>
      <c r="B52" s="1909"/>
      <c r="C52" s="1889"/>
      <c r="D52" s="1886"/>
      <c r="E52" s="1906">
        <f t="shared" si="0"/>
        <v>0</v>
      </c>
      <c r="F52" s="1906" t="str">
        <f t="shared" si="1"/>
        <v>0</v>
      </c>
    </row>
    <row r="53" spans="1:6" hidden="1" x14ac:dyDescent="0.25">
      <c r="A53" s="1888"/>
      <c r="B53" s="1909"/>
      <c r="C53" s="1889"/>
      <c r="D53" s="1886"/>
      <c r="E53" s="1906">
        <f t="shared" si="0"/>
        <v>0</v>
      </c>
      <c r="F53" s="1906" t="str">
        <f t="shared" si="1"/>
        <v>0</v>
      </c>
    </row>
    <row r="54" spans="1:6" hidden="1" x14ac:dyDescent="0.25">
      <c r="A54" s="1888"/>
      <c r="B54" s="1909"/>
      <c r="C54" s="1889"/>
      <c r="D54" s="1886"/>
      <c r="E54" s="1906">
        <f t="shared" si="0"/>
        <v>0</v>
      </c>
      <c r="F54" s="1906" t="str">
        <f t="shared" si="1"/>
        <v>0</v>
      </c>
    </row>
    <row r="55" spans="1:6" hidden="1" x14ac:dyDescent="0.25">
      <c r="A55" s="1888"/>
      <c r="B55" s="1909"/>
      <c r="C55" s="1889"/>
      <c r="D55" s="1886"/>
      <c r="E55" s="1906">
        <f t="shared" si="0"/>
        <v>0</v>
      </c>
      <c r="F55" s="1906" t="str">
        <f t="shared" si="1"/>
        <v>0</v>
      </c>
    </row>
    <row r="56" spans="1:6" hidden="1" x14ac:dyDescent="0.25">
      <c r="A56" s="1888"/>
      <c r="B56" s="1909"/>
      <c r="C56" s="1889"/>
      <c r="D56" s="1886"/>
      <c r="E56" s="1906">
        <f t="shared" si="0"/>
        <v>0</v>
      </c>
      <c r="F56" s="1906" t="str">
        <f t="shared" si="1"/>
        <v>0</v>
      </c>
    </row>
    <row r="57" spans="1:6" hidden="1" x14ac:dyDescent="0.25">
      <c r="A57" s="1888"/>
      <c r="B57" s="1909"/>
      <c r="C57" s="1889"/>
      <c r="D57" s="1886"/>
      <c r="E57" s="1906">
        <f t="shared" si="0"/>
        <v>0</v>
      </c>
      <c r="F57" s="1906" t="str">
        <f t="shared" si="1"/>
        <v>0</v>
      </c>
    </row>
    <row r="58" spans="1:6" hidden="1" x14ac:dyDescent="0.25">
      <c r="A58" s="1888"/>
      <c r="B58" s="1909"/>
      <c r="C58" s="1889"/>
      <c r="D58" s="1886"/>
      <c r="E58" s="1906">
        <f t="shared" si="0"/>
        <v>0</v>
      </c>
      <c r="F58" s="1906" t="str">
        <f t="shared" si="1"/>
        <v>0</v>
      </c>
    </row>
    <row r="59" spans="1:6" hidden="1" x14ac:dyDescent="0.25">
      <c r="A59" s="1888"/>
      <c r="B59" s="1909"/>
      <c r="C59" s="1889"/>
      <c r="D59" s="1886"/>
      <c r="E59" s="1906">
        <f t="shared" si="0"/>
        <v>0</v>
      </c>
      <c r="F59" s="1906" t="str">
        <f t="shared" si="1"/>
        <v>0</v>
      </c>
    </row>
    <row r="60" spans="1:6" hidden="1" x14ac:dyDescent="0.25">
      <c r="A60" s="1888"/>
      <c r="B60" s="1909"/>
      <c r="C60" s="1889"/>
      <c r="D60" s="1886"/>
      <c r="E60" s="1906">
        <f t="shared" si="0"/>
        <v>0</v>
      </c>
      <c r="F60" s="1906" t="str">
        <f t="shared" si="1"/>
        <v>0</v>
      </c>
    </row>
    <row r="61" spans="1:6" hidden="1" x14ac:dyDescent="0.25">
      <c r="A61" s="1888"/>
      <c r="B61" s="1909"/>
      <c r="C61" s="1889"/>
      <c r="D61" s="1886"/>
      <c r="E61" s="1906">
        <f t="shared" si="0"/>
        <v>0</v>
      </c>
      <c r="F61" s="1906" t="str">
        <f t="shared" si="1"/>
        <v>0</v>
      </c>
    </row>
    <row r="62" spans="1:6" hidden="1" x14ac:dyDescent="0.25">
      <c r="A62" s="1888"/>
      <c r="B62" s="1909"/>
      <c r="C62" s="1889"/>
      <c r="D62" s="1886"/>
      <c r="E62" s="1906">
        <f t="shared" si="0"/>
        <v>0</v>
      </c>
      <c r="F62" s="1906" t="str">
        <f t="shared" si="1"/>
        <v>0</v>
      </c>
    </row>
    <row r="63" spans="1:6" hidden="1" x14ac:dyDescent="0.25">
      <c r="A63" s="1888"/>
      <c r="B63" s="1909"/>
      <c r="C63" s="1889"/>
      <c r="D63" s="1886"/>
      <c r="E63" s="1906">
        <f t="shared" si="0"/>
        <v>0</v>
      </c>
      <c r="F63" s="1906" t="str">
        <f t="shared" si="1"/>
        <v>0</v>
      </c>
    </row>
    <row r="64" spans="1:6" hidden="1" x14ac:dyDescent="0.25">
      <c r="A64" s="1888"/>
      <c r="B64" s="1909"/>
      <c r="C64" s="1889"/>
      <c r="D64" s="1886"/>
      <c r="E64" s="1906">
        <f t="shared" si="0"/>
        <v>0</v>
      </c>
      <c r="F64" s="1906" t="str">
        <f t="shared" si="1"/>
        <v>0</v>
      </c>
    </row>
    <row r="65" spans="1:6" hidden="1" x14ac:dyDescent="0.25">
      <c r="A65" s="1884"/>
      <c r="B65" s="1909"/>
      <c r="C65" s="1885"/>
      <c r="D65" s="1886"/>
      <c r="E65" s="1906">
        <f t="shared" si="0"/>
        <v>0</v>
      </c>
      <c r="F65" s="1906" t="str">
        <f t="shared" si="1"/>
        <v>0</v>
      </c>
    </row>
    <row r="66" spans="1:6" hidden="1" x14ac:dyDescent="0.25">
      <c r="A66" s="1888"/>
      <c r="B66" s="1909"/>
      <c r="C66" s="1889"/>
      <c r="D66" s="1886"/>
      <c r="E66" s="1906">
        <f t="shared" si="0"/>
        <v>0</v>
      </c>
      <c r="F66" s="1906" t="str">
        <f t="shared" si="1"/>
        <v>0</v>
      </c>
    </row>
    <row r="67" spans="1:6" hidden="1" x14ac:dyDescent="0.25">
      <c r="A67" s="1888"/>
      <c r="B67" s="1909"/>
      <c r="C67" s="1889"/>
      <c r="D67" s="1886"/>
      <c r="E67" s="1906">
        <f t="shared" si="0"/>
        <v>0</v>
      </c>
      <c r="F67" s="1906" t="str">
        <f t="shared" si="1"/>
        <v>0</v>
      </c>
    </row>
    <row r="68" spans="1:6" hidden="1" x14ac:dyDescent="0.25">
      <c r="A68" s="1888"/>
      <c r="B68" s="1909"/>
      <c r="C68" s="1889"/>
      <c r="D68" s="1886"/>
      <c r="E68" s="1906">
        <f t="shared" si="0"/>
        <v>0</v>
      </c>
      <c r="F68" s="1906" t="str">
        <f t="shared" si="1"/>
        <v>0</v>
      </c>
    </row>
    <row r="69" spans="1:6" hidden="1" x14ac:dyDescent="0.25">
      <c r="A69" s="1888"/>
      <c r="B69" s="1909"/>
      <c r="C69" s="1889"/>
      <c r="D69" s="1886"/>
      <c r="E69" s="1906">
        <f t="shared" si="0"/>
        <v>0</v>
      </c>
      <c r="F69" s="1906" t="str">
        <f t="shared" si="1"/>
        <v>0</v>
      </c>
    </row>
    <row r="70" spans="1:6" hidden="1" x14ac:dyDescent="0.25">
      <c r="A70" s="1888"/>
      <c r="B70" s="1909"/>
      <c r="C70" s="1889"/>
      <c r="D70" s="1886"/>
      <c r="E70" s="1906">
        <f t="shared" si="0"/>
        <v>0</v>
      </c>
      <c r="F70" s="1906" t="str">
        <f t="shared" si="1"/>
        <v>0</v>
      </c>
    </row>
    <row r="71" spans="1:6" hidden="1" x14ac:dyDescent="0.25">
      <c r="A71" s="1888"/>
      <c r="B71" s="1909"/>
      <c r="C71" s="1889"/>
      <c r="D71" s="1886"/>
      <c r="E71" s="1906">
        <f t="shared" si="0"/>
        <v>0</v>
      </c>
      <c r="F71" s="1906" t="str">
        <f t="shared" si="1"/>
        <v>0</v>
      </c>
    </row>
    <row r="72" spans="1:6" hidden="1" x14ac:dyDescent="0.25">
      <c r="A72" s="1888"/>
      <c r="B72" s="1909"/>
      <c r="C72" s="1889"/>
      <c r="D72" s="1886"/>
      <c r="E72" s="1906">
        <f t="shared" si="0"/>
        <v>0</v>
      </c>
      <c r="F72" s="1906" t="str">
        <f t="shared" si="1"/>
        <v>0</v>
      </c>
    </row>
    <row r="73" spans="1:6" hidden="1" x14ac:dyDescent="0.25">
      <c r="A73" s="1888"/>
      <c r="B73" s="1909"/>
      <c r="C73" s="1889"/>
      <c r="D73" s="1886"/>
      <c r="E73" s="1906">
        <f t="shared" si="0"/>
        <v>0</v>
      </c>
      <c r="F73" s="1906" t="str">
        <f t="shared" si="1"/>
        <v>0</v>
      </c>
    </row>
    <row r="74" spans="1:6" hidden="1" x14ac:dyDescent="0.25">
      <c r="A74" s="1888"/>
      <c r="B74" s="1909"/>
      <c r="C74" s="1889"/>
      <c r="D74" s="1886"/>
      <c r="E74" s="1906">
        <f t="shared" si="0"/>
        <v>0</v>
      </c>
      <c r="F74" s="1906" t="str">
        <f t="shared" si="1"/>
        <v>0</v>
      </c>
    </row>
    <row r="75" spans="1:6" hidden="1" x14ac:dyDescent="0.25">
      <c r="A75" s="1888"/>
      <c r="B75" s="1909"/>
      <c r="C75" s="1889"/>
      <c r="D75" s="1886"/>
      <c r="E75" s="1906">
        <f t="shared" si="0"/>
        <v>0</v>
      </c>
      <c r="F75" s="1906" t="str">
        <f t="shared" si="1"/>
        <v>0</v>
      </c>
    </row>
    <row r="76" spans="1:6" hidden="1" x14ac:dyDescent="0.25">
      <c r="A76" s="1888"/>
      <c r="B76" s="1909"/>
      <c r="C76" s="1889"/>
      <c r="D76" s="1886"/>
      <c r="E76" s="1906">
        <f t="shared" si="0"/>
        <v>0</v>
      </c>
      <c r="F76" s="1906" t="str">
        <f t="shared" si="1"/>
        <v>0</v>
      </c>
    </row>
    <row r="77" spans="1:6" hidden="1" x14ac:dyDescent="0.25">
      <c r="A77" s="1888"/>
      <c r="B77" s="1909"/>
      <c r="C77" s="1889"/>
      <c r="D77" s="1886"/>
      <c r="E77" s="1906">
        <f t="shared" si="0"/>
        <v>0</v>
      </c>
      <c r="F77" s="1906" t="str">
        <f t="shared" si="1"/>
        <v>0</v>
      </c>
    </row>
    <row r="78" spans="1:6" hidden="1" x14ac:dyDescent="0.25">
      <c r="A78" s="1888"/>
      <c r="B78" s="1909"/>
      <c r="C78" s="1889"/>
      <c r="D78" s="1886"/>
      <c r="E78" s="1906">
        <f t="shared" si="0"/>
        <v>0</v>
      </c>
      <c r="F78" s="1906" t="str">
        <f t="shared" si="1"/>
        <v>0</v>
      </c>
    </row>
    <row r="79" spans="1:6" hidden="1" x14ac:dyDescent="0.25">
      <c r="A79" s="1888"/>
      <c r="B79" s="1909"/>
      <c r="C79" s="1889"/>
      <c r="D79" s="1886"/>
      <c r="E79" s="1906">
        <f t="shared" si="0"/>
        <v>0</v>
      </c>
      <c r="F79" s="1906" t="str">
        <f t="shared" si="1"/>
        <v>0</v>
      </c>
    </row>
    <row r="80" spans="1:6" hidden="1" x14ac:dyDescent="0.25">
      <c r="A80" s="1888"/>
      <c r="B80" s="1909"/>
      <c r="C80" s="1889"/>
      <c r="D80" s="1886"/>
      <c r="E80" s="1906">
        <f t="shared" si="0"/>
        <v>0</v>
      </c>
      <c r="F80" s="1906" t="str">
        <f t="shared" si="1"/>
        <v>0</v>
      </c>
    </row>
    <row r="81" spans="1:6" hidden="1" x14ac:dyDescent="0.25">
      <c r="A81" s="1888"/>
      <c r="B81" s="1909"/>
      <c r="C81" s="1889"/>
      <c r="D81" s="1886"/>
      <c r="E81" s="1906">
        <f t="shared" si="0"/>
        <v>0</v>
      </c>
      <c r="F81" s="1906" t="str">
        <f t="shared" si="1"/>
        <v>0</v>
      </c>
    </row>
    <row r="82" spans="1:6" hidden="1" x14ac:dyDescent="0.25">
      <c r="A82" s="1888"/>
      <c r="B82" s="1909"/>
      <c r="C82" s="1889"/>
      <c r="D82" s="1886"/>
      <c r="E82" s="1906">
        <f t="shared" ref="E82:E145" si="2">IF(D82&lt;25000,D82,"25,000")</f>
        <v>0</v>
      </c>
      <c r="F82" s="1906" t="str">
        <f t="shared" ref="F82:F145" si="3">IF(D82&gt;=25000,(D82-E82),"0")</f>
        <v>0</v>
      </c>
    </row>
    <row r="83" spans="1:6" hidden="1" x14ac:dyDescent="0.25">
      <c r="A83" s="1888"/>
      <c r="B83" s="1909"/>
      <c r="C83" s="1889"/>
      <c r="D83" s="1886"/>
      <c r="E83" s="1906">
        <f t="shared" si="2"/>
        <v>0</v>
      </c>
      <c r="F83" s="1906" t="str">
        <f t="shared" si="3"/>
        <v>0</v>
      </c>
    </row>
    <row r="84" spans="1:6" hidden="1" x14ac:dyDescent="0.25">
      <c r="A84" s="1888"/>
      <c r="B84" s="1909"/>
      <c r="C84" s="1889"/>
      <c r="D84" s="1886"/>
      <c r="E84" s="1906">
        <f t="shared" si="2"/>
        <v>0</v>
      </c>
      <c r="F84" s="1906" t="str">
        <f t="shared" si="3"/>
        <v>0</v>
      </c>
    </row>
    <row r="85" spans="1:6" hidden="1" x14ac:dyDescent="0.25">
      <c r="A85" s="1888"/>
      <c r="B85" s="1909"/>
      <c r="C85" s="1889"/>
      <c r="D85" s="1886"/>
      <c r="E85" s="1906">
        <f t="shared" si="2"/>
        <v>0</v>
      </c>
      <c r="F85" s="1906" t="str">
        <f t="shared" si="3"/>
        <v>0</v>
      </c>
    </row>
    <row r="86" spans="1:6" hidden="1" x14ac:dyDescent="0.25">
      <c r="A86" s="1888"/>
      <c r="B86" s="1909"/>
      <c r="C86" s="1889"/>
      <c r="D86" s="1886"/>
      <c r="E86" s="1906">
        <f t="shared" si="2"/>
        <v>0</v>
      </c>
      <c r="F86" s="1906" t="str">
        <f t="shared" si="3"/>
        <v>0</v>
      </c>
    </row>
    <row r="87" spans="1:6" hidden="1" x14ac:dyDescent="0.25">
      <c r="A87" s="1888"/>
      <c r="B87" s="1909"/>
      <c r="C87" s="1889"/>
      <c r="D87" s="1886"/>
      <c r="E87" s="1906">
        <f t="shared" si="2"/>
        <v>0</v>
      </c>
      <c r="F87" s="1906" t="str">
        <f t="shared" si="3"/>
        <v>0</v>
      </c>
    </row>
    <row r="88" spans="1:6" hidden="1" x14ac:dyDescent="0.25">
      <c r="A88" s="1888"/>
      <c r="B88" s="1909"/>
      <c r="C88" s="1889"/>
      <c r="D88" s="1886"/>
      <c r="E88" s="1906">
        <f t="shared" si="2"/>
        <v>0</v>
      </c>
      <c r="F88" s="1906" t="str">
        <f t="shared" si="3"/>
        <v>0</v>
      </c>
    </row>
    <row r="89" spans="1:6" hidden="1" x14ac:dyDescent="0.25">
      <c r="A89" s="1888"/>
      <c r="B89" s="1909"/>
      <c r="C89" s="1889"/>
      <c r="D89" s="1886"/>
      <c r="E89" s="1906">
        <f t="shared" si="2"/>
        <v>0</v>
      </c>
      <c r="F89" s="1906" t="str">
        <f t="shared" si="3"/>
        <v>0</v>
      </c>
    </row>
    <row r="90" spans="1:6" hidden="1" x14ac:dyDescent="0.25">
      <c r="A90" s="1888"/>
      <c r="B90" s="1909"/>
      <c r="C90" s="1889"/>
      <c r="D90" s="1886"/>
      <c r="E90" s="1906">
        <f t="shared" si="2"/>
        <v>0</v>
      </c>
      <c r="F90" s="1906" t="str">
        <f t="shared" si="3"/>
        <v>0</v>
      </c>
    </row>
    <row r="91" spans="1:6" hidden="1" x14ac:dyDescent="0.25">
      <c r="A91" s="1888"/>
      <c r="B91" s="1909"/>
      <c r="C91" s="1889"/>
      <c r="D91" s="1886"/>
      <c r="E91" s="1906">
        <f t="shared" si="2"/>
        <v>0</v>
      </c>
      <c r="F91" s="1906" t="str">
        <f t="shared" si="3"/>
        <v>0</v>
      </c>
    </row>
    <row r="92" spans="1:6" hidden="1" x14ac:dyDescent="0.25">
      <c r="A92" s="1888"/>
      <c r="B92" s="1909"/>
      <c r="C92" s="1889"/>
      <c r="D92" s="1886"/>
      <c r="E92" s="1906">
        <f t="shared" si="2"/>
        <v>0</v>
      </c>
      <c r="F92" s="1906" t="str">
        <f t="shared" si="3"/>
        <v>0</v>
      </c>
    </row>
    <row r="93" spans="1:6" hidden="1" x14ac:dyDescent="0.25">
      <c r="A93" s="1888"/>
      <c r="B93" s="1909"/>
      <c r="C93" s="1889"/>
      <c r="D93" s="1886"/>
      <c r="E93" s="1906">
        <f t="shared" si="2"/>
        <v>0</v>
      </c>
      <c r="F93" s="1906" t="str">
        <f t="shared" si="3"/>
        <v>0</v>
      </c>
    </row>
    <row r="94" spans="1:6" hidden="1" x14ac:dyDescent="0.25">
      <c r="A94" s="1888"/>
      <c r="B94" s="1909"/>
      <c r="C94" s="1889"/>
      <c r="D94" s="1886"/>
      <c r="E94" s="1906">
        <f t="shared" si="2"/>
        <v>0</v>
      </c>
      <c r="F94" s="1906" t="str">
        <f t="shared" si="3"/>
        <v>0</v>
      </c>
    </row>
    <row r="95" spans="1:6" hidden="1" x14ac:dyDescent="0.25">
      <c r="A95" s="1888"/>
      <c r="B95" s="1909"/>
      <c r="C95" s="1889"/>
      <c r="D95" s="1886"/>
      <c r="E95" s="1906">
        <f t="shared" si="2"/>
        <v>0</v>
      </c>
      <c r="F95" s="1906" t="str">
        <f t="shared" si="3"/>
        <v>0</v>
      </c>
    </row>
    <row r="96" spans="1:6" hidden="1" x14ac:dyDescent="0.25">
      <c r="A96" s="1888"/>
      <c r="B96" s="1909"/>
      <c r="C96" s="1889"/>
      <c r="D96" s="1886"/>
      <c r="E96" s="1906">
        <f t="shared" si="2"/>
        <v>0</v>
      </c>
      <c r="F96" s="1906" t="str">
        <f t="shared" si="3"/>
        <v>0</v>
      </c>
    </row>
    <row r="97" spans="1:6" hidden="1" x14ac:dyDescent="0.25">
      <c r="A97" s="1888"/>
      <c r="B97" s="1909"/>
      <c r="C97" s="1889"/>
      <c r="D97" s="1886"/>
      <c r="E97" s="1906">
        <f t="shared" si="2"/>
        <v>0</v>
      </c>
      <c r="F97" s="1906" t="str">
        <f t="shared" si="3"/>
        <v>0</v>
      </c>
    </row>
    <row r="98" spans="1:6" hidden="1" x14ac:dyDescent="0.25">
      <c r="A98" s="1888"/>
      <c r="B98" s="1909"/>
      <c r="C98" s="1889"/>
      <c r="D98" s="1886"/>
      <c r="E98" s="1906">
        <f t="shared" si="2"/>
        <v>0</v>
      </c>
      <c r="F98" s="1906" t="str">
        <f t="shared" si="3"/>
        <v>0</v>
      </c>
    </row>
    <row r="99" spans="1:6" hidden="1" x14ac:dyDescent="0.25">
      <c r="A99" s="1888"/>
      <c r="B99" s="1909"/>
      <c r="C99" s="1889"/>
      <c r="D99" s="1886"/>
      <c r="E99" s="1906">
        <f t="shared" si="2"/>
        <v>0</v>
      </c>
      <c r="F99" s="1906" t="str">
        <f t="shared" si="3"/>
        <v>0</v>
      </c>
    </row>
    <row r="100" spans="1:6" hidden="1" x14ac:dyDescent="0.25">
      <c r="A100" s="1888"/>
      <c r="B100" s="1909"/>
      <c r="C100" s="1889"/>
      <c r="D100" s="1886"/>
      <c r="E100" s="1906">
        <f t="shared" si="2"/>
        <v>0</v>
      </c>
      <c r="F100" s="1906" t="str">
        <f t="shared" si="3"/>
        <v>0</v>
      </c>
    </row>
    <row r="101" spans="1:6" hidden="1" x14ac:dyDescent="0.25">
      <c r="A101" s="1888"/>
      <c r="B101" s="1909"/>
      <c r="C101" s="1889"/>
      <c r="D101" s="1886"/>
      <c r="E101" s="1906">
        <f t="shared" si="2"/>
        <v>0</v>
      </c>
      <c r="F101" s="1906" t="str">
        <f t="shared" si="3"/>
        <v>0</v>
      </c>
    </row>
    <row r="102" spans="1:6" hidden="1" x14ac:dyDescent="0.25">
      <c r="A102" s="1888"/>
      <c r="B102" s="1909"/>
      <c r="C102" s="1889"/>
      <c r="D102" s="1886"/>
      <c r="E102" s="1906">
        <f t="shared" si="2"/>
        <v>0</v>
      </c>
      <c r="F102" s="1906" t="str">
        <f t="shared" si="3"/>
        <v>0</v>
      </c>
    </row>
    <row r="103" spans="1:6" hidden="1" x14ac:dyDescent="0.25">
      <c r="A103" s="1888"/>
      <c r="B103" s="1909"/>
      <c r="C103" s="1889"/>
      <c r="D103" s="1886"/>
      <c r="E103" s="1906">
        <f t="shared" si="2"/>
        <v>0</v>
      </c>
      <c r="F103" s="1906" t="str">
        <f t="shared" si="3"/>
        <v>0</v>
      </c>
    </row>
    <row r="104" spans="1:6" hidden="1" x14ac:dyDescent="0.25">
      <c r="A104" s="1888"/>
      <c r="B104" s="1909"/>
      <c r="C104" s="1889"/>
      <c r="D104" s="1886"/>
      <c r="E104" s="1906">
        <f t="shared" si="2"/>
        <v>0</v>
      </c>
      <c r="F104" s="1906" t="str">
        <f t="shared" si="3"/>
        <v>0</v>
      </c>
    </row>
    <row r="105" spans="1:6" hidden="1" x14ac:dyDescent="0.25">
      <c r="A105" s="1888"/>
      <c r="B105" s="1909"/>
      <c r="C105" s="1889"/>
      <c r="D105" s="1886"/>
      <c r="E105" s="1906">
        <f t="shared" si="2"/>
        <v>0</v>
      </c>
      <c r="F105" s="1906" t="str">
        <f t="shared" si="3"/>
        <v>0</v>
      </c>
    </row>
    <row r="106" spans="1:6" hidden="1" x14ac:dyDescent="0.25">
      <c r="A106" s="1888"/>
      <c r="B106" s="1909"/>
      <c r="C106" s="1889"/>
      <c r="D106" s="1886"/>
      <c r="E106" s="1906">
        <f t="shared" si="2"/>
        <v>0</v>
      </c>
      <c r="F106" s="1906" t="str">
        <f t="shared" si="3"/>
        <v>0</v>
      </c>
    </row>
    <row r="107" spans="1:6" hidden="1" x14ac:dyDescent="0.25">
      <c r="A107" s="1888"/>
      <c r="B107" s="1909"/>
      <c r="C107" s="1889"/>
      <c r="D107" s="1886"/>
      <c r="E107" s="1906">
        <f t="shared" si="2"/>
        <v>0</v>
      </c>
      <c r="F107" s="1906" t="str">
        <f t="shared" si="3"/>
        <v>0</v>
      </c>
    </row>
    <row r="108" spans="1:6" hidden="1" x14ac:dyDescent="0.25">
      <c r="A108" s="1888"/>
      <c r="B108" s="1909"/>
      <c r="C108" s="1889"/>
      <c r="D108" s="1886"/>
      <c r="E108" s="1906">
        <f t="shared" si="2"/>
        <v>0</v>
      </c>
      <c r="F108" s="1906" t="str">
        <f t="shared" si="3"/>
        <v>0</v>
      </c>
    </row>
    <row r="109" spans="1:6" hidden="1" x14ac:dyDescent="0.25">
      <c r="A109" s="1888"/>
      <c r="B109" s="1909"/>
      <c r="C109" s="1889"/>
      <c r="D109" s="1886"/>
      <c r="E109" s="1906">
        <f t="shared" si="2"/>
        <v>0</v>
      </c>
      <c r="F109" s="1906" t="str">
        <f t="shared" si="3"/>
        <v>0</v>
      </c>
    </row>
    <row r="110" spans="1:6" hidden="1" x14ac:dyDescent="0.25">
      <c r="A110" s="1888"/>
      <c r="B110" s="1909"/>
      <c r="C110" s="1889"/>
      <c r="D110" s="1886"/>
      <c r="E110" s="1906">
        <f t="shared" si="2"/>
        <v>0</v>
      </c>
      <c r="F110" s="1906" t="str">
        <f t="shared" si="3"/>
        <v>0</v>
      </c>
    </row>
    <row r="111" spans="1:6" hidden="1" x14ac:dyDescent="0.25">
      <c r="A111" s="1888"/>
      <c r="B111" s="1909"/>
      <c r="C111" s="1889"/>
      <c r="D111" s="1886"/>
      <c r="E111" s="1906">
        <f t="shared" si="2"/>
        <v>0</v>
      </c>
      <c r="F111" s="1906" t="str">
        <f t="shared" si="3"/>
        <v>0</v>
      </c>
    </row>
    <row r="112" spans="1:6" hidden="1" x14ac:dyDescent="0.25">
      <c r="A112" s="1888"/>
      <c r="B112" s="1909"/>
      <c r="C112" s="1889"/>
      <c r="D112" s="1886"/>
      <c r="E112" s="1906">
        <f t="shared" si="2"/>
        <v>0</v>
      </c>
      <c r="F112" s="1906" t="str">
        <f t="shared" si="3"/>
        <v>0</v>
      </c>
    </row>
    <row r="113" spans="1:6" hidden="1" x14ac:dyDescent="0.25">
      <c r="A113" s="1888"/>
      <c r="B113" s="1909"/>
      <c r="C113" s="1889"/>
      <c r="D113" s="1886"/>
      <c r="E113" s="1906">
        <f t="shared" si="2"/>
        <v>0</v>
      </c>
      <c r="F113" s="1906" t="str">
        <f t="shared" si="3"/>
        <v>0</v>
      </c>
    </row>
    <row r="114" spans="1:6" hidden="1" x14ac:dyDescent="0.25">
      <c r="A114" s="1888"/>
      <c r="B114" s="1909"/>
      <c r="C114" s="1889"/>
      <c r="D114" s="1886"/>
      <c r="E114" s="1906">
        <f t="shared" si="2"/>
        <v>0</v>
      </c>
      <c r="F114" s="1906" t="str">
        <f t="shared" si="3"/>
        <v>0</v>
      </c>
    </row>
    <row r="115" spans="1:6" hidden="1" x14ac:dyDescent="0.25">
      <c r="A115" s="1888"/>
      <c r="B115" s="1909"/>
      <c r="C115" s="1889"/>
      <c r="D115" s="1886"/>
      <c r="E115" s="1906">
        <f t="shared" si="2"/>
        <v>0</v>
      </c>
      <c r="F115" s="1906" t="str">
        <f t="shared" si="3"/>
        <v>0</v>
      </c>
    </row>
    <row r="116" spans="1:6" hidden="1" x14ac:dyDescent="0.25">
      <c r="A116" s="1888"/>
      <c r="B116" s="1909"/>
      <c r="C116" s="1889"/>
      <c r="D116" s="1886"/>
      <c r="E116" s="1906">
        <f t="shared" si="2"/>
        <v>0</v>
      </c>
      <c r="F116" s="1906" t="str">
        <f t="shared" si="3"/>
        <v>0</v>
      </c>
    </row>
    <row r="117" spans="1:6" hidden="1" x14ac:dyDescent="0.25">
      <c r="A117" s="1888"/>
      <c r="B117" s="1909"/>
      <c r="C117" s="1889"/>
      <c r="D117" s="1886"/>
      <c r="E117" s="1906">
        <f t="shared" si="2"/>
        <v>0</v>
      </c>
      <c r="F117" s="1906" t="str">
        <f t="shared" si="3"/>
        <v>0</v>
      </c>
    </row>
    <row r="118" spans="1:6" hidden="1" x14ac:dyDescent="0.25">
      <c r="A118" s="1888"/>
      <c r="B118" s="1909"/>
      <c r="C118" s="1889"/>
      <c r="D118" s="1886"/>
      <c r="E118" s="1906">
        <f t="shared" si="2"/>
        <v>0</v>
      </c>
      <c r="F118" s="1906" t="str">
        <f t="shared" si="3"/>
        <v>0</v>
      </c>
    </row>
    <row r="119" spans="1:6" hidden="1" x14ac:dyDescent="0.25">
      <c r="A119" s="1888"/>
      <c r="B119" s="1909"/>
      <c r="C119" s="1889"/>
      <c r="D119" s="1886"/>
      <c r="E119" s="1906">
        <f t="shared" si="2"/>
        <v>0</v>
      </c>
      <c r="F119" s="1906" t="str">
        <f t="shared" si="3"/>
        <v>0</v>
      </c>
    </row>
    <row r="120" spans="1:6" hidden="1" x14ac:dyDescent="0.25">
      <c r="A120" s="1888"/>
      <c r="B120" s="1909"/>
      <c r="C120" s="1889"/>
      <c r="D120" s="1886"/>
      <c r="E120" s="1906">
        <f t="shared" si="2"/>
        <v>0</v>
      </c>
      <c r="F120" s="1906" t="str">
        <f t="shared" si="3"/>
        <v>0</v>
      </c>
    </row>
    <row r="121" spans="1:6" hidden="1" x14ac:dyDescent="0.25">
      <c r="A121" s="1888"/>
      <c r="B121" s="1909"/>
      <c r="C121" s="1889"/>
      <c r="D121" s="1886"/>
      <c r="E121" s="1906">
        <f t="shared" si="2"/>
        <v>0</v>
      </c>
      <c r="F121" s="1906" t="str">
        <f t="shared" si="3"/>
        <v>0</v>
      </c>
    </row>
    <row r="122" spans="1:6" hidden="1" x14ac:dyDescent="0.25">
      <c r="A122" s="1888"/>
      <c r="B122" s="1909"/>
      <c r="C122" s="1889"/>
      <c r="D122" s="1886"/>
      <c r="E122" s="1906">
        <f t="shared" si="2"/>
        <v>0</v>
      </c>
      <c r="F122" s="1906" t="str">
        <f t="shared" si="3"/>
        <v>0</v>
      </c>
    </row>
    <row r="123" spans="1:6" hidden="1" x14ac:dyDescent="0.25">
      <c r="A123" s="1888"/>
      <c r="B123" s="1909"/>
      <c r="C123" s="1889"/>
      <c r="D123" s="1886"/>
      <c r="E123" s="1906">
        <f t="shared" si="2"/>
        <v>0</v>
      </c>
      <c r="F123" s="1906" t="str">
        <f t="shared" si="3"/>
        <v>0</v>
      </c>
    </row>
    <row r="124" spans="1:6" hidden="1" x14ac:dyDescent="0.25">
      <c r="A124" s="1888"/>
      <c r="B124" s="1909"/>
      <c r="C124" s="1889"/>
      <c r="D124" s="1886"/>
      <c r="E124" s="1906">
        <f t="shared" si="2"/>
        <v>0</v>
      </c>
      <c r="F124" s="1906" t="str">
        <f t="shared" si="3"/>
        <v>0</v>
      </c>
    </row>
    <row r="125" spans="1:6" hidden="1" x14ac:dyDescent="0.25">
      <c r="A125" s="1888"/>
      <c r="B125" s="1909"/>
      <c r="C125" s="1889"/>
      <c r="D125" s="1886"/>
      <c r="E125" s="1906">
        <f t="shared" si="2"/>
        <v>0</v>
      </c>
      <c r="F125" s="1906" t="str">
        <f t="shared" si="3"/>
        <v>0</v>
      </c>
    </row>
    <row r="126" spans="1:6" hidden="1" x14ac:dyDescent="0.25">
      <c r="A126" s="1888"/>
      <c r="B126" s="1909"/>
      <c r="C126" s="1889"/>
      <c r="D126" s="1886"/>
      <c r="E126" s="1906">
        <f t="shared" si="2"/>
        <v>0</v>
      </c>
      <c r="F126" s="1906" t="str">
        <f t="shared" si="3"/>
        <v>0</v>
      </c>
    </row>
    <row r="127" spans="1:6" hidden="1" x14ac:dyDescent="0.25">
      <c r="A127" s="1888"/>
      <c r="B127" s="1909"/>
      <c r="C127" s="1889"/>
      <c r="D127" s="1886"/>
      <c r="E127" s="1906">
        <f t="shared" si="2"/>
        <v>0</v>
      </c>
      <c r="F127" s="1906" t="str">
        <f t="shared" si="3"/>
        <v>0</v>
      </c>
    </row>
    <row r="128" spans="1:6" x14ac:dyDescent="0.25">
      <c r="A128" s="1888"/>
      <c r="B128" s="1909"/>
      <c r="C128" s="1889"/>
      <c r="D128" s="1886"/>
      <c r="E128" s="1906"/>
      <c r="F128" s="1906"/>
    </row>
    <row r="129" spans="1:6" x14ac:dyDescent="0.25">
      <c r="A129" s="1888"/>
      <c r="B129" s="1909"/>
      <c r="C129" s="1889"/>
      <c r="D129" s="1886"/>
      <c r="E129" s="1906"/>
      <c r="F129" s="1906"/>
    </row>
    <row r="130" spans="1:6" x14ac:dyDescent="0.25">
      <c r="A130" s="1888"/>
      <c r="B130" s="1909"/>
      <c r="C130" s="1889"/>
      <c r="D130" s="1886"/>
      <c r="E130" s="1906"/>
      <c r="F130" s="1906"/>
    </row>
    <row r="131" spans="1:6" x14ac:dyDescent="0.25">
      <c r="A131" s="1888"/>
      <c r="B131" s="1909"/>
      <c r="C131" s="1889"/>
      <c r="D131" s="1886"/>
      <c r="E131" s="1906"/>
      <c r="F131" s="1906"/>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09"/>
      <c r="C141" s="1889"/>
      <c r="D141" s="1886"/>
      <c r="E141" s="1906">
        <f t="shared" si="2"/>
        <v>0</v>
      </c>
      <c r="F141" s="1906" t="str">
        <f t="shared" si="3"/>
        <v>0</v>
      </c>
    </row>
    <row r="142" spans="1:6" x14ac:dyDescent="0.25">
      <c r="A142" s="1888"/>
      <c r="B142" s="1909"/>
      <c r="C142" s="1889"/>
      <c r="D142" s="1886"/>
      <c r="E142" s="1906">
        <f t="shared" si="2"/>
        <v>0</v>
      </c>
      <c r="F142" s="1906" t="str">
        <f t="shared" si="3"/>
        <v>0</v>
      </c>
    </row>
    <row r="143" spans="1:6" x14ac:dyDescent="0.25">
      <c r="A143" s="1888"/>
      <c r="B143" s="1909"/>
      <c r="C143" s="1889"/>
      <c r="D143" s="1886"/>
      <c r="E143" s="1906">
        <f t="shared" si="2"/>
        <v>0</v>
      </c>
      <c r="F143" s="1906" t="str">
        <f t="shared" si="3"/>
        <v>0</v>
      </c>
    </row>
    <row r="144" spans="1:6" x14ac:dyDescent="0.25">
      <c r="A144" s="1888"/>
      <c r="B144" s="1909"/>
      <c r="C144" s="1889"/>
      <c r="D144" s="1886"/>
      <c r="E144" s="1906">
        <f t="shared" si="2"/>
        <v>0</v>
      </c>
      <c r="F144" s="1906" t="str">
        <f t="shared" si="3"/>
        <v>0</v>
      </c>
    </row>
    <row r="145" spans="1:6" x14ac:dyDescent="0.25">
      <c r="A145" s="1888"/>
      <c r="B145" s="1910"/>
      <c r="C145" s="1889"/>
      <c r="D145" s="1886"/>
      <c r="E145" s="1906">
        <f t="shared" si="2"/>
        <v>0</v>
      </c>
      <c r="F145" s="1906" t="str">
        <f t="shared" si="3"/>
        <v>0</v>
      </c>
    </row>
    <row r="146" spans="1:6" x14ac:dyDescent="0.25">
      <c r="A146" s="1890" t="s">
        <v>155</v>
      </c>
      <c r="B146" s="1911"/>
      <c r="C146" s="1891"/>
      <c r="D146" s="1892">
        <f>SUM(D18:D145)</f>
        <v>71745</v>
      </c>
      <c r="E146" s="1893">
        <f>SUM(E18:E145)</f>
        <v>0</v>
      </c>
      <c r="F146" s="1894">
        <f>SUM(F18:F145)</f>
        <v>46745</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495300</xdr:colOff>
                <xdr:row>9</xdr:row>
                <xdr:rowOff>76200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1504950</xdr:colOff>
                <xdr:row>9</xdr:row>
                <xdr:rowOff>76200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9" t="s">
        <v>1660</v>
      </c>
      <c r="B5" s="2390"/>
      <c r="C5" s="2390"/>
      <c r="D5" s="2390"/>
      <c r="E5" s="2390"/>
      <c r="F5" s="2390"/>
      <c r="G5" s="2391"/>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78042</v>
      </c>
      <c r="F10" s="805"/>
      <c r="G10" s="806"/>
      <c r="H10" s="157"/>
      <c r="I10" s="157"/>
    </row>
    <row r="11" spans="1:13" s="542" customFormat="1" ht="22.5" customHeight="1" x14ac:dyDescent="0.2">
      <c r="A11" s="239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5"/>
      <c r="C11" s="2395"/>
      <c r="D11" s="2396"/>
      <c r="E11" s="1801">
        <v>22713</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2553523</v>
      </c>
      <c r="F19" s="1802"/>
      <c r="G19" s="1804">
        <f>'Expenditures 15-22'!K33-SUM('Expenditures 15-22'!G33,'Expenditures 15-22'!I33)+'Expenditures 15-22'!D229</f>
        <v>2553523</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107541</v>
      </c>
      <c r="F21" s="1805"/>
      <c r="G21" s="1808">
        <f>'Expenditures 15-22'!K42-SUM('Expenditures 15-22'!G42,'Expenditures 15-22'!I42)+'Expenditures 15-22'!K120-SUM('Expenditures 15-22'!G120,'Expenditures 15-22'!I120)+'Expenditures 15-22'!K180-SUM('Expenditures 15-22'!G180,'Expenditures 15-22'!I180)+'Expenditures 15-22'!D238</f>
        <v>107541</v>
      </c>
      <c r="H21" s="817"/>
      <c r="I21" s="157"/>
    </row>
    <row r="22" spans="1:9" s="542" customFormat="1" ht="12" customHeight="1" x14ac:dyDescent="0.2">
      <c r="A22" s="824" t="s">
        <v>560</v>
      </c>
      <c r="B22" s="825"/>
      <c r="C22" s="823">
        <v>2200</v>
      </c>
      <c r="D22" s="1805"/>
      <c r="E22" s="1807">
        <f>'Expenditures 15-22'!K47-SUM('Expenditures 15-22'!G47,'Expenditures 15-22'!I47)+'Expenditures 15-22'!D243</f>
        <v>255489</v>
      </c>
      <c r="F22" s="1805"/>
      <c r="G22" s="1808">
        <f>'Expenditures 15-22'!K47-SUM('Expenditures 15-22'!G47,'Expenditures 15-22'!I47)+'Expenditures 15-22'!D243</f>
        <v>255489</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844789</v>
      </c>
      <c r="F23" s="1805"/>
      <c r="G23" s="1807">
        <f>'Expenditures 15-22'!K53-SUM('Expenditures 15-22'!G53,'Expenditures 15-22'!I53)+'Expenditures 15-22'!D257+'Expenditures 15-22'!K330-SUM('Expenditures 15-22'!G330,'Expenditures 15-22'!I330)</f>
        <v>844789</v>
      </c>
      <c r="H23" s="817"/>
      <c r="I23" s="157"/>
    </row>
    <row r="24" spans="1:9" s="542" customFormat="1" ht="12" customHeight="1" x14ac:dyDescent="0.2">
      <c r="A24" s="824" t="s">
        <v>562</v>
      </c>
      <c r="B24" s="825"/>
      <c r="C24" s="823">
        <v>2400</v>
      </c>
      <c r="D24" s="1805"/>
      <c r="E24" s="1807">
        <f>'Expenditures 15-22'!K57-SUM('Expenditures 15-22'!G57,'Expenditures 15-22'!I57)+'Expenditures 15-22'!D261</f>
        <v>308487</v>
      </c>
      <c r="F24" s="1805"/>
      <c r="G24" s="1808">
        <f>'Expenditures 15-22'!K57-SUM('Expenditures 15-22'!G57,'Expenditures 15-22'!I57)+'Expenditures 15-22'!D261</f>
        <v>308487</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74278</v>
      </c>
      <c r="E27" s="1807">
        <f>E8</f>
        <v>0</v>
      </c>
      <c r="F27" s="1807">
        <f>'Expenditures 15-22'!K60-SUM('Expenditures 15-22'!G60,'Expenditures 15-22'!I60)+'Expenditures 15-22'!D264-E8</f>
        <v>74278</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449061</v>
      </c>
      <c r="F28" s="1809">
        <f>'Expenditures 15-22'!K61-SUM('Expenditures 15-22'!G61,'Expenditures 15-22'!I61)+'Expenditures 15-22'!K124-SUM('Expenditures 15-22'!G124,'Expenditures 15-22'!I124)+'Expenditures 15-22'!D266-E9</f>
        <v>449061</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423126</v>
      </c>
      <c r="F29" s="1805"/>
      <c r="G29" s="1808">
        <f>'Expenditures 15-22'!K62-SUM('Expenditures 15-22'!G62,'Expenditures 15-22'!I62)+'Expenditures 15-22'!K125-SUM('Expenditures 15-22'!G125,'Expenditures 15-22'!I125)+'Expenditures 15-22'!K182-SUM('Expenditures 15-22'!G182,'Expenditures 15-22'!I182)+'Expenditures 15-22'!D267</f>
        <v>423126</v>
      </c>
      <c r="H29" s="815"/>
    </row>
    <row r="30" spans="1:9" ht="12" customHeight="1" x14ac:dyDescent="0.2">
      <c r="A30" s="824" t="s">
        <v>100</v>
      </c>
      <c r="B30" s="827"/>
      <c r="C30" s="823">
        <v>2560</v>
      </c>
      <c r="D30" s="1805"/>
      <c r="E30" s="1807">
        <f>'Expenditures 15-22'!K63-SUM('Expenditures 15-22'!G63,'Expenditures 15-22'!I63)+'Expenditures 15-22'!D268-E10</f>
        <v>123152</v>
      </c>
      <c r="F30" s="1805"/>
      <c r="G30" s="1807">
        <f>'Expenditures 15-22'!K63-SUM('Expenditures 15-22'!G63,'Expenditures 15-22'!I63)+'Expenditures 15-22'!D268-E10</f>
        <v>123152</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19968</v>
      </c>
      <c r="F39" s="1805"/>
      <c r="G39" s="1807">
        <f>'Expenditures 15-22'!K75-SUM('Expenditures 15-22'!G75,'Expenditures 15-22'!I75)+'Expenditures 15-22'!K130-SUM('Expenditures 15-22'!G130,'Expenditures 15-22'!I130)+'Expenditures 15-22'!K185-SUM('Expenditures 15-22'!G185,'Expenditures 15-22'!I185)+'Expenditures 15-22'!D280</f>
        <v>19968</v>
      </c>
    </row>
    <row r="40" spans="1:7" ht="12" customHeight="1" x14ac:dyDescent="0.2">
      <c r="A40" s="820" t="s">
        <v>1798</v>
      </c>
      <c r="B40" s="821"/>
      <c r="C40" s="823"/>
      <c r="D40" s="1805"/>
      <c r="E40" s="1809">
        <f>-'Contracts Paid in CY 29'!F146</f>
        <v>-46745</v>
      </c>
      <c r="F40" s="1805"/>
      <c r="G40" s="1809">
        <f>-'Contracts Paid in CY 29'!F146</f>
        <v>-46745</v>
      </c>
    </row>
    <row r="41" spans="1:7" ht="12" customHeight="1" x14ac:dyDescent="0.2">
      <c r="A41" s="828" t="s">
        <v>155</v>
      </c>
      <c r="B41" s="829"/>
      <c r="C41" s="830"/>
      <c r="D41" s="1809">
        <f>SUM(D19:D39)</f>
        <v>74278</v>
      </c>
      <c r="E41" s="1809">
        <f>SUM(E19:E40)</f>
        <v>5038391</v>
      </c>
      <c r="F41" s="1809">
        <f>SUM(F19:F39)</f>
        <v>523339</v>
      </c>
      <c r="G41" s="1809">
        <f>SUM(G19:G40)</f>
        <v>4589330</v>
      </c>
    </row>
    <row r="42" spans="1:7" x14ac:dyDescent="0.2">
      <c r="A42" s="817"/>
      <c r="B42" s="157"/>
      <c r="C42" s="831"/>
      <c r="D42" s="2392" t="s">
        <v>519</v>
      </c>
      <c r="E42" s="2393"/>
      <c r="F42" s="832" t="s">
        <v>520</v>
      </c>
      <c r="G42" s="833"/>
    </row>
    <row r="43" spans="1:7" ht="12" customHeight="1" x14ac:dyDescent="0.2">
      <c r="A43" s="817"/>
      <c r="B43" s="157"/>
      <c r="C43" s="831"/>
      <c r="D43" s="1458" t="s">
        <v>470</v>
      </c>
      <c r="E43" s="1810">
        <f>D41</f>
        <v>74278</v>
      </c>
      <c r="F43" s="1458" t="s">
        <v>470</v>
      </c>
      <c r="G43" s="1810">
        <f>F41</f>
        <v>523339</v>
      </c>
    </row>
    <row r="44" spans="1:7" ht="12" customHeight="1" x14ac:dyDescent="0.2">
      <c r="A44" s="817"/>
      <c r="B44" s="157"/>
      <c r="C44" s="831"/>
      <c r="D44" s="1458" t="s">
        <v>471</v>
      </c>
      <c r="E44" s="1810">
        <f>E41</f>
        <v>5038391</v>
      </c>
      <c r="F44" s="1458" t="s">
        <v>471</v>
      </c>
      <c r="G44" s="1810">
        <f>G41</f>
        <v>4589330</v>
      </c>
    </row>
    <row r="45" spans="1:7" ht="12" customHeight="1" x14ac:dyDescent="0.2">
      <c r="A45" s="817"/>
      <c r="B45" s="157"/>
      <c r="C45" s="157"/>
      <c r="D45" s="1459" t="s">
        <v>999</v>
      </c>
      <c r="E45" s="1811">
        <f>(E43/E44)</f>
        <v>1.474240486695058E-2</v>
      </c>
      <c r="F45" s="1459" t="s">
        <v>999</v>
      </c>
      <c r="G45" s="1811">
        <f>(G43/G44)</f>
        <v>0.11403385679391109</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fitToWidth="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7.5703125" style="1507" bestFit="1" customWidth="1"/>
    <col min="9" max="9" width="4" style="1507" bestFit="1" customWidth="1"/>
    <col min="10" max="10" width="2.7109375" style="1507" bestFit="1" customWidth="1"/>
    <col min="11" max="11" width="9" style="1507" customWidth="1"/>
    <col min="12" max="16384" width="9.140625" style="1477"/>
  </cols>
  <sheetData>
    <row r="1" spans="1:15" x14ac:dyDescent="0.2">
      <c r="A1" s="2411" t="s">
        <v>1363</v>
      </c>
      <c r="B1" s="2411"/>
      <c r="C1" s="2411"/>
      <c r="D1" s="2411"/>
      <c r="E1" s="2411"/>
      <c r="F1" s="2411"/>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2" t="s">
        <v>1529</v>
      </c>
      <c r="B5" s="2413"/>
      <c r="C5" s="2414"/>
      <c r="D5" s="2414"/>
      <c r="E5" s="2414"/>
      <c r="F5" s="2414"/>
      <c r="G5" s="1507"/>
      <c r="L5" s="1507"/>
      <c r="M5" s="1855"/>
      <c r="N5" s="1855"/>
      <c r="O5" s="1855"/>
    </row>
    <row r="6" spans="1:15" ht="12" customHeight="1" x14ac:dyDescent="0.25">
      <c r="A6" s="1480"/>
      <c r="B6" s="1481"/>
      <c r="C6" s="2415" t="str">
        <f>COVER!A17</f>
        <v xml:space="preserve">   Galva CUSD 224</v>
      </c>
      <c r="D6" s="2415"/>
      <c r="E6" s="2415"/>
      <c r="F6" s="1482"/>
      <c r="G6" s="1507"/>
      <c r="L6" s="1507"/>
      <c r="M6" s="1855"/>
      <c r="N6" s="1855"/>
      <c r="O6" s="1855"/>
    </row>
    <row r="7" spans="1:15" ht="11.25" customHeight="1" thickBot="1" x14ac:dyDescent="0.3">
      <c r="A7" s="1480"/>
      <c r="B7" s="1481"/>
      <c r="C7" s="2416">
        <f>COVER!A13</f>
        <v>28037224026</v>
      </c>
      <c r="D7" s="2416"/>
      <c r="E7" s="2416"/>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t="s">
        <v>2062</v>
      </c>
      <c r="D13" s="1495" t="s">
        <v>2062</v>
      </c>
      <c r="E13" s="1498"/>
      <c r="F13" s="1497" t="s">
        <v>2063</v>
      </c>
      <c r="G13" s="1507"/>
      <c r="H13" s="1507">
        <f t="shared" si="0"/>
        <v>5</v>
      </c>
      <c r="I13" s="1507">
        <f t="shared" si="1"/>
        <v>5</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2062</v>
      </c>
      <c r="D26" s="1495" t="s">
        <v>2062</v>
      </c>
      <c r="E26" s="1498"/>
      <c r="F26" s="1497" t="s">
        <v>2064</v>
      </c>
      <c r="G26" s="1507"/>
      <c r="H26" s="1507">
        <f t="shared" si="0"/>
        <v>5</v>
      </c>
      <c r="I26" s="1507">
        <f t="shared" si="1"/>
        <v>5</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t="s">
        <v>2062</v>
      </c>
      <c r="D31" s="1495" t="s">
        <v>2062</v>
      </c>
      <c r="E31" s="1498"/>
      <c r="F31" s="1497" t="s">
        <v>2065</v>
      </c>
      <c r="G31" s="1507"/>
      <c r="H31" s="1507">
        <f t="shared" si="0"/>
        <v>5</v>
      </c>
      <c r="I31" s="1507">
        <f t="shared" si="1"/>
        <v>5</v>
      </c>
      <c r="J31" s="1507">
        <f t="shared" si="2"/>
        <v>0</v>
      </c>
      <c r="L31" s="1856"/>
      <c r="M31" s="1855"/>
      <c r="N31" s="1855"/>
      <c r="O31" s="1855"/>
    </row>
    <row r="32" spans="1:15" ht="12" customHeight="1" x14ac:dyDescent="0.2">
      <c r="A32" s="1493" t="s">
        <v>1523</v>
      </c>
      <c r="B32" s="1494"/>
      <c r="C32" s="1495" t="s">
        <v>2062</v>
      </c>
      <c r="D32" s="1495" t="s">
        <v>2062</v>
      </c>
      <c r="E32" s="1498"/>
      <c r="F32" s="1497" t="s">
        <v>2066</v>
      </c>
      <c r="G32" s="1507"/>
      <c r="H32" s="1507">
        <f t="shared" si="0"/>
        <v>5</v>
      </c>
      <c r="I32" s="1507">
        <f t="shared" si="1"/>
        <v>5</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20</v>
      </c>
      <c r="I34" s="1507">
        <f>SUM(I11:I32)</f>
        <v>20</v>
      </c>
      <c r="J34" s="1507">
        <f>SUM(J11:J32)</f>
        <v>0</v>
      </c>
      <c r="K34" s="1507">
        <f>SUM(H34:J34)</f>
        <v>40</v>
      </c>
      <c r="L34" s="1507"/>
      <c r="M34" s="1855"/>
      <c r="N34" s="1855"/>
      <c r="O34" s="1855"/>
    </row>
    <row r="35" spans="1:15" ht="12" customHeight="1" x14ac:dyDescent="0.2">
      <c r="A35" s="1500" t="s">
        <v>1376</v>
      </c>
      <c r="B35" s="1501"/>
      <c r="C35" s="2417"/>
      <c r="D35" s="2417"/>
      <c r="E35" s="2417"/>
      <c r="F35" s="2418"/>
    </row>
    <row r="36" spans="1:15" ht="12" customHeight="1" x14ac:dyDescent="0.2">
      <c r="A36" s="2400"/>
      <c r="B36" s="2401"/>
      <c r="C36" s="2401"/>
      <c r="D36" s="2401"/>
      <c r="E36" s="2401"/>
      <c r="F36" s="2402"/>
    </row>
    <row r="37" spans="1:15" ht="12" customHeight="1" x14ac:dyDescent="0.2">
      <c r="A37" s="2400"/>
      <c r="B37" s="2401"/>
      <c r="C37" s="2401"/>
      <c r="D37" s="2401"/>
      <c r="E37" s="2401"/>
      <c r="F37" s="2402"/>
    </row>
    <row r="38" spans="1:15" ht="12" customHeight="1" x14ac:dyDescent="0.2">
      <c r="A38" s="2403"/>
      <c r="B38" s="2404"/>
      <c r="C38" s="2404"/>
      <c r="D38" s="2404"/>
      <c r="E38" s="2404"/>
      <c r="F38" s="2405"/>
    </row>
    <row r="39" spans="1:15" ht="4.5" hidden="1" customHeight="1" x14ac:dyDescent="0.2">
      <c r="A39" s="1502"/>
      <c r="B39" s="1502"/>
      <c r="C39" s="1502"/>
      <c r="D39" s="1502"/>
      <c r="E39" s="1502"/>
      <c r="F39" s="1502"/>
    </row>
    <row r="40" spans="1:15" s="1499" customFormat="1" ht="12" customHeight="1" x14ac:dyDescent="0.25">
      <c r="A40" s="1503" t="s">
        <v>1375</v>
      </c>
      <c r="B40" s="1504"/>
      <c r="C40" s="2406"/>
      <c r="D40" s="2406"/>
      <c r="E40" s="2406"/>
      <c r="F40" s="2407"/>
      <c r="H40" s="1508"/>
      <c r="I40" s="1508"/>
      <c r="J40" s="1508"/>
      <c r="K40" s="1508"/>
    </row>
    <row r="41" spans="1:15" s="1499" customFormat="1" ht="12" customHeight="1" x14ac:dyDescent="0.25">
      <c r="A41" s="2408"/>
      <c r="B41" s="2409"/>
      <c r="C41" s="2409"/>
      <c r="D41" s="2409"/>
      <c r="E41" s="2409"/>
      <c r="F41" s="2410"/>
      <c r="H41" s="1508"/>
      <c r="I41" s="1508"/>
      <c r="J41" s="1508"/>
      <c r="K41" s="1508"/>
    </row>
    <row r="42" spans="1:15" s="1499" customFormat="1" ht="12" customHeight="1" x14ac:dyDescent="0.25">
      <c r="A42" s="2408"/>
      <c r="B42" s="2409"/>
      <c r="C42" s="2409"/>
      <c r="D42" s="2409"/>
      <c r="E42" s="2409"/>
      <c r="F42" s="2410"/>
      <c r="H42" s="1508"/>
      <c r="I42" s="1508"/>
      <c r="J42" s="1508"/>
      <c r="K42" s="1508"/>
    </row>
    <row r="43" spans="1:15" s="1499" customFormat="1" ht="15" x14ac:dyDescent="0.25">
      <c r="A43" s="2397"/>
      <c r="B43" s="2398"/>
      <c r="C43" s="2398"/>
      <c r="D43" s="2398"/>
      <c r="E43" s="2398"/>
      <c r="F43" s="2399"/>
      <c r="H43" s="1508"/>
      <c r="I43" s="1508"/>
      <c r="J43" s="1508"/>
      <c r="K43" s="1508"/>
    </row>
    <row r="44" spans="1:15" s="1499" customFormat="1" ht="12" hidden="1" customHeight="1" x14ac:dyDescent="0.25">
      <c r="A44" s="2397"/>
      <c r="B44" s="2398"/>
      <c r="C44" s="2398"/>
      <c r="D44" s="2398"/>
      <c r="E44" s="2398"/>
      <c r="F44" s="2399"/>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0"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37" t="str">
        <f>COVER!A17</f>
        <v xml:space="preserve">   Galva CUSD 224</v>
      </c>
      <c r="K6" s="2437"/>
      <c r="L6" s="2451"/>
      <c r="M6" s="838"/>
      <c r="N6" s="1998"/>
    </row>
    <row r="7" spans="1:14" x14ac:dyDescent="0.2">
      <c r="A7" s="2452" t="s">
        <v>864</v>
      </c>
      <c r="B7" s="2453"/>
      <c r="C7" s="2453"/>
      <c r="D7" s="2453"/>
      <c r="E7" s="2454"/>
      <c r="F7" s="839"/>
      <c r="G7" s="838"/>
      <c r="H7" s="838"/>
      <c r="I7" s="1924" t="s">
        <v>369</v>
      </c>
      <c r="J7" s="2439">
        <f>COVER!A13</f>
        <v>28037224026</v>
      </c>
      <c r="K7" s="2439"/>
      <c r="L7" s="2439"/>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55" t="s">
        <v>478</v>
      </c>
      <c r="B11" s="2456"/>
      <c r="C11" s="2457"/>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248346</v>
      </c>
      <c r="F12" s="1942"/>
      <c r="G12" s="1968">
        <f>G68</f>
        <v>36880</v>
      </c>
      <c r="H12" s="1944">
        <f t="shared" ref="H12:H18" si="0">SUM(E12:G12)</f>
        <v>285226</v>
      </c>
      <c r="I12" s="1943">
        <v>260738</v>
      </c>
      <c r="J12" s="1942"/>
      <c r="K12" s="1943"/>
      <c r="L12" s="1944">
        <f t="shared" ref="L12:L18" si="1">SUM(I12:K12)</f>
        <v>260738</v>
      </c>
      <c r="M12" s="838"/>
      <c r="N12" s="1998"/>
    </row>
    <row r="13" spans="1:14" x14ac:dyDescent="0.2">
      <c r="A13" s="2003">
        <v>2</v>
      </c>
      <c r="B13" s="1940" t="s">
        <v>42</v>
      </c>
      <c r="C13" s="842"/>
      <c r="D13" s="1941">
        <v>2330</v>
      </c>
      <c r="E13" s="1944">
        <f>'Expenditures 15-22'!K51</f>
        <v>0</v>
      </c>
      <c r="F13" s="1942"/>
      <c r="G13" s="1968">
        <f>H68</f>
        <v>0</v>
      </c>
      <c r="H13" s="1944">
        <f t="shared" si="0"/>
        <v>0</v>
      </c>
      <c r="I13" s="1943"/>
      <c r="J13" s="1942"/>
      <c r="K13" s="1943"/>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58" t="s">
        <v>7</v>
      </c>
      <c r="C18" s="2459"/>
      <c r="D18" s="2460"/>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248346</v>
      </c>
      <c r="F19" s="1950">
        <f t="shared" si="2"/>
        <v>0</v>
      </c>
      <c r="G19" s="1950">
        <f t="shared" ref="G19" si="3">SUM(G12:G17)-G18</f>
        <v>36880</v>
      </c>
      <c r="H19" s="1950">
        <f t="shared" si="2"/>
        <v>285226</v>
      </c>
      <c r="I19" s="1950">
        <f t="shared" si="2"/>
        <v>260738</v>
      </c>
      <c r="J19" s="1950">
        <f t="shared" si="2"/>
        <v>0</v>
      </c>
      <c r="K19" s="1950">
        <f t="shared" si="2"/>
        <v>0</v>
      </c>
      <c r="L19" s="1950">
        <f t="shared" si="2"/>
        <v>260738</v>
      </c>
      <c r="M19" s="838"/>
      <c r="N19" s="1998"/>
    </row>
    <row r="20" spans="1:14" ht="13.5" thickTop="1" x14ac:dyDescent="0.2">
      <c r="A20" s="2003">
        <v>9</v>
      </c>
      <c r="B20" s="2461" t="s">
        <v>2021</v>
      </c>
      <c r="C20" s="2461"/>
      <c r="D20" s="2462"/>
      <c r="E20" s="1951"/>
      <c r="F20" s="1951"/>
      <c r="G20" s="1951"/>
      <c r="H20" s="1951"/>
      <c r="I20" s="1951"/>
      <c r="J20" s="1951"/>
      <c r="K20" s="1951"/>
      <c r="L20" s="1952">
        <f>IF(AND(H19&gt;0,L19&gt;0),(((L19-H19)/H19)),"Enter Budget Data")</f>
        <v>-8.5854725726266193E-2</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63"/>
      <c r="D27" s="2463"/>
      <c r="E27" s="843"/>
      <c r="F27" s="2464"/>
      <c r="G27" s="2464"/>
      <c r="H27" s="2464"/>
      <c r="I27" s="838"/>
      <c r="J27" s="838"/>
      <c r="K27" s="838"/>
      <c r="L27" s="838"/>
      <c r="M27" s="838"/>
      <c r="N27" s="1998"/>
    </row>
    <row r="28" spans="1:14" x14ac:dyDescent="0.2">
      <c r="A28" s="1997"/>
      <c r="B28" s="2007"/>
      <c r="C28" s="1957" t="s">
        <v>1026</v>
      </c>
      <c r="D28" s="844"/>
      <c r="E28" s="1958"/>
      <c r="F28" s="2465" t="s">
        <v>1492</v>
      </c>
      <c r="G28" s="2465"/>
      <c r="H28" s="2465"/>
      <c r="I28" s="838"/>
      <c r="J28" s="838"/>
      <c r="K28" s="838"/>
      <c r="L28" s="838"/>
      <c r="M28" s="838"/>
      <c r="N28" s="1998"/>
    </row>
    <row r="29" spans="1:14" x14ac:dyDescent="0.2">
      <c r="A29" s="1997"/>
      <c r="B29" s="2007"/>
      <c r="C29" s="2466"/>
      <c r="D29" s="2466"/>
      <c r="E29" s="845"/>
      <c r="F29" s="2466"/>
      <c r="G29" s="2466"/>
      <c r="H29" s="2466"/>
      <c r="I29" s="838"/>
      <c r="J29" s="838"/>
      <c r="K29" s="838"/>
      <c r="L29" s="838"/>
      <c r="M29" s="838"/>
      <c r="N29" s="1998"/>
    </row>
    <row r="30" spans="1:14" x14ac:dyDescent="0.2">
      <c r="A30" s="1997"/>
      <c r="B30" s="2007"/>
      <c r="C30" s="1960" t="s">
        <v>1544</v>
      </c>
      <c r="D30" s="838"/>
      <c r="E30" s="1959"/>
      <c r="F30" s="2450" t="s">
        <v>1493</v>
      </c>
      <c r="G30" s="2450"/>
      <c r="H30" s="2450"/>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27" t="s">
        <v>2024</v>
      </c>
      <c r="D34" s="2428"/>
      <c r="E34" s="2428"/>
      <c r="F34" s="2428"/>
      <c r="G34" s="2428"/>
      <c r="H34" s="2428"/>
      <c r="I34" s="2428"/>
      <c r="J34" s="2428"/>
      <c r="K34" s="2016"/>
      <c r="L34" s="838"/>
      <c r="M34" s="838"/>
      <c r="N34" s="1998"/>
    </row>
    <row r="35" spans="1:14" x14ac:dyDescent="0.2">
      <c r="A35" s="1997"/>
      <c r="B35" s="838"/>
      <c r="C35" s="2428"/>
      <c r="D35" s="2428"/>
      <c r="E35" s="2428"/>
      <c r="F35" s="2428"/>
      <c r="G35" s="2428"/>
      <c r="H35" s="2428"/>
      <c r="I35" s="2428"/>
      <c r="J35" s="2428"/>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27" t="s">
        <v>2025</v>
      </c>
      <c r="D37" s="2428"/>
      <c r="E37" s="2428"/>
      <c r="F37" s="2428"/>
      <c r="G37" s="2428"/>
      <c r="H37" s="2428"/>
      <c r="I37" s="2428"/>
      <c r="J37" s="2428"/>
      <c r="K37" s="2016"/>
      <c r="L37" s="2018"/>
      <c r="M37" s="838"/>
      <c r="N37" s="1998"/>
    </row>
    <row r="38" spans="1:14" x14ac:dyDescent="0.2">
      <c r="A38" s="1997"/>
      <c r="B38" s="838"/>
      <c r="C38" s="2428"/>
      <c r="D38" s="2428"/>
      <c r="E38" s="2428"/>
      <c r="F38" s="2428"/>
      <c r="G38" s="2428"/>
      <c r="H38" s="2428"/>
      <c r="I38" s="2428"/>
      <c r="J38" s="2428"/>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29" t="s">
        <v>2026</v>
      </c>
      <c r="D40" s="2430"/>
      <c r="E40" s="2430"/>
      <c r="F40" s="2430"/>
      <c r="G40" s="2430"/>
      <c r="H40" s="2430"/>
      <c r="I40" s="2430"/>
      <c r="J40" s="2430"/>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31" t="s">
        <v>2027</v>
      </c>
      <c r="B43" s="2432"/>
      <c r="C43" s="2432"/>
      <c r="D43" s="2432"/>
      <c r="E43" s="2432"/>
      <c r="F43" s="2432"/>
      <c r="G43" s="2432"/>
      <c r="H43" s="2432"/>
      <c r="I43" s="2432"/>
      <c r="J43" s="2432"/>
      <c r="K43" s="2432"/>
      <c r="L43" s="2432"/>
      <c r="M43" s="2432"/>
      <c r="N43" s="2433"/>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434" t="s">
        <v>2029</v>
      </c>
      <c r="B46" s="2435"/>
      <c r="C46" s="2435"/>
      <c r="D46" s="2435"/>
      <c r="E46" s="2435"/>
      <c r="F46" s="2435"/>
      <c r="G46" s="2435"/>
      <c r="H46" s="2435"/>
      <c r="I46" s="2435"/>
      <c r="J46" s="2435"/>
      <c r="K46" s="2435"/>
      <c r="L46" s="2435"/>
      <c r="M46" s="2435"/>
      <c r="N46" s="2436"/>
    </row>
    <row r="47" spans="1:14" x14ac:dyDescent="0.2">
      <c r="A47" s="2434"/>
      <c r="B47" s="2435"/>
      <c r="C47" s="2435"/>
      <c r="D47" s="2435"/>
      <c r="E47" s="2435"/>
      <c r="F47" s="2435"/>
      <c r="G47" s="2435"/>
      <c r="H47" s="2435"/>
      <c r="I47" s="2435"/>
      <c r="J47" s="2435"/>
      <c r="K47" s="2435"/>
      <c r="L47" s="2435"/>
      <c r="M47" s="2435"/>
      <c r="N47" s="2436"/>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37" t="str">
        <f>J6</f>
        <v xml:space="preserve">   Galva CUSD 224</v>
      </c>
      <c r="M52" s="2437"/>
      <c r="N52" s="2438"/>
    </row>
    <row r="53" spans="1:14" x14ac:dyDescent="0.2">
      <c r="A53" s="1982"/>
      <c r="B53" s="1983"/>
      <c r="C53" s="1983"/>
      <c r="D53" s="1983"/>
      <c r="E53" s="1983"/>
      <c r="F53" s="1983"/>
      <c r="G53" s="1983"/>
      <c r="H53" s="1983"/>
      <c r="I53" s="1983"/>
      <c r="J53" s="1983"/>
      <c r="K53" s="1924" t="s">
        <v>369</v>
      </c>
      <c r="L53" s="2439">
        <f>J7</f>
        <v>28037224026</v>
      </c>
      <c r="M53" s="2439"/>
      <c r="N53" s="2440"/>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41"/>
      <c r="B55" s="2442"/>
      <c r="C55" s="2442"/>
      <c r="D55" s="1970"/>
      <c r="E55" s="1970"/>
      <c r="F55" s="1970"/>
      <c r="G55" s="2443" t="s">
        <v>2030</v>
      </c>
      <c r="H55" s="2443"/>
      <c r="I55" s="2443"/>
      <c r="J55" s="2443"/>
      <c r="K55" s="2443"/>
      <c r="L55" s="2443"/>
      <c r="M55" s="2443"/>
      <c r="N55" s="2444"/>
    </row>
    <row r="56" spans="1:14" ht="63.75" x14ac:dyDescent="0.2">
      <c r="A56" s="2445" t="s">
        <v>2031</v>
      </c>
      <c r="B56" s="2446"/>
      <c r="C56" s="2447"/>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448" t="s">
        <v>296</v>
      </c>
      <c r="B57" s="2449"/>
      <c r="C57" s="2449"/>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25" t="s">
        <v>2041</v>
      </c>
      <c r="B58" s="2426"/>
      <c r="C58" s="2426"/>
      <c r="D58" s="1967">
        <v>2362</v>
      </c>
      <c r="E58" s="1977">
        <f>'Expenditures 15-22'!K320</f>
        <v>0</v>
      </c>
      <c r="F58" s="1972"/>
      <c r="G58" s="2031"/>
      <c r="H58" s="2032"/>
      <c r="I58" s="2032"/>
      <c r="J58" s="2032"/>
      <c r="K58" s="2032"/>
      <c r="L58" s="2032"/>
      <c r="M58" s="2032"/>
      <c r="N58" s="1975">
        <f>IF((SUM(G58:M58))=E58,SUM(G58:M58),"Column N does not agree with Column E")</f>
        <v>0</v>
      </c>
    </row>
    <row r="59" spans="1:14" ht="24.75" customHeight="1" x14ac:dyDescent="0.2">
      <c r="A59" s="2419" t="s">
        <v>297</v>
      </c>
      <c r="B59" s="2420"/>
      <c r="C59" s="2420"/>
      <c r="D59" s="1967">
        <v>2363</v>
      </c>
      <c r="E59" s="1977">
        <f>'Expenditures 15-22'!K321</f>
        <v>586</v>
      </c>
      <c r="F59" s="1972"/>
      <c r="G59" s="2031"/>
      <c r="H59" s="2032"/>
      <c r="I59" s="2032"/>
      <c r="J59" s="2032"/>
      <c r="K59" s="2032"/>
      <c r="L59" s="2032"/>
      <c r="M59" s="2032">
        <v>586</v>
      </c>
      <c r="N59" s="1975">
        <f>IF((SUM(G59:M59))=E59,SUM(G59:M59),"Column N does not agree with Column E")</f>
        <v>586</v>
      </c>
    </row>
    <row r="60" spans="1:14" ht="24" customHeight="1" x14ac:dyDescent="0.2">
      <c r="A60" s="2419" t="s">
        <v>236</v>
      </c>
      <c r="B60" s="2420"/>
      <c r="C60" s="2420"/>
      <c r="D60" s="1967">
        <v>2364</v>
      </c>
      <c r="E60" s="1977">
        <f>'Expenditures 15-22'!K322</f>
        <v>91751</v>
      </c>
      <c r="F60" s="1972"/>
      <c r="G60" s="2031"/>
      <c r="H60" s="2032"/>
      <c r="I60" s="2032"/>
      <c r="J60" s="2032"/>
      <c r="K60" s="2032"/>
      <c r="L60" s="2032"/>
      <c r="M60" s="2032">
        <v>91751</v>
      </c>
      <c r="N60" s="1975">
        <f t="shared" ref="N60:N67" si="4">IF((SUM(G60:M60))=E60,SUM(G60:M60),"Column N does not agree with Column E")</f>
        <v>91751</v>
      </c>
    </row>
    <row r="61" spans="1:14" ht="24.75" customHeight="1" x14ac:dyDescent="0.2">
      <c r="A61" s="2419" t="s">
        <v>697</v>
      </c>
      <c r="B61" s="2420"/>
      <c r="C61" s="2420"/>
      <c r="D61" s="1967">
        <v>2365</v>
      </c>
      <c r="E61" s="1977">
        <f>'Expenditures 15-22'!K323</f>
        <v>102555</v>
      </c>
      <c r="F61" s="1972"/>
      <c r="G61" s="2031"/>
      <c r="H61" s="2032"/>
      <c r="I61" s="2032"/>
      <c r="J61" s="2032"/>
      <c r="K61" s="2032"/>
      <c r="L61" s="2032"/>
      <c r="M61" s="2032">
        <v>102555</v>
      </c>
      <c r="N61" s="1975">
        <f t="shared" si="4"/>
        <v>102555</v>
      </c>
    </row>
    <row r="62" spans="1:14" ht="24" customHeight="1" x14ac:dyDescent="0.2">
      <c r="A62" s="2419" t="s">
        <v>237</v>
      </c>
      <c r="B62" s="2420"/>
      <c r="C62" s="2420"/>
      <c r="D62" s="1967">
        <v>2366</v>
      </c>
      <c r="E62" s="1977">
        <f>'Expenditures 15-22'!K324</f>
        <v>0</v>
      </c>
      <c r="F62" s="1972"/>
      <c r="G62" s="2031"/>
      <c r="H62" s="2032"/>
      <c r="I62" s="2032"/>
      <c r="J62" s="2032"/>
      <c r="K62" s="2032"/>
      <c r="L62" s="2032"/>
      <c r="M62" s="2032"/>
      <c r="N62" s="1975">
        <f t="shared" si="4"/>
        <v>0</v>
      </c>
    </row>
    <row r="63" spans="1:14" ht="24" customHeight="1" x14ac:dyDescent="0.2">
      <c r="A63" s="2425" t="s">
        <v>1022</v>
      </c>
      <c r="B63" s="2426"/>
      <c r="C63" s="2426"/>
      <c r="D63" s="1967">
        <v>2367</v>
      </c>
      <c r="E63" s="1977">
        <f>'Expenditures 15-22'!K325</f>
        <v>348091</v>
      </c>
      <c r="F63" s="1972"/>
      <c r="G63" s="2031">
        <v>36880</v>
      </c>
      <c r="H63" s="2032"/>
      <c r="I63" s="2032"/>
      <c r="J63" s="2032"/>
      <c r="K63" s="2032"/>
      <c r="L63" s="2032"/>
      <c r="M63" s="2032">
        <v>311211</v>
      </c>
      <c r="N63" s="1975">
        <f t="shared" si="4"/>
        <v>348091</v>
      </c>
    </row>
    <row r="64" spans="1:14" ht="24" customHeight="1" x14ac:dyDescent="0.2">
      <c r="A64" s="2419" t="s">
        <v>1023</v>
      </c>
      <c r="B64" s="2420"/>
      <c r="C64" s="2420"/>
      <c r="D64" s="1967">
        <v>2368</v>
      </c>
      <c r="E64" s="1977">
        <f>'Expenditures 15-22'!K326</f>
        <v>0</v>
      </c>
      <c r="F64" s="1972"/>
      <c r="G64" s="2031"/>
      <c r="H64" s="2032"/>
      <c r="I64" s="2032"/>
      <c r="J64" s="2032"/>
      <c r="K64" s="2032"/>
      <c r="L64" s="2032"/>
      <c r="M64" s="2032"/>
      <c r="N64" s="1975">
        <f t="shared" si="4"/>
        <v>0</v>
      </c>
    </row>
    <row r="65" spans="1:14" ht="24" customHeight="1" x14ac:dyDescent="0.2">
      <c r="A65" s="2419" t="s">
        <v>965</v>
      </c>
      <c r="B65" s="2420"/>
      <c r="C65" s="2420"/>
      <c r="D65" s="1967">
        <v>2369</v>
      </c>
      <c r="E65" s="1977">
        <f>'Expenditures 15-22'!K327</f>
        <v>3475</v>
      </c>
      <c r="F65" s="1972"/>
      <c r="G65" s="2031"/>
      <c r="H65" s="2032"/>
      <c r="I65" s="2032"/>
      <c r="J65" s="2032"/>
      <c r="K65" s="2032"/>
      <c r="L65" s="2032"/>
      <c r="M65" s="2032">
        <v>3475</v>
      </c>
      <c r="N65" s="1975">
        <f t="shared" si="4"/>
        <v>3475</v>
      </c>
    </row>
    <row r="66" spans="1:14" ht="24" customHeight="1" x14ac:dyDescent="0.2">
      <c r="A66" s="2419" t="s">
        <v>469</v>
      </c>
      <c r="B66" s="2420"/>
      <c r="C66" s="2420"/>
      <c r="D66" s="1967">
        <v>2371</v>
      </c>
      <c r="E66" s="1977">
        <f>'Expenditures 15-22'!K328</f>
        <v>0</v>
      </c>
      <c r="F66" s="1972"/>
      <c r="G66" s="2031"/>
      <c r="H66" s="2032"/>
      <c r="I66" s="2032"/>
      <c r="J66" s="2032"/>
      <c r="K66" s="2032"/>
      <c r="L66" s="2032"/>
      <c r="M66" s="2032"/>
      <c r="N66" s="1975">
        <f t="shared" si="4"/>
        <v>0</v>
      </c>
    </row>
    <row r="67" spans="1:14" ht="24.75" customHeight="1" x14ac:dyDescent="0.2">
      <c r="A67" s="2421" t="s">
        <v>2042</v>
      </c>
      <c r="B67" s="2422"/>
      <c r="C67" s="2422"/>
      <c r="D67" s="1969">
        <v>2372</v>
      </c>
      <c r="E67" s="1978">
        <f>'Expenditures 15-22'!K329</f>
        <v>0</v>
      </c>
      <c r="F67" s="1972"/>
      <c r="G67" s="2033"/>
      <c r="H67" s="2034"/>
      <c r="I67" s="2034"/>
      <c r="J67" s="2034"/>
      <c r="K67" s="2034"/>
      <c r="L67" s="2034"/>
      <c r="M67" s="2034"/>
      <c r="N67" s="1975">
        <f t="shared" si="4"/>
        <v>0</v>
      </c>
    </row>
    <row r="68" spans="1:14" x14ac:dyDescent="0.2">
      <c r="A68" s="2423" t="s">
        <v>1151</v>
      </c>
      <c r="B68" s="2424"/>
      <c r="C68" s="2424"/>
      <c r="D68" s="1970"/>
      <c r="E68" s="1974">
        <f>SUM(E57:E67)</f>
        <v>546458</v>
      </c>
      <c r="F68" s="1973"/>
      <c r="G68" s="1974">
        <f t="shared" ref="G68:N68" si="5">SUM(G57:G67)</f>
        <v>36880</v>
      </c>
      <c r="H68" s="1974">
        <f t="shared" si="5"/>
        <v>0</v>
      </c>
      <c r="I68" s="1974">
        <f t="shared" si="5"/>
        <v>0</v>
      </c>
      <c r="J68" s="1974">
        <f t="shared" si="5"/>
        <v>0</v>
      </c>
      <c r="K68" s="1974">
        <f t="shared" si="5"/>
        <v>0</v>
      </c>
      <c r="L68" s="1974">
        <f t="shared" si="5"/>
        <v>0</v>
      </c>
      <c r="M68" s="1974">
        <f t="shared" si="5"/>
        <v>509578</v>
      </c>
      <c r="N68" s="1988">
        <f t="shared" si="5"/>
        <v>546458</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7"/>
  <sheetViews>
    <sheetView showGridLines="0" zoomScale="110" zoomScaleNormal="110" workbookViewId="0"/>
  </sheetViews>
  <sheetFormatPr defaultColWidth="9.140625" defaultRowHeight="12.75" x14ac:dyDescent="0.2"/>
  <cols>
    <col min="1" max="1" width="3" style="307" customWidth="1"/>
    <col min="2" max="2" width="119.57031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2083</v>
      </c>
    </row>
    <row r="6" spans="1:2" x14ac:dyDescent="0.2">
      <c r="A6" s="847">
        <v>2</v>
      </c>
      <c r="B6" s="307" t="s">
        <v>2087</v>
      </c>
    </row>
    <row r="7" spans="1:2" x14ac:dyDescent="0.2">
      <c r="A7" s="847"/>
      <c r="B7" s="368" t="s">
        <v>2085</v>
      </c>
    </row>
    <row r="8" spans="1:2" x14ac:dyDescent="0.2">
      <c r="A8" s="847"/>
      <c r="B8" s="493" t="s">
        <v>2086</v>
      </c>
    </row>
    <row r="9" spans="1:2" x14ac:dyDescent="0.2">
      <c r="A9" s="847">
        <v>3</v>
      </c>
      <c r="B9" s="307" t="s">
        <v>2088</v>
      </c>
    </row>
    <row r="10" spans="1:2" x14ac:dyDescent="0.2">
      <c r="A10" s="847">
        <v>4</v>
      </c>
      <c r="B10" s="307" t="s">
        <v>2089</v>
      </c>
    </row>
    <row r="11" spans="1:2" x14ac:dyDescent="0.2">
      <c r="A11" s="847">
        <v>5</v>
      </c>
      <c r="B11" s="307" t="s">
        <v>2084</v>
      </c>
    </row>
    <row r="12" spans="1:2" x14ac:dyDescent="0.2">
      <c r="A12" s="847"/>
    </row>
    <row r="13" spans="1:2" x14ac:dyDescent="0.2">
      <c r="A13" s="847"/>
    </row>
    <row r="14" spans="1:2" x14ac:dyDescent="0.2">
      <c r="A14" s="847"/>
    </row>
    <row r="15" spans="1:2" x14ac:dyDescent="0.2">
      <c r="A15" s="847"/>
    </row>
    <row r="16" spans="1:2" x14ac:dyDescent="0.2">
      <c r="A16" s="847"/>
    </row>
    <row r="17" spans="1:1" x14ac:dyDescent="0.2">
      <c r="A17" s="847"/>
    </row>
    <row r="18" spans="1:1" x14ac:dyDescent="0.2">
      <c r="A18" s="847"/>
    </row>
    <row r="19" spans="1:1" x14ac:dyDescent="0.2">
      <c r="A19" s="847"/>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1" x14ac:dyDescent="0.2">
      <c r="A49" s="848"/>
    </row>
    <row r="50" spans="1:1" x14ac:dyDescent="0.2">
      <c r="A50" s="848"/>
    </row>
    <row r="51" spans="1:1" x14ac:dyDescent="0.2">
      <c r="A51" s="848"/>
    </row>
    <row r="52" spans="1:1" x14ac:dyDescent="0.2">
      <c r="A52" s="848"/>
    </row>
    <row r="53" spans="1:1" x14ac:dyDescent="0.2">
      <c r="A53" s="848"/>
    </row>
    <row r="54" spans="1:1" x14ac:dyDescent="0.2">
      <c r="A54" s="848"/>
    </row>
    <row r="55" spans="1:1" x14ac:dyDescent="0.2">
      <c r="A55" s="848"/>
    </row>
    <row r="56" spans="1:1" x14ac:dyDescent="0.2">
      <c r="A56" s="848"/>
    </row>
    <row r="57" spans="1:1" x14ac:dyDescent="0.2">
      <c r="A57" s="848"/>
    </row>
    <row r="58" spans="1:1" x14ac:dyDescent="0.2">
      <c r="A58" s="848"/>
    </row>
    <row r="59" spans="1:1" x14ac:dyDescent="0.2">
      <c r="A59" s="848"/>
    </row>
    <row r="60" spans="1:1" x14ac:dyDescent="0.2">
      <c r="A60" s="848"/>
    </row>
    <row r="61" spans="1:1" x14ac:dyDescent="0.2">
      <c r="A61" s="848"/>
    </row>
    <row r="62" spans="1:1" x14ac:dyDescent="0.2">
      <c r="A62" s="848"/>
    </row>
    <row r="63" spans="1:1" x14ac:dyDescent="0.2">
      <c r="A63" s="848"/>
    </row>
    <row r="64" spans="1:1" x14ac:dyDescent="0.2">
      <c r="A64" s="848"/>
    </row>
    <row r="65" spans="1:2" x14ac:dyDescent="0.2">
      <c r="A65" s="848"/>
    </row>
    <row r="66" spans="1:2" x14ac:dyDescent="0.2">
      <c r="A66" s="848"/>
      <c r="B66" s="253" t="str">
        <f>COVER!A17</f>
        <v xml:space="preserve">   Galva CUSD 224</v>
      </c>
    </row>
    <row r="67" spans="1:2" x14ac:dyDescent="0.2">
      <c r="B67" s="849">
        <f>COVER!A13</f>
        <v>28037224026</v>
      </c>
    </row>
  </sheetData>
  <phoneticPr fontId="15" type="noConversion"/>
  <pageMargins left="0.2" right="0.2" top="1.17" bottom="0.75" header="0.19" footer="0.16"/>
  <pageSetup scale="7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67" t="s">
        <v>1665</v>
      </c>
      <c r="B18" s="2467"/>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8" t="s">
        <v>1669</v>
      </c>
      <c r="B1" s="2469"/>
      <c r="C1" s="2469"/>
      <c r="D1" s="2469"/>
      <c r="E1" s="2469"/>
      <c r="F1" s="2470"/>
    </row>
    <row r="2" spans="1:8" ht="45" customHeight="1" x14ac:dyDescent="0.2">
      <c r="A2" s="247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9"/>
      <c r="C2" s="2479"/>
      <c r="D2" s="2479"/>
      <c r="E2" s="2479"/>
      <c r="F2" s="2480"/>
      <c r="G2" s="853"/>
      <c r="H2" s="853"/>
    </row>
    <row r="3" spans="1:8" ht="57" customHeight="1" x14ac:dyDescent="0.2">
      <c r="A3" s="2481" t="s">
        <v>1972</v>
      </c>
      <c r="B3" s="2482"/>
      <c r="C3" s="2482"/>
      <c r="D3" s="2482"/>
      <c r="E3" s="2482"/>
      <c r="F3" s="2483"/>
      <c r="G3" s="853"/>
      <c r="H3" s="853"/>
    </row>
    <row r="4" spans="1:8" ht="14.25" customHeight="1" x14ac:dyDescent="0.2">
      <c r="A4" s="248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8"/>
      <c r="C4" s="2488"/>
      <c r="D4" s="2488"/>
      <c r="E4" s="2488"/>
      <c r="F4" s="2489"/>
      <c r="G4" s="853"/>
      <c r="H4" s="853"/>
    </row>
    <row r="5" spans="1:8" ht="14.25" customHeight="1" x14ac:dyDescent="0.2">
      <c r="A5" s="249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1"/>
      <c r="C5" s="2491"/>
      <c r="D5" s="2491"/>
      <c r="E5" s="2491"/>
      <c r="F5" s="2492"/>
      <c r="G5" s="853"/>
      <c r="H5" s="853"/>
    </row>
    <row r="6" spans="1:8" s="854" customFormat="1" ht="41.25" customHeight="1" x14ac:dyDescent="0.2">
      <c r="A6" s="2484" t="s">
        <v>1670</v>
      </c>
      <c r="B6" s="2485"/>
      <c r="C6" s="2485"/>
      <c r="D6" s="2485"/>
      <c r="E6" s="2485"/>
      <c r="F6" s="2486"/>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4184714</v>
      </c>
      <c r="C8" s="1813">
        <f>'Acct Summary 7-8'!D8</f>
        <v>679293</v>
      </c>
      <c r="D8" s="1813">
        <f>'Acct Summary 7-8'!F8</f>
        <v>373176</v>
      </c>
      <c r="E8" s="1813">
        <f>'Acct Summary 7-8'!I8</f>
        <v>58449</v>
      </c>
      <c r="F8" s="1813">
        <f>SUM(B8:E8)</f>
        <v>5295632</v>
      </c>
    </row>
    <row r="9" spans="1:8" s="858" customFormat="1" ht="14.25" customHeight="1" thickBot="1" x14ac:dyDescent="0.25">
      <c r="A9" s="857" t="s">
        <v>1353</v>
      </c>
      <c r="B9" s="1814">
        <f>'Acct Summary 7-8'!C17</f>
        <v>4573590</v>
      </c>
      <c r="C9" s="1814">
        <f>'Acct Summary 7-8'!D17</f>
        <v>737494</v>
      </c>
      <c r="D9" s="1814">
        <f>'Acct Summary 7-8'!F17</f>
        <v>377220</v>
      </c>
      <c r="E9" s="1813"/>
      <c r="F9" s="1813">
        <f>SUM(B9:E9)</f>
        <v>5688304</v>
      </c>
    </row>
    <row r="10" spans="1:8" s="858" customFormat="1" ht="14.25" thickTop="1" thickBot="1" x14ac:dyDescent="0.25">
      <c r="A10" s="859" t="s">
        <v>1354</v>
      </c>
      <c r="B10" s="1815">
        <f>(B8-B9)</f>
        <v>-388876</v>
      </c>
      <c r="C10" s="1815">
        <f>(C8-C9)</f>
        <v>-58201</v>
      </c>
      <c r="D10" s="1815">
        <f>(D8-D9)</f>
        <v>-4044</v>
      </c>
      <c r="E10" s="1814">
        <f>(E8-E9)</f>
        <v>58449</v>
      </c>
      <c r="F10" s="1816">
        <f>SUM(F8-F9)</f>
        <v>-392672</v>
      </c>
    </row>
    <row r="11" spans="1:8" s="858" customFormat="1" ht="14.25" thickTop="1" thickBot="1" x14ac:dyDescent="0.25">
      <c r="A11" s="860" t="s">
        <v>1903</v>
      </c>
      <c r="B11" s="1817">
        <f>'Acct Summary 7-8'!C81</f>
        <v>1990612</v>
      </c>
      <c r="C11" s="1817">
        <f>'Acct Summary 7-8'!D81</f>
        <v>702186</v>
      </c>
      <c r="D11" s="1817">
        <f>'Acct Summary 7-8'!F81</f>
        <v>495331</v>
      </c>
      <c r="E11" s="1817">
        <f>'Acct Summary 7-8'!I81</f>
        <v>27600</v>
      </c>
      <c r="F11" s="1818">
        <f>SUM(B11:E11)</f>
        <v>3215729</v>
      </c>
    </row>
    <row r="12" spans="1:8" ht="16.5" customHeight="1" thickTop="1" x14ac:dyDescent="0.2">
      <c r="A12" s="861"/>
      <c r="B12" s="862"/>
      <c r="C12" s="2472" t="str">
        <f>IF(AND(F10&lt;0,F11&gt;=0,ABS(F10*3)&gt;ABS(F11)),A16,IF(AND(F10&lt;0,F11&gt;0,ABS(F10*3)&lt;=ABS(F11)),A17,IF(AND(F10&lt;0,F11&lt;0),A16,IF(F11=0,A19,A18))))</f>
        <v>Unbalanced -  however, a deficit reduction plan is not required at this time.</v>
      </c>
      <c r="D12" s="2473"/>
      <c r="E12" s="2473"/>
      <c r="F12" s="2474"/>
    </row>
    <row r="13" spans="1:8" ht="19.5" customHeight="1" x14ac:dyDescent="0.2">
      <c r="A13" s="863"/>
      <c r="B13" s="864"/>
      <c r="C13" s="2472"/>
      <c r="D13" s="2473"/>
      <c r="E13" s="2473"/>
      <c r="F13" s="2474"/>
      <c r="H13" s="853"/>
    </row>
    <row r="14" spans="1:8" ht="19.5" customHeight="1" x14ac:dyDescent="0.2">
      <c r="A14" s="863"/>
      <c r="B14" s="864"/>
      <c r="C14" s="2472"/>
      <c r="D14" s="2473"/>
      <c r="E14" s="2473"/>
      <c r="F14" s="2474"/>
      <c r="H14" s="853"/>
    </row>
    <row r="15" spans="1:8" ht="17.25" customHeight="1" x14ac:dyDescent="0.2">
      <c r="A15" s="863"/>
      <c r="B15" s="864"/>
      <c r="C15" s="2475"/>
      <c r="D15" s="2476"/>
      <c r="E15" s="2476"/>
      <c r="F15" s="2477"/>
      <c r="H15" s="853"/>
    </row>
    <row r="16" spans="1:8" s="288" customFormat="1" ht="51.75" hidden="1" customHeight="1" x14ac:dyDescent="0.2">
      <c r="A16" s="2471" t="s">
        <v>1666</v>
      </c>
      <c r="B16" s="2471"/>
      <c r="C16" s="2471"/>
      <c r="D16" s="2471"/>
      <c r="E16" s="2471"/>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3" t="s">
        <v>660</v>
      </c>
      <c r="B3" s="2494"/>
      <c r="C3" s="2494"/>
      <c r="D3" s="2495"/>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4" t="s">
        <v>1487</v>
      </c>
      <c r="D7" s="2505"/>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6" t="s">
        <v>1001</v>
      </c>
      <c r="B15" s="2497"/>
      <c r="C15" s="2497"/>
      <c r="D15" s="2498"/>
    </row>
    <row r="16" spans="1:4" s="542" customFormat="1" ht="24" customHeight="1" x14ac:dyDescent="0.2">
      <c r="A16" s="2499" t="s">
        <v>658</v>
      </c>
      <c r="B16" s="2500"/>
      <c r="C16" s="2500"/>
      <c r="D16" s="2501"/>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8" t="s">
        <v>311</v>
      </c>
      <c r="D21" s="2509"/>
    </row>
    <row r="22" spans="1:10" ht="12.75" x14ac:dyDescent="0.2">
      <c r="A22" s="918"/>
      <c r="B22" s="919">
        <v>2</v>
      </c>
      <c r="C22" s="2506" t="s">
        <v>1507</v>
      </c>
      <c r="D22" s="2507"/>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0" t="s">
        <v>533</v>
      </c>
      <c r="D43" s="2511"/>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2" t="s">
        <v>779</v>
      </c>
      <c r="D56" s="2503"/>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02" t="s">
        <v>1674</v>
      </c>
      <c r="D70" s="2503"/>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29'!$D$146&gt;0,"OK","PLEASE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28037224026</v>
      </c>
      <c r="E2" s="1542">
        <v>2020</v>
      </c>
      <c r="F2" s="1542">
        <v>1</v>
      </c>
      <c r="G2" s="1899">
        <v>101000300</v>
      </c>
    </row>
    <row r="3" spans="1:7" ht="15" x14ac:dyDescent="0.25">
      <c r="A3" t="s">
        <v>950</v>
      </c>
      <c r="B3" s="135" t="str">
        <f>COVER!A15</f>
        <v>Henry</v>
      </c>
      <c r="E3" s="1830" t="s">
        <v>1971</v>
      </c>
      <c r="F3" s="1830" t="s">
        <v>1970</v>
      </c>
      <c r="G3" s="1899">
        <v>101000400</v>
      </c>
    </row>
    <row r="4" spans="1:7" ht="15" x14ac:dyDescent="0.25">
      <c r="A4" t="s">
        <v>1000</v>
      </c>
      <c r="B4" s="135" t="str">
        <f>COVER!A17</f>
        <v xml:space="preserve">   Galva CUSD 224</v>
      </c>
      <c r="E4" s="1828">
        <v>44119</v>
      </c>
      <c r="F4" s="1829">
        <v>44151</v>
      </c>
      <c r="G4" s="1899">
        <v>101000600</v>
      </c>
    </row>
    <row r="5" spans="1:7" ht="15" x14ac:dyDescent="0.25">
      <c r="A5" t="s">
        <v>699</v>
      </c>
      <c r="B5" s="135" t="str">
        <f>COVER!A38</f>
        <v>Doug O'Riley</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066-005027</v>
      </c>
      <c r="G15" s="1899">
        <v>402100400</v>
      </c>
    </row>
    <row r="16" spans="1:7" ht="15" x14ac:dyDescent="0.25">
      <c r="A16" t="s">
        <v>419</v>
      </c>
      <c r="B16" s="135" t="str">
        <f>COVER!T13</f>
        <v>Gorenz and Associates, Ltd.</v>
      </c>
      <c r="G16" s="1899">
        <v>402100600</v>
      </c>
    </row>
    <row r="17" spans="1:7" ht="15" x14ac:dyDescent="0.25">
      <c r="A17" t="s">
        <v>878</v>
      </c>
      <c r="B17" s="135" t="str">
        <f>COVER!T15</f>
        <v>Thomas R. Peffer, CPA</v>
      </c>
      <c r="G17" s="1899">
        <v>402100800</v>
      </c>
    </row>
    <row r="18" spans="1:7" ht="15" x14ac:dyDescent="0.25">
      <c r="A18" t="s">
        <v>1140</v>
      </c>
      <c r="B18" s="135" t="str">
        <f>COVER!T17</f>
        <v>4200 N Knoxville Ave.</v>
      </c>
      <c r="G18" s="1899">
        <v>102200300</v>
      </c>
    </row>
    <row r="19" spans="1:7" ht="15" x14ac:dyDescent="0.25">
      <c r="A19" t="s">
        <v>880</v>
      </c>
      <c r="B19" s="135" t="str">
        <f>COVER!T25</f>
        <v>tpeffer@gorenzcpa.com</v>
      </c>
      <c r="G19" s="1899">
        <v>102200400</v>
      </c>
    </row>
    <row r="20" spans="1:7" ht="15" x14ac:dyDescent="0.25">
      <c r="A20" t="s">
        <v>881</v>
      </c>
      <c r="B20" s="135" t="str">
        <f>COVER!T19</f>
        <v>Peoria</v>
      </c>
      <c r="G20" s="1899">
        <v>102200600</v>
      </c>
    </row>
    <row r="21" spans="1:7" ht="15" x14ac:dyDescent="0.25">
      <c r="A21" t="s">
        <v>476</v>
      </c>
      <c r="B21" s="135" t="str">
        <f>COVER!X19</f>
        <v>IL</v>
      </c>
      <c r="G21" s="1899">
        <v>102200800</v>
      </c>
    </row>
    <row r="22" spans="1:7" ht="15" x14ac:dyDescent="0.25">
      <c r="A22" t="s">
        <v>882</v>
      </c>
      <c r="B22" s="135">
        <f>COVER!Z19</f>
        <v>61614</v>
      </c>
      <c r="G22" s="1899">
        <v>102300300</v>
      </c>
    </row>
    <row r="23" spans="1:7" ht="15" x14ac:dyDescent="0.25">
      <c r="A23" t="s">
        <v>1142</v>
      </c>
      <c r="B23" s="135" t="str">
        <f>COVER!T21</f>
        <v>309-685-7621</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1875034</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1990612</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1847629</v>
      </c>
      <c r="D92" s="2" t="str">
        <f t="shared" si="0"/>
        <v>Error?</v>
      </c>
      <c r="G92" s="1899">
        <v>102640600</v>
      </c>
    </row>
    <row r="93" spans="1:7" ht="15" x14ac:dyDescent="0.25">
      <c r="A93" s="5">
        <v>32</v>
      </c>
      <c r="B93" s="1832">
        <f>'Assets-Liab 5-6'!C41</f>
        <v>1990612</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368538</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702186</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652186</v>
      </c>
      <c r="D123" s="2" t="str">
        <f t="shared" si="0"/>
        <v>Error?</v>
      </c>
      <c r="G123" s="1899">
        <v>203000400</v>
      </c>
    </row>
    <row r="124" spans="1:7" ht="15" x14ac:dyDescent="0.25">
      <c r="A124" s="5">
        <v>63</v>
      </c>
      <c r="B124" s="1832">
        <f>'Assets-Liab 5-6'!D41</f>
        <v>702186</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50000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147012</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147012</v>
      </c>
      <c r="D140" s="2" t="str">
        <f t="shared" si="1"/>
        <v>Error?</v>
      </c>
    </row>
    <row r="141" spans="1:7" x14ac:dyDescent="0.2">
      <c r="A141" s="5">
        <v>80</v>
      </c>
      <c r="B141" s="1832">
        <f>'Assets-Liab 5-6'!E41</f>
        <v>147012</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350000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495331</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495331</v>
      </c>
      <c r="D170" s="2" t="str">
        <f t="shared" si="1"/>
        <v>Error?</v>
      </c>
    </row>
    <row r="171" spans="1:4" x14ac:dyDescent="0.2">
      <c r="A171" s="5">
        <v>110</v>
      </c>
      <c r="B171" s="1832">
        <f>'Assets-Liab 5-6'!F41</f>
        <v>495331</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250000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328990</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245278</v>
      </c>
      <c r="D189" s="2" t="str">
        <f t="shared" si="1"/>
        <v>Error?</v>
      </c>
    </row>
    <row r="190" spans="1:4" x14ac:dyDescent="0.2">
      <c r="A190" s="5">
        <v>129</v>
      </c>
      <c r="B190" s="1832">
        <f>'Assets-Liab 5-6'!G41</f>
        <v>328990</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117730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100022</v>
      </c>
      <c r="D212" s="2" t="str">
        <f t="shared" si="2"/>
        <v>Error?</v>
      </c>
    </row>
    <row r="213" spans="1:4" x14ac:dyDescent="0.2">
      <c r="A213" s="12">
        <v>152</v>
      </c>
      <c r="B213" s="1832">
        <f>'Assets-Liab 5-6'!H41</f>
        <v>117730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36210</v>
      </c>
      <c r="D273" s="2" t="str">
        <f t="shared" si="3"/>
        <v>Error?</v>
      </c>
    </row>
    <row r="274" spans="1:4" x14ac:dyDescent="0.2">
      <c r="A274" s="5">
        <v>213</v>
      </c>
      <c r="B274" s="1832">
        <f>'Assets-Liab 5-6'!M17</f>
        <v>4768693</v>
      </c>
      <c r="D274" s="2" t="str">
        <f t="shared" si="3"/>
        <v>Error?</v>
      </c>
    </row>
    <row r="275" spans="1:4" x14ac:dyDescent="0.2">
      <c r="A275" s="5">
        <v>214</v>
      </c>
      <c r="B275" s="1832">
        <f>'Assets-Liab 5-6'!M18</f>
        <v>2210967</v>
      </c>
      <c r="D275" s="2" t="str">
        <f t="shared" si="3"/>
        <v>Error?</v>
      </c>
    </row>
    <row r="276" spans="1:4" x14ac:dyDescent="0.2">
      <c r="A276" s="5">
        <v>215</v>
      </c>
      <c r="B276" s="1832">
        <f>'Assets-Liab 5-6'!M19</f>
        <v>1314183</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8337280</v>
      </c>
      <c r="C279" s="2" t="s">
        <v>569</v>
      </c>
      <c r="D279" s="2" t="str">
        <f t="shared" si="3"/>
        <v>Error?</v>
      </c>
    </row>
    <row r="280" spans="1:4" x14ac:dyDescent="0.2">
      <c r="A280" s="5">
        <v>219</v>
      </c>
      <c r="B280" s="1832">
        <f>'Assets-Liab 5-6'!M40</f>
        <v>8337280</v>
      </c>
      <c r="D280" s="2" t="str">
        <f t="shared" si="3"/>
        <v>Error?</v>
      </c>
    </row>
    <row r="281" spans="1:4" x14ac:dyDescent="0.2">
      <c r="A281" s="5">
        <v>220</v>
      </c>
      <c r="B281" s="1832">
        <f>'Assets-Liab 5-6'!M41</f>
        <v>8337280</v>
      </c>
      <c r="C281" s="2" t="s">
        <v>569</v>
      </c>
      <c r="D281" s="2" t="str">
        <f t="shared" si="3"/>
        <v>Error?</v>
      </c>
    </row>
    <row r="282" spans="1:4" x14ac:dyDescent="0.2">
      <c r="A282" s="5">
        <v>221</v>
      </c>
      <c r="B282" s="1832">
        <f>'Assets-Liab 5-6'!N21</f>
        <v>147012</v>
      </c>
      <c r="D282" s="2" t="str">
        <f t="shared" si="3"/>
        <v>Error?</v>
      </c>
    </row>
    <row r="283" spans="1:4" x14ac:dyDescent="0.2">
      <c r="A283" s="5">
        <v>222</v>
      </c>
      <c r="B283" s="1832">
        <f>'Assets-Liab 5-6'!N22</f>
        <v>482988</v>
      </c>
      <c r="D283" s="2" t="str">
        <f t="shared" si="3"/>
        <v>Error?</v>
      </c>
    </row>
    <row r="284" spans="1:4" x14ac:dyDescent="0.2">
      <c r="A284" s="5">
        <v>223</v>
      </c>
      <c r="B284" s="1832">
        <f>'Assets-Liab 5-6'!N23</f>
        <v>630000</v>
      </c>
      <c r="C284" s="2" t="s">
        <v>569</v>
      </c>
      <c r="D284" s="2" t="str">
        <f t="shared" si="3"/>
        <v>Error?</v>
      </c>
    </row>
    <row r="285" spans="1:4" x14ac:dyDescent="0.2">
      <c r="A285" s="5">
        <v>224</v>
      </c>
      <c r="B285" s="1832">
        <f>'Assets-Liab 5-6'!N36</f>
        <v>630000</v>
      </c>
      <c r="D285" s="2" t="str">
        <f t="shared" si="3"/>
        <v>Error?</v>
      </c>
    </row>
    <row r="286" spans="1:4" x14ac:dyDescent="0.2">
      <c r="A286" s="10">
        <v>225</v>
      </c>
      <c r="B286" s="1832"/>
      <c r="D286" s="2" t="str">
        <f t="shared" si="3"/>
        <v>OK</v>
      </c>
    </row>
    <row r="287" spans="1:4" x14ac:dyDescent="0.2">
      <c r="A287" s="5">
        <v>226</v>
      </c>
      <c r="B287" s="1832">
        <f>'Assets-Liab 5-6'!N37</f>
        <v>630000</v>
      </c>
      <c r="C287" s="2" t="s">
        <v>569</v>
      </c>
      <c r="D287" s="2" t="str">
        <f t="shared" si="3"/>
        <v>Error?</v>
      </c>
    </row>
    <row r="288" spans="1:4" x14ac:dyDescent="0.2">
      <c r="A288" s="5">
        <v>227</v>
      </c>
      <c r="B288" s="1832">
        <f>'Assets-Liab 5-6'!N41</f>
        <v>630000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1345679</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107103</v>
      </c>
      <c r="D717" s="2" t="str">
        <f t="shared" si="10"/>
        <v>Error?</v>
      </c>
    </row>
    <row r="718" spans="1:4" x14ac:dyDescent="0.2">
      <c r="A718" s="5">
        <v>657</v>
      </c>
      <c r="B718" s="1832">
        <f>'Expenditures 15-22'!C14</f>
        <v>91679</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1851101</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52655</v>
      </c>
      <c r="D722" s="2" t="str">
        <f t="shared" si="10"/>
        <v>Error?</v>
      </c>
    </row>
    <row r="723" spans="1:4" x14ac:dyDescent="0.2">
      <c r="A723" s="5">
        <v>662</v>
      </c>
      <c r="B723" s="1832">
        <f>'Expenditures 15-22'!C38</f>
        <v>31821</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84476</v>
      </c>
      <c r="C727" s="2" t="s">
        <v>569</v>
      </c>
      <c r="D727" s="2" t="str">
        <f t="shared" si="10"/>
        <v>Error?</v>
      </c>
    </row>
    <row r="728" spans="1:4" x14ac:dyDescent="0.2">
      <c r="A728" s="5">
        <v>667</v>
      </c>
      <c r="B728" s="1832">
        <f>'Expenditures 15-22'!C44</f>
        <v>3618</v>
      </c>
      <c r="D728" s="2" t="str">
        <f t="shared" si="10"/>
        <v>Error?</v>
      </c>
    </row>
    <row r="729" spans="1:4" x14ac:dyDescent="0.2">
      <c r="A729" s="5">
        <v>668</v>
      </c>
      <c r="B729" s="1832">
        <f>'Expenditures 15-22'!C45</f>
        <v>69679</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73297</v>
      </c>
      <c r="C731" s="2" t="s">
        <v>569</v>
      </c>
      <c r="D731" s="2" t="str">
        <f t="shared" si="10"/>
        <v>Error?</v>
      </c>
    </row>
    <row r="732" spans="1:4" x14ac:dyDescent="0.2">
      <c r="A732" s="5">
        <v>671</v>
      </c>
      <c r="B732" s="1832">
        <f>'Expenditures 15-22'!C49</f>
        <v>4381</v>
      </c>
      <c r="D732" s="2" t="str">
        <f t="shared" si="10"/>
        <v>Error?</v>
      </c>
    </row>
    <row r="733" spans="1:4" x14ac:dyDescent="0.2">
      <c r="A733" s="5">
        <v>672</v>
      </c>
      <c r="B733" s="1832">
        <f>'Expenditures 15-22'!C50</f>
        <v>184731</v>
      </c>
      <c r="D733" s="2" t="str">
        <f t="shared" si="10"/>
        <v>Error?</v>
      </c>
    </row>
    <row r="734" spans="1:4" x14ac:dyDescent="0.2">
      <c r="A734" s="5">
        <v>673</v>
      </c>
      <c r="B734" s="1832">
        <f>'Expenditures 15-22'!C53</f>
        <v>189112</v>
      </c>
      <c r="C734" s="2" t="s">
        <v>569</v>
      </c>
      <c r="D734" s="2" t="str">
        <f t="shared" si="10"/>
        <v>Error?</v>
      </c>
    </row>
    <row r="735" spans="1:4" x14ac:dyDescent="0.2">
      <c r="A735" s="5">
        <v>674</v>
      </c>
      <c r="B735" s="1832">
        <f>'Expenditures 15-22'!C55</f>
        <v>219613</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219613</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53006</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89664</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142670</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709168</v>
      </c>
      <c r="C755" s="2" t="s">
        <v>569</v>
      </c>
      <c r="D755" s="2" t="str">
        <f t="shared" si="10"/>
        <v>Error?</v>
      </c>
    </row>
    <row r="756" spans="1:4" x14ac:dyDescent="0.2">
      <c r="A756" s="5">
        <v>695</v>
      </c>
      <c r="B756" s="1832">
        <f>'Expenditures 15-22'!C75</f>
        <v>15867</v>
      </c>
      <c r="D756" s="2" t="str">
        <f t="shared" si="10"/>
        <v>Error?</v>
      </c>
    </row>
    <row r="757" spans="1:4" x14ac:dyDescent="0.2">
      <c r="A757" s="5">
        <v>696</v>
      </c>
      <c r="B757" s="1832">
        <f>'Expenditures 15-22'!C114</f>
        <v>2576136</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306860</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19495</v>
      </c>
      <c r="D775" s="2" t="str">
        <f t="shared" si="11"/>
        <v>Error?</v>
      </c>
    </row>
    <row r="776" spans="1:4" x14ac:dyDescent="0.2">
      <c r="A776" s="5">
        <v>715</v>
      </c>
      <c r="B776" s="1832">
        <f>'Expenditures 15-22'!D14</f>
        <v>9124</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421002</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7280</v>
      </c>
      <c r="D780" s="2" t="str">
        <f t="shared" si="11"/>
        <v>Error?</v>
      </c>
    </row>
    <row r="781" spans="1:4" x14ac:dyDescent="0.2">
      <c r="A781" s="5">
        <v>720</v>
      </c>
      <c r="B781" s="1832">
        <f>'Expenditures 15-22'!D38</f>
        <v>5253</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12533</v>
      </c>
      <c r="C785" s="2" t="s">
        <v>569</v>
      </c>
      <c r="D785" s="2" t="str">
        <f t="shared" si="11"/>
        <v>Error?</v>
      </c>
    </row>
    <row r="786" spans="1:4" x14ac:dyDescent="0.2">
      <c r="A786" s="5">
        <v>725</v>
      </c>
      <c r="B786" s="1832">
        <f>'Expenditures 15-22'!D44</f>
        <v>534</v>
      </c>
      <c r="D786" s="2" t="str">
        <f t="shared" si="11"/>
        <v>Error?</v>
      </c>
    </row>
    <row r="787" spans="1:4" x14ac:dyDescent="0.2">
      <c r="A787" s="5">
        <v>726</v>
      </c>
      <c r="B787" s="1832">
        <f>'Expenditures 15-22'!D45</f>
        <v>12373</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12907</v>
      </c>
      <c r="C789" s="2" t="s">
        <v>569</v>
      </c>
      <c r="D789" s="2" t="str">
        <f t="shared" si="11"/>
        <v>Error?</v>
      </c>
    </row>
    <row r="790" spans="1:4" x14ac:dyDescent="0.2">
      <c r="A790" s="5">
        <v>729</v>
      </c>
      <c r="B790" s="1832">
        <f>'Expenditures 15-22'!D49</f>
        <v>92</v>
      </c>
      <c r="D790" s="2" t="str">
        <f t="shared" si="11"/>
        <v>Error?</v>
      </c>
    </row>
    <row r="791" spans="1:4" x14ac:dyDescent="0.2">
      <c r="A791" s="5">
        <v>730</v>
      </c>
      <c r="B791" s="1832">
        <f>'Expenditures 15-22'!D50</f>
        <v>37446</v>
      </c>
      <c r="D791" s="2" t="str">
        <f t="shared" si="11"/>
        <v>Error?</v>
      </c>
    </row>
    <row r="792" spans="1:4" x14ac:dyDescent="0.2">
      <c r="A792" s="5">
        <v>731</v>
      </c>
      <c r="B792" s="1832">
        <f>'Expenditures 15-22'!D53</f>
        <v>37538</v>
      </c>
      <c r="C792" s="2" t="s">
        <v>569</v>
      </c>
      <c r="D792" s="2" t="str">
        <f t="shared" si="11"/>
        <v>Error?</v>
      </c>
    </row>
    <row r="793" spans="1:4" x14ac:dyDescent="0.2">
      <c r="A793" s="5">
        <v>732</v>
      </c>
      <c r="B793" s="1832">
        <f>'Expenditures 15-22'!D55</f>
        <v>38978</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38978</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5288</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11436</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16724</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118680</v>
      </c>
      <c r="C813" s="2" t="s">
        <v>569</v>
      </c>
      <c r="D813" s="2" t="str">
        <f t="shared" si="11"/>
        <v>Error?</v>
      </c>
    </row>
    <row r="814" spans="1:4" x14ac:dyDescent="0.2">
      <c r="A814" s="5">
        <v>753</v>
      </c>
      <c r="B814" s="1832">
        <f>'Expenditures 15-22'!D75</f>
        <v>42</v>
      </c>
      <c r="D814" s="2" t="str">
        <f t="shared" si="11"/>
        <v>Error?</v>
      </c>
    </row>
    <row r="815" spans="1:4" x14ac:dyDescent="0.2">
      <c r="A815" s="5">
        <v>754</v>
      </c>
      <c r="B815" s="1832">
        <f>'Expenditures 15-22'!D114</f>
        <v>539724</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6275</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227</v>
      </c>
      <c r="D833" s="2" t="str">
        <f t="shared" si="12"/>
        <v>Error?</v>
      </c>
    </row>
    <row r="834" spans="1:4" x14ac:dyDescent="0.2">
      <c r="A834" s="5">
        <v>773</v>
      </c>
      <c r="B834" s="1832">
        <f>'Expenditures 15-22'!E14</f>
        <v>33769</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42975</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673</v>
      </c>
      <c r="D838" s="2" t="str">
        <f t="shared" si="12"/>
        <v>Error?</v>
      </c>
    </row>
    <row r="839" spans="1:4" x14ac:dyDescent="0.2">
      <c r="A839" s="5">
        <v>778</v>
      </c>
      <c r="B839" s="1832">
        <f>'Expenditures 15-22'!E38</f>
        <v>10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683</v>
      </c>
      <c r="C843" s="2" t="s">
        <v>569</v>
      </c>
      <c r="D843" s="2" t="str">
        <f t="shared" si="12"/>
        <v>Error?</v>
      </c>
    </row>
    <row r="844" spans="1:4" x14ac:dyDescent="0.2">
      <c r="A844" s="5">
        <v>783</v>
      </c>
      <c r="B844" s="1832">
        <f>'Expenditures 15-22'!E44</f>
        <v>49354</v>
      </c>
      <c r="D844" s="2" t="str">
        <f t="shared" si="12"/>
        <v>Error?</v>
      </c>
    </row>
    <row r="845" spans="1:4" x14ac:dyDescent="0.2">
      <c r="A845" s="5">
        <v>784</v>
      </c>
      <c r="B845" s="1832">
        <f>'Expenditures 15-22'!E45</f>
        <v>81695</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131049</v>
      </c>
      <c r="C847" s="2" t="s">
        <v>569</v>
      </c>
      <c r="D847" s="2" t="str">
        <f t="shared" si="12"/>
        <v>Error?</v>
      </c>
    </row>
    <row r="848" spans="1:4" x14ac:dyDescent="0.2">
      <c r="A848" s="5">
        <v>787</v>
      </c>
      <c r="B848" s="1832">
        <f>'Expenditures 15-22'!E49</f>
        <v>41552</v>
      </c>
      <c r="D848" s="2" t="str">
        <f t="shared" si="12"/>
        <v>Error?</v>
      </c>
    </row>
    <row r="849" spans="1:4" x14ac:dyDescent="0.2">
      <c r="A849" s="5">
        <v>788</v>
      </c>
      <c r="B849" s="1832">
        <f>'Expenditures 15-22'!E50</f>
        <v>19969</v>
      </c>
      <c r="D849" s="2" t="str">
        <f t="shared" si="12"/>
        <v>Error?</v>
      </c>
    </row>
    <row r="850" spans="1:4" x14ac:dyDescent="0.2">
      <c r="A850" s="5">
        <v>789</v>
      </c>
      <c r="B850" s="1832">
        <f>'Expenditures 15-22'!E53</f>
        <v>61521</v>
      </c>
      <c r="C850" s="2" t="s">
        <v>569</v>
      </c>
      <c r="D850" s="2" t="str">
        <f t="shared" si="12"/>
        <v>Error?</v>
      </c>
    </row>
    <row r="851" spans="1:4" x14ac:dyDescent="0.2">
      <c r="A851" s="5">
        <v>790</v>
      </c>
      <c r="B851" s="1832">
        <f>'Expenditures 15-22'!E55</f>
        <v>23554</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23554</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3622</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2481</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6103</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222910</v>
      </c>
      <c r="C871" s="2" t="s">
        <v>569</v>
      </c>
      <c r="D871" s="2" t="str">
        <f t="shared" si="12"/>
        <v>Error?</v>
      </c>
    </row>
    <row r="872" spans="1:4" x14ac:dyDescent="0.2">
      <c r="A872" s="5">
        <v>811</v>
      </c>
      <c r="B872" s="1832">
        <f>'Expenditures 15-22'!E75</f>
        <v>449</v>
      </c>
      <c r="D872" s="2" t="str">
        <f t="shared" si="12"/>
        <v>Error?</v>
      </c>
    </row>
    <row r="873" spans="1:4" x14ac:dyDescent="0.2">
      <c r="A873" s="5">
        <v>812</v>
      </c>
      <c r="B873" s="1832">
        <f>'Expenditures 15-22'!E114</f>
        <v>266334</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131871</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5866</v>
      </c>
      <c r="D891" s="2" t="str">
        <f t="shared" si="12"/>
        <v>Error?</v>
      </c>
    </row>
    <row r="892" spans="1:4" x14ac:dyDescent="0.2">
      <c r="A892" s="5">
        <v>831</v>
      </c>
      <c r="B892" s="1832">
        <f>'Expenditures 15-22'!F14</f>
        <v>16210</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183641</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110</v>
      </c>
      <c r="D896" s="2" t="str">
        <f t="shared" si="13"/>
        <v>Error?</v>
      </c>
    </row>
    <row r="897" spans="1:4" x14ac:dyDescent="0.2">
      <c r="A897" s="5">
        <v>836</v>
      </c>
      <c r="B897" s="1832">
        <f>'Expenditures 15-22'!F38</f>
        <v>2566</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2676</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34033</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34033</v>
      </c>
      <c r="C905" s="2" t="s">
        <v>569</v>
      </c>
      <c r="D905" s="2" t="str">
        <f t="shared" si="13"/>
        <v>Error?</v>
      </c>
    </row>
    <row r="906" spans="1:4" x14ac:dyDescent="0.2">
      <c r="A906" s="5">
        <v>845</v>
      </c>
      <c r="B906" s="1832">
        <f>'Expenditures 15-22'!F49</f>
        <v>4963</v>
      </c>
      <c r="D906" s="2" t="str">
        <f t="shared" si="13"/>
        <v>Error?</v>
      </c>
    </row>
    <row r="907" spans="1:4" x14ac:dyDescent="0.2">
      <c r="A907" s="5">
        <v>846</v>
      </c>
      <c r="B907" s="1832">
        <f>'Expenditures 15-22'!F50</f>
        <v>2911</v>
      </c>
      <c r="D907" s="2" t="str">
        <f t="shared" si="13"/>
        <v>Error?</v>
      </c>
    </row>
    <row r="908" spans="1:4" x14ac:dyDescent="0.2">
      <c r="A908" s="5">
        <v>847</v>
      </c>
      <c r="B908" s="1832">
        <f>'Expenditures 15-22'!F53</f>
        <v>7874</v>
      </c>
      <c r="C908" s="2" t="s">
        <v>569</v>
      </c>
      <c r="D908" s="2" t="str">
        <f t="shared" si="13"/>
        <v>Error?</v>
      </c>
    </row>
    <row r="909" spans="1:4" x14ac:dyDescent="0.2">
      <c r="A909" s="5">
        <v>848</v>
      </c>
      <c r="B909" s="1832">
        <f>'Expenditures 15-22'!F55</f>
        <v>5928</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5928</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1396</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79919</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81315</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131826</v>
      </c>
      <c r="C929" s="2" t="s">
        <v>569</v>
      </c>
      <c r="D929" s="2" t="str">
        <f t="shared" si="13"/>
        <v>Error?</v>
      </c>
    </row>
    <row r="930" spans="1:4" x14ac:dyDescent="0.2">
      <c r="A930" s="5">
        <v>869</v>
      </c>
      <c r="B930" s="1832">
        <f>'Expenditures 15-22'!F75</f>
        <v>670</v>
      </c>
      <c r="D930" s="2" t="str">
        <f t="shared" si="13"/>
        <v>Error?</v>
      </c>
    </row>
    <row r="931" spans="1:4" x14ac:dyDescent="0.2">
      <c r="A931" s="5">
        <v>870</v>
      </c>
      <c r="B931" s="1832">
        <f>'Expenditures 15-22'!F114</f>
        <v>316137</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8990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3268</v>
      </c>
      <c r="D949" s="2" t="str">
        <f t="shared" si="13"/>
        <v>Error?</v>
      </c>
    </row>
    <row r="950" spans="1:4" x14ac:dyDescent="0.2">
      <c r="A950" s="5">
        <v>889</v>
      </c>
      <c r="B950" s="1832">
        <f>'Expenditures 15-22'!G14</f>
        <v>3805</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26913</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3300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3300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39629</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39629</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1940</v>
      </c>
      <c r="D965" s="2" t="str">
        <f t="shared" si="14"/>
        <v>Error?</v>
      </c>
    </row>
    <row r="966" spans="1:4" x14ac:dyDescent="0.2">
      <c r="A966" s="5">
        <v>905</v>
      </c>
      <c r="B966" s="1832">
        <f>'Expenditures 15-22'!G53</f>
        <v>1940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1121</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4129</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5250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50119</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77032</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7717</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8617</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2884</v>
      </c>
      <c r="D1022" s="2" t="str">
        <f t="shared" si="14"/>
        <v>Error?</v>
      </c>
    </row>
    <row r="1023" spans="1:4" x14ac:dyDescent="0.2">
      <c r="A1023" s="5">
        <v>962</v>
      </c>
      <c r="B1023" s="1832">
        <f>'Expenditures 15-22'!H50</f>
        <v>1349</v>
      </c>
      <c r="D1023" s="2" t="str">
        <f t="shared" ref="D1023:D1086" si="15">IF(ISBLANK(B1023),"OK",IF(A1023-B1023=0,"OK","Error?"))</f>
        <v>Error?</v>
      </c>
    </row>
    <row r="1024" spans="1:4" x14ac:dyDescent="0.2">
      <c r="A1024" s="5">
        <v>963</v>
      </c>
      <c r="B1024" s="1832">
        <f>'Expenditures 15-22'!H53</f>
        <v>4233</v>
      </c>
      <c r="C1024" s="2" t="s">
        <v>569</v>
      </c>
      <c r="D1024" s="2" t="str">
        <f t="shared" si="15"/>
        <v>Error?</v>
      </c>
    </row>
    <row r="1025" spans="1:4" x14ac:dyDescent="0.2">
      <c r="A1025" s="5">
        <v>964</v>
      </c>
      <c r="B1025" s="1832">
        <f>'Expenditures 15-22'!H55</f>
        <v>1716</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1716</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5949</v>
      </c>
      <c r="C1045" s="2" t="s">
        <v>569</v>
      </c>
      <c r="D1045" s="2" t="str">
        <f t="shared" si="15"/>
        <v>Error?</v>
      </c>
    </row>
    <row r="1046" spans="1:5" x14ac:dyDescent="0.2">
      <c r="A1046" s="5">
        <v>985</v>
      </c>
      <c r="B1046" s="1832">
        <f>'Expenditures 15-22'!H75</f>
        <v>40</v>
      </c>
      <c r="D1046" s="2" t="str">
        <f t="shared" si="15"/>
        <v>Error?</v>
      </c>
    </row>
    <row r="1047" spans="1:5" x14ac:dyDescent="0.2">
      <c r="A1047" s="5">
        <v>986</v>
      </c>
      <c r="B1047" s="1832">
        <f>'Expenditures 15-22'!H102</f>
        <v>783621</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798227</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1799675</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135959</v>
      </c>
      <c r="C1105" s="2" t="s">
        <v>569</v>
      </c>
      <c r="D1105" s="2" t="str">
        <f t="shared" si="16"/>
        <v>Error?</v>
      </c>
    </row>
    <row r="1106" spans="1:4" x14ac:dyDescent="0.2">
      <c r="A1106" s="5">
        <v>1045</v>
      </c>
      <c r="B1106" s="1832">
        <f>'Expenditures 15-22'!K14</f>
        <v>162304</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2534249</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60718</v>
      </c>
      <c r="C1110" s="2" t="s">
        <v>569</v>
      </c>
      <c r="D1110" s="2" t="str">
        <f t="shared" si="16"/>
        <v>Error?</v>
      </c>
    </row>
    <row r="1111" spans="1:4" x14ac:dyDescent="0.2">
      <c r="A1111" s="5">
        <v>1050</v>
      </c>
      <c r="B1111" s="1832">
        <f>'Expenditures 15-22'!K38</f>
        <v>42950</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103668</v>
      </c>
      <c r="C1115" s="2" t="s">
        <v>569</v>
      </c>
      <c r="D1115" s="2" t="str">
        <f t="shared" si="16"/>
        <v>Error?</v>
      </c>
    </row>
    <row r="1116" spans="1:4" x14ac:dyDescent="0.2">
      <c r="A1116" s="5">
        <v>1055</v>
      </c>
      <c r="B1116" s="1832">
        <f>'Expenditures 15-22'!K44</f>
        <v>53506</v>
      </c>
      <c r="C1116" s="2" t="s">
        <v>569</v>
      </c>
      <c r="D1116" s="2" t="str">
        <f t="shared" si="16"/>
        <v>Error?</v>
      </c>
    </row>
    <row r="1117" spans="1:4" x14ac:dyDescent="0.2">
      <c r="A1117" s="5">
        <v>1056</v>
      </c>
      <c r="B1117" s="1832">
        <f>'Expenditures 15-22'!K45</f>
        <v>237409</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290915</v>
      </c>
      <c r="C1119" s="2" t="s">
        <v>569</v>
      </c>
      <c r="D1119" s="2" t="str">
        <f t="shared" si="16"/>
        <v>Error?</v>
      </c>
    </row>
    <row r="1120" spans="1:4" x14ac:dyDescent="0.2">
      <c r="A1120" s="5">
        <v>1059</v>
      </c>
      <c r="B1120" s="1832">
        <f>'Expenditures 15-22'!K49</f>
        <v>53872</v>
      </c>
      <c r="C1120" s="2" t="s">
        <v>569</v>
      </c>
      <c r="D1120" s="2" t="str">
        <f t="shared" si="16"/>
        <v>Error?</v>
      </c>
    </row>
    <row r="1121" spans="1:4" x14ac:dyDescent="0.2">
      <c r="A1121" s="5">
        <v>1060</v>
      </c>
      <c r="B1121" s="1832">
        <f>'Expenditures 15-22'!K50</f>
        <v>248346</v>
      </c>
      <c r="C1121" s="2" t="s">
        <v>569</v>
      </c>
      <c r="D1121" s="2" t="str">
        <f t="shared" si="16"/>
        <v>Error?</v>
      </c>
    </row>
    <row r="1122" spans="1:4" x14ac:dyDescent="0.2">
      <c r="A1122" s="5">
        <v>1061</v>
      </c>
      <c r="B1122" s="1832">
        <f>'Expenditures 15-22'!K53</f>
        <v>302218</v>
      </c>
      <c r="C1122" s="2" t="s">
        <v>569</v>
      </c>
      <c r="D1122" s="2" t="str">
        <f t="shared" si="16"/>
        <v>Error?</v>
      </c>
    </row>
    <row r="1123" spans="1:4" x14ac:dyDescent="0.2">
      <c r="A1123" s="5">
        <v>1062</v>
      </c>
      <c r="B1123" s="1832">
        <f>'Expenditures 15-22'!K55</f>
        <v>289789</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289789</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64433</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187629</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252062</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1238652</v>
      </c>
      <c r="C1143" s="2" t="s">
        <v>569</v>
      </c>
      <c r="D1143" s="2" t="str">
        <f t="shared" si="16"/>
        <v>Error?</v>
      </c>
    </row>
    <row r="1144" spans="1:4" x14ac:dyDescent="0.2">
      <c r="A1144" s="5">
        <v>1083</v>
      </c>
      <c r="B1144" s="1832">
        <f>'Expenditures 15-22'!K75</f>
        <v>17068</v>
      </c>
      <c r="C1144" s="2" t="s">
        <v>569</v>
      </c>
      <c r="D1144" s="2" t="str">
        <f t="shared" si="16"/>
        <v>Error?</v>
      </c>
    </row>
    <row r="1145" spans="1:4" x14ac:dyDescent="0.2">
      <c r="A1145" s="5">
        <v>1084</v>
      </c>
      <c r="B1145" s="1832">
        <f>'Expenditures 15-22'!K102</f>
        <v>783621</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4573590</v>
      </c>
      <c r="C1152" s="2" t="s">
        <v>569</v>
      </c>
      <c r="D1152" s="2" t="str">
        <f t="shared" si="17"/>
        <v>Error?</v>
      </c>
    </row>
    <row r="1153" spans="1:4" x14ac:dyDescent="0.2">
      <c r="A1153" s="5">
        <v>1092</v>
      </c>
      <c r="B1153" s="1832">
        <f>'Expenditures 15-22'!K115</f>
        <v>-388876</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169932</v>
      </c>
      <c r="D1221" s="2" t="str">
        <f t="shared" si="18"/>
        <v>Error?</v>
      </c>
    </row>
    <row r="1222" spans="1:4" x14ac:dyDescent="0.2">
      <c r="A1222" s="10">
        <v>1161</v>
      </c>
      <c r="B1222" s="1832"/>
      <c r="D1222" s="2" t="str">
        <f t="shared" si="18"/>
        <v>OK</v>
      </c>
    </row>
    <row r="1223" spans="1:4" x14ac:dyDescent="0.2">
      <c r="A1223" s="5">
        <v>1162</v>
      </c>
      <c r="B1223" s="1832">
        <f>'Expenditures 15-22'!C127</f>
        <v>169932</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169932</v>
      </c>
      <c r="C1225" s="2" t="s">
        <v>569</v>
      </c>
      <c r="D1225" s="2" t="str">
        <f t="shared" si="18"/>
        <v>Error?</v>
      </c>
    </row>
    <row r="1226" spans="1:4" x14ac:dyDescent="0.2">
      <c r="A1226" s="5">
        <v>1165</v>
      </c>
      <c r="B1226" s="1832">
        <f>'Expenditures 15-22'!C151</f>
        <v>169932</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26621</v>
      </c>
      <c r="D1229" s="2" t="str">
        <f t="shared" si="18"/>
        <v>Error?</v>
      </c>
    </row>
    <row r="1230" spans="1:4" x14ac:dyDescent="0.2">
      <c r="A1230" s="10">
        <v>1169</v>
      </c>
      <c r="B1230" s="1832"/>
      <c r="D1230" s="2" t="str">
        <f t="shared" si="18"/>
        <v>OK</v>
      </c>
    </row>
    <row r="1231" spans="1:4" x14ac:dyDescent="0.2">
      <c r="A1231" s="5">
        <v>1170</v>
      </c>
      <c r="B1231" s="1832">
        <f>'Expenditures 15-22'!D127</f>
        <v>26621</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26621</v>
      </c>
      <c r="C1233" s="2" t="s">
        <v>569</v>
      </c>
      <c r="D1233" s="2" t="str">
        <f t="shared" si="18"/>
        <v>Error?</v>
      </c>
    </row>
    <row r="1234" spans="1:4" x14ac:dyDescent="0.2">
      <c r="A1234" s="5">
        <v>1173</v>
      </c>
      <c r="B1234" s="1832">
        <f>'Expenditures 15-22'!D151</f>
        <v>26621</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109108</v>
      </c>
      <c r="D1237" s="2" t="str">
        <f t="shared" si="18"/>
        <v>Error?</v>
      </c>
    </row>
    <row r="1238" spans="1:4" x14ac:dyDescent="0.2">
      <c r="A1238" s="10">
        <v>1177</v>
      </c>
      <c r="B1238" s="1832"/>
      <c r="D1238" s="2" t="str">
        <f t="shared" si="18"/>
        <v>OK</v>
      </c>
    </row>
    <row r="1239" spans="1:4" x14ac:dyDescent="0.2">
      <c r="A1239" s="5">
        <v>1178</v>
      </c>
      <c r="B1239" s="1832">
        <f>'Expenditures 15-22'!E127</f>
        <v>109108</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109108</v>
      </c>
      <c r="C1241" s="2" t="s">
        <v>569</v>
      </c>
      <c r="D1241" s="2" t="str">
        <f t="shared" si="18"/>
        <v>Error?</v>
      </c>
    </row>
    <row r="1242" spans="1:4" x14ac:dyDescent="0.2">
      <c r="A1242" s="5">
        <v>1181</v>
      </c>
      <c r="B1242" s="1832">
        <f>'Expenditures 15-22'!E151</f>
        <v>109108</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107369</v>
      </c>
      <c r="D1245" s="2" t="str">
        <f t="shared" si="18"/>
        <v>Error?</v>
      </c>
    </row>
    <row r="1246" spans="1:4" x14ac:dyDescent="0.2">
      <c r="A1246" s="10">
        <v>1185</v>
      </c>
      <c r="B1246" s="1832"/>
      <c r="D1246" s="2" t="str">
        <f t="shared" si="18"/>
        <v>OK</v>
      </c>
    </row>
    <row r="1247" spans="1:4" x14ac:dyDescent="0.2">
      <c r="A1247" s="5">
        <v>1186</v>
      </c>
      <c r="B1247" s="1832">
        <f>'Expenditures 15-22'!F127</f>
        <v>107369</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107369</v>
      </c>
      <c r="C1249" s="2" t="s">
        <v>569</v>
      </c>
      <c r="D1249" s="2" t="str">
        <f t="shared" si="18"/>
        <v>Error?</v>
      </c>
    </row>
    <row r="1250" spans="1:4" x14ac:dyDescent="0.2">
      <c r="A1250" s="5">
        <v>1189</v>
      </c>
      <c r="B1250" s="1832">
        <f>'Expenditures 15-22'!F151</f>
        <v>107369</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324464</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324464</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324464</v>
      </c>
      <c r="C1258" s="2" t="s">
        <v>569</v>
      </c>
      <c r="D1258" s="2" t="str">
        <f t="shared" si="18"/>
        <v>Error?</v>
      </c>
    </row>
    <row r="1259" spans="1:4" x14ac:dyDescent="0.2">
      <c r="A1259" s="5">
        <v>1198</v>
      </c>
      <c r="B1259" s="1832">
        <f>'Expenditures 15-22'!G151</f>
        <v>324464</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737494</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737494</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737494</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737494</v>
      </c>
      <c r="C1288" s="2" t="s">
        <v>569</v>
      </c>
      <c r="D1288" s="2" t="str">
        <f t="shared" si="19"/>
        <v>Error?</v>
      </c>
    </row>
    <row r="1289" spans="1:4" x14ac:dyDescent="0.2">
      <c r="A1289" s="5">
        <v>1228</v>
      </c>
      <c r="B1289" s="1832">
        <f>'Expenditures 15-22'!K152</f>
        <v>-58201</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1000</v>
      </c>
      <c r="D1307" s="2" t="str">
        <f t="shared" si="19"/>
        <v>Error?</v>
      </c>
    </row>
    <row r="1308" spans="1:4" x14ac:dyDescent="0.2">
      <c r="A1308" s="5">
        <v>1247</v>
      </c>
      <c r="B1308" s="1832">
        <f>'Expenditures 15-22'!E172</f>
        <v>1000</v>
      </c>
      <c r="C1308" s="2" t="s">
        <v>569</v>
      </c>
      <c r="D1308" s="2" t="str">
        <f t="shared" si="19"/>
        <v>Error?</v>
      </c>
    </row>
    <row r="1309" spans="1:4" x14ac:dyDescent="0.2">
      <c r="A1309" s="5">
        <v>1248</v>
      </c>
      <c r="B1309" s="1832">
        <f>'Expenditures 15-22'!E174</f>
        <v>1000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36450</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285000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321450</v>
      </c>
      <c r="C1317" s="2" t="s">
        <v>569</v>
      </c>
      <c r="D1317" s="2" t="str">
        <f t="shared" si="19"/>
        <v>Error?</v>
      </c>
    </row>
    <row r="1318" spans="1:4" x14ac:dyDescent="0.2">
      <c r="A1318" s="5">
        <v>1257</v>
      </c>
      <c r="B1318" s="1832">
        <f>'Expenditures 15-22'!H174</f>
        <v>321450</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36450</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285000</v>
      </c>
      <c r="C1329" s="2" t="s">
        <v>569</v>
      </c>
      <c r="D1329" s="2" t="str">
        <f t="shared" si="19"/>
        <v>Error?</v>
      </c>
    </row>
    <row r="1330" spans="1:4" x14ac:dyDescent="0.2">
      <c r="A1330" s="5">
        <v>1269</v>
      </c>
      <c r="B1330" s="1832">
        <f>'Expenditures 15-22'!K171</f>
        <v>1000</v>
      </c>
      <c r="C1330" s="2" t="s">
        <v>569</v>
      </c>
      <c r="D1330" s="2" t="str">
        <f t="shared" si="19"/>
        <v>Error?</v>
      </c>
    </row>
    <row r="1331" spans="1:4" x14ac:dyDescent="0.2">
      <c r="A1331" s="5">
        <v>1270</v>
      </c>
      <c r="B1331" s="1832">
        <f>'Expenditures 15-22'!K172</f>
        <v>322450</v>
      </c>
      <c r="C1331" s="2" t="s">
        <v>569</v>
      </c>
      <c r="D1331" s="2" t="str">
        <f t="shared" si="19"/>
        <v>Error?</v>
      </c>
    </row>
    <row r="1332" spans="1:4" x14ac:dyDescent="0.2">
      <c r="A1332" s="5">
        <v>1271</v>
      </c>
      <c r="B1332" s="1832">
        <f>'Expenditures 15-22'!K174</f>
        <v>322450</v>
      </c>
      <c r="C1332" s="2" t="s">
        <v>569</v>
      </c>
      <c r="D1332" s="2" t="str">
        <f t="shared" si="19"/>
        <v>Error?</v>
      </c>
    </row>
    <row r="1333" spans="1:4" x14ac:dyDescent="0.2">
      <c r="A1333" s="5">
        <v>1272</v>
      </c>
      <c r="B1333" s="1832">
        <f>'Expenditures 15-22'!K175</f>
        <v>-218</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225990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225990</v>
      </c>
      <c r="C1339" s="2" t="s">
        <v>569</v>
      </c>
      <c r="D1339" s="2" t="str">
        <f t="shared" si="19"/>
        <v>Error?</v>
      </c>
    </row>
    <row r="1340" spans="1:4" x14ac:dyDescent="0.2">
      <c r="A1340" s="5">
        <v>1279</v>
      </c>
      <c r="B1340" s="1832">
        <f>'Expenditures 15-22'!C210</f>
        <v>225990</v>
      </c>
      <c r="C1340" s="2" t="s">
        <v>569</v>
      </c>
      <c r="D1340" s="2" t="str">
        <f t="shared" si="19"/>
        <v>Error?</v>
      </c>
    </row>
    <row r="1341" spans="1:4" x14ac:dyDescent="0.2">
      <c r="A1341" s="5">
        <v>1280</v>
      </c>
      <c r="B1341" s="1832">
        <f>'Expenditures 15-22'!D182</f>
        <v>5550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5550</v>
      </c>
      <c r="C1345" s="2" t="s">
        <v>569</v>
      </c>
      <c r="D1345" s="2" t="str">
        <f t="shared" si="20"/>
        <v>Error?</v>
      </c>
    </row>
    <row r="1346" spans="1:4" x14ac:dyDescent="0.2">
      <c r="A1346" s="5">
        <v>1285</v>
      </c>
      <c r="B1346" s="1832">
        <f>'Expenditures 15-22'!D210</f>
        <v>5550</v>
      </c>
      <c r="C1346" s="2" t="s">
        <v>569</v>
      </c>
      <c r="D1346" s="2" t="str">
        <f t="shared" si="20"/>
        <v>Error?</v>
      </c>
    </row>
    <row r="1347" spans="1:4" x14ac:dyDescent="0.2">
      <c r="A1347" s="5">
        <v>1286</v>
      </c>
      <c r="B1347" s="1832">
        <f>'Expenditures 15-22'!E182</f>
        <v>101450</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101450</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101450</v>
      </c>
      <c r="C1353" s="2" t="s">
        <v>569</v>
      </c>
      <c r="D1353" s="2" t="str">
        <f t="shared" si="20"/>
        <v>Error?</v>
      </c>
    </row>
    <row r="1354" spans="1:4" x14ac:dyDescent="0.2">
      <c r="A1354" s="5">
        <v>1293</v>
      </c>
      <c r="B1354" s="1832">
        <f>'Expenditures 15-22'!F182</f>
        <v>44230</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44230</v>
      </c>
      <c r="C1358" s="2" t="s">
        <v>569</v>
      </c>
      <c r="D1358" s="2" t="str">
        <f t="shared" si="20"/>
        <v>Error?</v>
      </c>
    </row>
    <row r="1359" spans="1:4" x14ac:dyDescent="0.2">
      <c r="A1359" s="5">
        <v>1298</v>
      </c>
      <c r="B1359" s="1832">
        <f>'Expenditures 15-22'!F210</f>
        <v>44230</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377220</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377220</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377220</v>
      </c>
      <c r="C1388" s="2" t="s">
        <v>569</v>
      </c>
      <c r="D1388" s="2" t="str">
        <f t="shared" si="20"/>
        <v>Error?</v>
      </c>
    </row>
    <row r="1389" spans="1:4" x14ac:dyDescent="0.2">
      <c r="A1389" s="5">
        <v>1328</v>
      </c>
      <c r="B1389" s="1832">
        <f>'Expenditures 15-22'!K211</f>
        <v>-4044</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1568</v>
      </c>
      <c r="D1407" s="2" t="str">
        <f t="shared" ref="D1407:D1470" si="21">IF(ISBLANK(B1407),"OK",IF(A1407-B1407=0,"OK","Error?"))</f>
        <v>Error?</v>
      </c>
    </row>
    <row r="1408" spans="1:4" x14ac:dyDescent="0.2">
      <c r="A1408" s="5">
        <v>1347</v>
      </c>
      <c r="B1408" s="1832">
        <f>'Expenditures 15-22'!D223</f>
        <v>4700</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46187</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806</v>
      </c>
      <c r="D1412" s="2" t="str">
        <f t="shared" si="21"/>
        <v>Error?</v>
      </c>
    </row>
    <row r="1413" spans="1:4" x14ac:dyDescent="0.2">
      <c r="A1413" s="5">
        <v>1352</v>
      </c>
      <c r="B1413" s="1832">
        <f>'Expenditures 15-22'!D234</f>
        <v>6367</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7173</v>
      </c>
      <c r="C1417" s="2" t="s">
        <v>569</v>
      </c>
      <c r="D1417" s="2" t="str">
        <f t="shared" si="21"/>
        <v>Error?</v>
      </c>
    </row>
    <row r="1418" spans="1:4" x14ac:dyDescent="0.2">
      <c r="A1418" s="5">
        <v>1357</v>
      </c>
      <c r="B1418" s="1832">
        <f>'Expenditures 15-22'!D240</f>
        <v>52</v>
      </c>
      <c r="D1418" s="2" t="str">
        <f t="shared" si="21"/>
        <v>Error?</v>
      </c>
    </row>
    <row r="1419" spans="1:4" x14ac:dyDescent="0.2">
      <c r="A1419" s="5">
        <v>1358</v>
      </c>
      <c r="B1419" s="1832">
        <f>'Expenditures 15-22'!D241</f>
        <v>4151</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4203</v>
      </c>
      <c r="C1421" s="2" t="s">
        <v>569</v>
      </c>
      <c r="D1421" s="2" t="str">
        <f t="shared" si="21"/>
        <v>Error?</v>
      </c>
    </row>
    <row r="1422" spans="1:4" x14ac:dyDescent="0.2">
      <c r="A1422" s="5">
        <v>1361</v>
      </c>
      <c r="B1422" s="1832">
        <f>'Expenditures 15-22'!D245</f>
        <v>474</v>
      </c>
      <c r="D1422" s="2" t="str">
        <f t="shared" si="21"/>
        <v>Error?</v>
      </c>
    </row>
    <row r="1423" spans="1:4" x14ac:dyDescent="0.2">
      <c r="A1423" s="5">
        <v>1362</v>
      </c>
      <c r="B1423" s="1832">
        <f>'Expenditures 15-22'!D246</f>
        <v>12095</v>
      </c>
      <c r="D1423" s="2" t="str">
        <f t="shared" si="21"/>
        <v>Error?</v>
      </c>
    </row>
    <row r="1424" spans="1:4" x14ac:dyDescent="0.2">
      <c r="A1424" s="5">
        <v>1363</v>
      </c>
      <c r="B1424" s="1832">
        <f>'Expenditures 15-22'!D257</f>
        <v>12569</v>
      </c>
      <c r="C1424" s="2" t="s">
        <v>569</v>
      </c>
      <c r="D1424" s="2" t="str">
        <f t="shared" si="21"/>
        <v>Error?</v>
      </c>
    </row>
    <row r="1425" spans="1:4" x14ac:dyDescent="0.2">
      <c r="A1425" s="5">
        <v>1364</v>
      </c>
      <c r="B1425" s="1832">
        <f>'Expenditures 15-22'!D259</f>
        <v>18698</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18698</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10966</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36031</v>
      </c>
      <c r="D1431" s="2" t="str">
        <f t="shared" si="21"/>
        <v>Error?</v>
      </c>
    </row>
    <row r="1432" spans="1:4" x14ac:dyDescent="0.2">
      <c r="A1432" s="5">
        <v>1371</v>
      </c>
      <c r="B1432" s="1832">
        <f>'Expenditures 15-22'!D267</f>
        <v>45906</v>
      </c>
      <c r="D1432" s="2" t="str">
        <f t="shared" si="21"/>
        <v>Error?</v>
      </c>
    </row>
    <row r="1433" spans="1:4" x14ac:dyDescent="0.2">
      <c r="A1433" s="5">
        <v>1372</v>
      </c>
      <c r="B1433" s="1832">
        <f>'Expenditures 15-22'!D268</f>
        <v>17694</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110597</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153240</v>
      </c>
      <c r="C1446" s="2" t="s">
        <v>569</v>
      </c>
      <c r="D1446" s="2" t="str">
        <f t="shared" si="21"/>
        <v>Error?</v>
      </c>
    </row>
    <row r="1447" spans="1:4" x14ac:dyDescent="0.2">
      <c r="A1447" s="5">
        <v>1386</v>
      </c>
      <c r="B1447" s="1832">
        <f>'Expenditures 15-22'!D280</f>
        <v>2900</v>
      </c>
      <c r="D1447" s="2" t="str">
        <f t="shared" si="21"/>
        <v>Error?</v>
      </c>
    </row>
    <row r="1448" spans="1:4" x14ac:dyDescent="0.2">
      <c r="A1448" s="5">
        <v>1387</v>
      </c>
      <c r="B1448" s="1832">
        <f>'Expenditures 15-22'!D295</f>
        <v>221669</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1568</v>
      </c>
      <c r="C1471" s="2" t="s">
        <v>569</v>
      </c>
      <c r="D1471" s="2" t="str">
        <f t="shared" ref="D1471:D1534" si="22">IF(ISBLANK(B1471),"OK",IF(A1471-B1471=0,"OK","Error?"))</f>
        <v>Error?</v>
      </c>
    </row>
    <row r="1472" spans="1:4" x14ac:dyDescent="0.2">
      <c r="A1472" s="5">
        <v>1411</v>
      </c>
      <c r="B1472" s="1832">
        <f>'Expenditures 15-22'!K223</f>
        <v>4700</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46187</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806</v>
      </c>
      <c r="C1476" s="2" t="s">
        <v>569</v>
      </c>
      <c r="D1476" s="2" t="str">
        <f t="shared" si="22"/>
        <v>Error?</v>
      </c>
    </row>
    <row r="1477" spans="1:4" x14ac:dyDescent="0.2">
      <c r="A1477" s="5">
        <v>1416</v>
      </c>
      <c r="B1477" s="1832">
        <f>'Expenditures 15-22'!K234</f>
        <v>6367</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7173</v>
      </c>
      <c r="C1481" s="2" t="s">
        <v>569</v>
      </c>
      <c r="D1481" s="2" t="str">
        <f t="shared" si="22"/>
        <v>Error?</v>
      </c>
    </row>
    <row r="1482" spans="1:4" x14ac:dyDescent="0.2">
      <c r="A1482" s="5">
        <v>1421</v>
      </c>
      <c r="B1482" s="1832">
        <f>'Expenditures 15-22'!K240</f>
        <v>52</v>
      </c>
      <c r="C1482" s="2" t="s">
        <v>569</v>
      </c>
      <c r="D1482" s="2" t="str">
        <f t="shared" si="22"/>
        <v>Error?</v>
      </c>
    </row>
    <row r="1483" spans="1:4" x14ac:dyDescent="0.2">
      <c r="A1483" s="5">
        <v>1422</v>
      </c>
      <c r="B1483" s="1832">
        <f>'Expenditures 15-22'!K241</f>
        <v>4151</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4203</v>
      </c>
      <c r="C1485" s="2" t="s">
        <v>569</v>
      </c>
      <c r="D1485" s="2" t="str">
        <f t="shared" si="22"/>
        <v>Error?</v>
      </c>
    </row>
    <row r="1486" spans="1:4" x14ac:dyDescent="0.2">
      <c r="A1486" s="5">
        <v>1425</v>
      </c>
      <c r="B1486" s="1832">
        <f>'Expenditures 15-22'!K245</f>
        <v>474</v>
      </c>
      <c r="C1486" s="2" t="s">
        <v>569</v>
      </c>
      <c r="D1486" s="2" t="str">
        <f t="shared" si="22"/>
        <v>Error?</v>
      </c>
    </row>
    <row r="1487" spans="1:4" x14ac:dyDescent="0.2">
      <c r="A1487" s="5">
        <v>1426</v>
      </c>
      <c r="B1487" s="1832">
        <f>'Expenditures 15-22'!K246</f>
        <v>12095</v>
      </c>
      <c r="C1487" s="2" t="s">
        <v>569</v>
      </c>
      <c r="D1487" s="2" t="str">
        <f t="shared" si="22"/>
        <v>Error?</v>
      </c>
    </row>
    <row r="1488" spans="1:4" x14ac:dyDescent="0.2">
      <c r="A1488" s="5">
        <v>1427</v>
      </c>
      <c r="B1488" s="1832">
        <f>'Expenditures 15-22'!K257</f>
        <v>12569</v>
      </c>
      <c r="C1488" s="2" t="s">
        <v>569</v>
      </c>
      <c r="D1488" s="2" t="str">
        <f t="shared" si="22"/>
        <v>Error?</v>
      </c>
    </row>
    <row r="1489" spans="1:4" x14ac:dyDescent="0.2">
      <c r="A1489" s="5">
        <v>1428</v>
      </c>
      <c r="B1489" s="1832">
        <f>'Expenditures 15-22'!K259</f>
        <v>18698</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18698</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10966</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36031</v>
      </c>
      <c r="C1495" s="2" t="s">
        <v>569</v>
      </c>
      <c r="D1495" s="2" t="str">
        <f t="shared" si="22"/>
        <v>Error?</v>
      </c>
    </row>
    <row r="1496" spans="1:4" x14ac:dyDescent="0.2">
      <c r="A1496" s="5">
        <v>1435</v>
      </c>
      <c r="B1496" s="1832">
        <f>'Expenditures 15-22'!K267</f>
        <v>45906</v>
      </c>
      <c r="C1496" s="2" t="s">
        <v>569</v>
      </c>
      <c r="D1496" s="2" t="str">
        <f t="shared" si="22"/>
        <v>Error?</v>
      </c>
    </row>
    <row r="1497" spans="1:4" x14ac:dyDescent="0.2">
      <c r="A1497" s="5">
        <v>1436</v>
      </c>
      <c r="B1497" s="1832">
        <f>'Expenditures 15-22'!K268</f>
        <v>17694</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110597</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153240</v>
      </c>
      <c r="C1510" s="2" t="s">
        <v>569</v>
      </c>
      <c r="D1510" s="2" t="str">
        <f t="shared" si="22"/>
        <v>Error?</v>
      </c>
    </row>
    <row r="1511" spans="1:4" x14ac:dyDescent="0.2">
      <c r="A1511" s="5">
        <v>1450</v>
      </c>
      <c r="B1511" s="1832">
        <f>'Expenditures 15-22'!K280</f>
        <v>2900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221669</v>
      </c>
      <c r="C1517" s="2" t="s">
        <v>569</v>
      </c>
      <c r="D1517" s="2" t="str">
        <f t="shared" si="22"/>
        <v>Error?</v>
      </c>
    </row>
    <row r="1518" spans="1:4" x14ac:dyDescent="0.2">
      <c r="A1518" s="5">
        <v>1457</v>
      </c>
      <c r="B1518" s="1832">
        <f>'Expenditures 15-22'!K296</f>
        <v>-17354</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33640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33640</v>
      </c>
      <c r="C1535" s="2" t="s">
        <v>569</v>
      </c>
      <c r="D1535" s="2" t="str">
        <f t="shared" ref="D1535:D1598" si="23">IF(ISBLANK(B1535),"OK",IF(A1535-B1535=0,"OK","Error?"))</f>
        <v>Error?</v>
      </c>
    </row>
    <row r="1536" spans="1:4" x14ac:dyDescent="0.2">
      <c r="A1536" s="5">
        <v>1475</v>
      </c>
      <c r="B1536" s="1832">
        <f>'Expenditures 15-22'!E312</f>
        <v>33640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157759</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157759</v>
      </c>
      <c r="C1547" s="2" t="s">
        <v>569</v>
      </c>
      <c r="D1547" s="2" t="str">
        <f t="shared" si="23"/>
        <v>Error?</v>
      </c>
    </row>
    <row r="1548" spans="1:4" x14ac:dyDescent="0.2">
      <c r="A1548" s="5">
        <v>1487</v>
      </c>
      <c r="B1548" s="1832">
        <f>'Expenditures 15-22'!G312</f>
        <v>157759</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191399</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191399</v>
      </c>
      <c r="C1559" s="2" t="s">
        <v>569</v>
      </c>
      <c r="D1559" s="2" t="str">
        <f t="shared" si="23"/>
        <v>Error?</v>
      </c>
    </row>
    <row r="1560" spans="1:4" x14ac:dyDescent="0.2">
      <c r="A1560" s="5">
        <v>1499</v>
      </c>
      <c r="B1560" s="1832">
        <f>'Expenditures 15-22'!K312</f>
        <v>191399</v>
      </c>
      <c r="C1560" s="2" t="s">
        <v>569</v>
      </c>
      <c r="D1560" s="2" t="str">
        <f t="shared" si="23"/>
        <v>Error?</v>
      </c>
    </row>
    <row r="1561" spans="1:4" x14ac:dyDescent="0.2">
      <c r="A1561" s="5">
        <v>1500</v>
      </c>
      <c r="B1561" s="1832">
        <f>'Expenditures 15-22'!K313</f>
        <v>-37717</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1649488</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1990612</v>
      </c>
      <c r="C1630" s="2" t="s">
        <v>569</v>
      </c>
      <c r="D1630" s="2" t="str">
        <f t="shared" si="24"/>
        <v>Error?</v>
      </c>
    </row>
    <row r="1631" spans="1:4" x14ac:dyDescent="0.2">
      <c r="A1631" s="5">
        <v>1570</v>
      </c>
      <c r="B1631" s="1832">
        <f>'Acct Summary 7-8'!D79</f>
        <v>760387</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702186</v>
      </c>
      <c r="C1644" s="2" t="s">
        <v>569</v>
      </c>
      <c r="D1644" s="2" t="str">
        <f t="shared" si="24"/>
        <v>Error?</v>
      </c>
    </row>
    <row r="1645" spans="1:4" x14ac:dyDescent="0.2">
      <c r="A1645" s="5">
        <v>1584</v>
      </c>
      <c r="B1645" s="1832">
        <f>'Acct Summary 7-8'!E79</f>
        <v>147230</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147012</v>
      </c>
      <c r="C1658" s="2" t="s">
        <v>569</v>
      </c>
      <c r="D1658" s="2" t="str">
        <f t="shared" si="24"/>
        <v>Error?</v>
      </c>
    </row>
    <row r="1659" spans="1:4" x14ac:dyDescent="0.2">
      <c r="A1659" s="5">
        <v>1598</v>
      </c>
      <c r="B1659" s="1832">
        <f>'Acct Summary 7-8'!F79</f>
        <v>499375</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495331</v>
      </c>
      <c r="C1672" s="2" t="s">
        <v>569</v>
      </c>
      <c r="D1672" s="2" t="str">
        <f t="shared" si="25"/>
        <v>Error?</v>
      </c>
    </row>
    <row r="1673" spans="1:4" x14ac:dyDescent="0.2">
      <c r="A1673" s="5">
        <v>1612</v>
      </c>
      <c r="B1673" s="1832">
        <f>'Acct Summary 7-8'!G79</f>
        <v>346344</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328990</v>
      </c>
      <c r="C1686" s="2" t="s">
        <v>569</v>
      </c>
      <c r="D1686" s="2" t="str">
        <f t="shared" si="25"/>
        <v>Error?</v>
      </c>
    </row>
    <row r="1687" spans="1:4" x14ac:dyDescent="0.2">
      <c r="A1687" s="5">
        <v>1626</v>
      </c>
      <c r="B1687" s="1832">
        <f>'Acct Summary 7-8'!H79</f>
        <v>155447</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117730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1918034</v>
      </c>
      <c r="C1744" s="2" t="s">
        <v>569</v>
      </c>
      <c r="D1744" s="2" t="str">
        <f t="shared" si="26"/>
        <v>Error?</v>
      </c>
    </row>
    <row r="1745" spans="1:5" x14ac:dyDescent="0.2">
      <c r="A1745" s="5">
        <v>1684</v>
      </c>
      <c r="B1745" s="1832">
        <f>'Tax Sched 23'!B5</f>
        <v>551455</v>
      </c>
      <c r="C1745" s="2" t="s">
        <v>569</v>
      </c>
      <c r="D1745" s="2" t="str">
        <f t="shared" si="26"/>
        <v>Error?</v>
      </c>
    </row>
    <row r="1746" spans="1:5" x14ac:dyDescent="0.2">
      <c r="A1746" s="5">
        <v>1685</v>
      </c>
      <c r="B1746" s="1832">
        <f>'Tax Sched 23'!B6</f>
        <v>257609</v>
      </c>
      <c r="C1746" s="2" t="s">
        <v>569</v>
      </c>
      <c r="D1746" s="2" t="str">
        <f t="shared" si="26"/>
        <v>Error?</v>
      </c>
    </row>
    <row r="1747" spans="1:5" x14ac:dyDescent="0.2">
      <c r="A1747" s="5">
        <v>1686</v>
      </c>
      <c r="B1747" s="1832">
        <f>'Tax Sched 23'!B7</f>
        <v>163411</v>
      </c>
      <c r="C1747" s="2" t="s">
        <v>569</v>
      </c>
      <c r="D1747" s="2" t="str">
        <f t="shared" si="26"/>
        <v>Error?</v>
      </c>
    </row>
    <row r="1748" spans="1:5" x14ac:dyDescent="0.2">
      <c r="A1748" s="5">
        <v>1687</v>
      </c>
      <c r="B1748" s="1832">
        <f>'Tax Sched 23'!B8</f>
        <v>73518</v>
      </c>
      <c r="C1748" s="2" t="s">
        <v>569</v>
      </c>
      <c r="D1748" s="2" t="str">
        <f t="shared" si="26"/>
        <v>Error?</v>
      </c>
    </row>
    <row r="1749" spans="1:5" x14ac:dyDescent="0.2">
      <c r="A1749" s="5">
        <v>1688</v>
      </c>
      <c r="B1749" s="1832">
        <f>'Tax Sched 23'!B10</f>
        <v>40875</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636549</v>
      </c>
      <c r="C1752" s="2" t="s">
        <v>569</v>
      </c>
      <c r="D1752" s="2" t="str">
        <f t="shared" si="26"/>
        <v>Error?</v>
      </c>
    </row>
    <row r="1753" spans="1:5" x14ac:dyDescent="0.2">
      <c r="A1753" s="5">
        <v>1692</v>
      </c>
      <c r="B1753" s="1832">
        <f>'Tax Sched 23'!B12</f>
        <v>40875</v>
      </c>
      <c r="C1753" s="2" t="s">
        <v>569</v>
      </c>
      <c r="D1753" s="2" t="str">
        <f t="shared" si="26"/>
        <v>Error?</v>
      </c>
    </row>
    <row r="1754" spans="1:5" x14ac:dyDescent="0.2">
      <c r="A1754" s="5">
        <v>1693</v>
      </c>
      <c r="B1754" s="1832">
        <f>'Tax Sched 23'!B14</f>
        <v>32700</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3873153</v>
      </c>
      <c r="C1759" s="2" t="s">
        <v>569</v>
      </c>
      <c r="D1759" s="2" t="str">
        <f t="shared" si="26"/>
        <v>Error?</v>
      </c>
    </row>
    <row r="1760" spans="1:5" x14ac:dyDescent="0.2">
      <c r="A1760" s="5">
        <v>1699</v>
      </c>
      <c r="B1760" s="1832">
        <f>'Tax Sched 23'!D4</f>
        <v>879623</v>
      </c>
      <c r="C1760" s="2" t="s">
        <v>569</v>
      </c>
      <c r="D1760" s="2" t="str">
        <f t="shared" si="26"/>
        <v>Error?</v>
      </c>
    </row>
    <row r="1761" spans="1:7" x14ac:dyDescent="0.2">
      <c r="A1761" s="5">
        <v>1700</v>
      </c>
      <c r="B1761" s="1832">
        <f>'Tax Sched 23'!D5</f>
        <v>252679</v>
      </c>
      <c r="C1761" s="2" t="s">
        <v>569</v>
      </c>
      <c r="D1761" s="2" t="str">
        <f t="shared" si="26"/>
        <v>Error?</v>
      </c>
    </row>
    <row r="1762" spans="1:7" s="8" customFormat="1" x14ac:dyDescent="0.2">
      <c r="A1762" s="5">
        <v>1701</v>
      </c>
      <c r="B1762" s="1832">
        <f>'Tax Sched 23'!D6</f>
        <v>120318</v>
      </c>
      <c r="C1762" s="2" t="s">
        <v>569</v>
      </c>
      <c r="D1762" s="2" t="str">
        <f t="shared" si="26"/>
        <v>Error?</v>
      </c>
      <c r="E1762" s="9"/>
      <c r="G1762"/>
    </row>
    <row r="1763" spans="1:7" x14ac:dyDescent="0.2">
      <c r="A1763" s="5">
        <v>1702</v>
      </c>
      <c r="B1763" s="1832">
        <f>'Tax Sched 23'!D7</f>
        <v>74868</v>
      </c>
      <c r="C1763" s="2" t="s">
        <v>569</v>
      </c>
      <c r="D1763" s="2" t="str">
        <f t="shared" si="26"/>
        <v>Error?</v>
      </c>
    </row>
    <row r="1764" spans="1:7" x14ac:dyDescent="0.2">
      <c r="A1764" s="5">
        <v>1703</v>
      </c>
      <c r="B1764" s="1832">
        <f>'Tax Sched 23'!D8</f>
        <v>30829</v>
      </c>
      <c r="C1764" s="2" t="s">
        <v>569</v>
      </c>
      <c r="D1764" s="2" t="str">
        <f t="shared" si="26"/>
        <v>Error?</v>
      </c>
    </row>
    <row r="1765" spans="1:7" x14ac:dyDescent="0.2">
      <c r="A1765" s="5">
        <v>1704</v>
      </c>
      <c r="B1765" s="1832">
        <f>'Tax Sched 23'!D10</f>
        <v>18717</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257913</v>
      </c>
      <c r="C1768" s="2" t="s">
        <v>569</v>
      </c>
      <c r="D1768" s="2" t="str">
        <f t="shared" si="26"/>
        <v>Error?</v>
      </c>
    </row>
    <row r="1769" spans="1:7" x14ac:dyDescent="0.2">
      <c r="A1769" s="5">
        <v>1708</v>
      </c>
      <c r="B1769" s="1832">
        <f>'Tax Sched 23'!D12</f>
        <v>18717</v>
      </c>
      <c r="C1769" s="2" t="s">
        <v>569</v>
      </c>
      <c r="D1769" s="2" t="str">
        <f t="shared" si="26"/>
        <v>Error?</v>
      </c>
    </row>
    <row r="1770" spans="1:7" x14ac:dyDescent="0.2">
      <c r="A1770" s="5">
        <v>1709</v>
      </c>
      <c r="B1770" s="1832">
        <f>'Tax Sched 23'!D14</f>
        <v>14973</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1737408</v>
      </c>
      <c r="C1775" s="2" t="s">
        <v>569</v>
      </c>
      <c r="D1775" s="2" t="str">
        <f t="shared" si="26"/>
        <v>Error?</v>
      </c>
    </row>
    <row r="1776" spans="1:7" x14ac:dyDescent="0.2">
      <c r="A1776" s="5">
        <v>1715</v>
      </c>
      <c r="B1776" s="1832">
        <f>'Tax Sched 23'!C4</f>
        <v>1038411</v>
      </c>
      <c r="D1776" s="2" t="str">
        <f t="shared" si="26"/>
        <v>Error?</v>
      </c>
    </row>
    <row r="1777" spans="1:4" x14ac:dyDescent="0.2">
      <c r="A1777" s="5">
        <v>1716</v>
      </c>
      <c r="B1777" s="1832">
        <f>'Tax Sched 23'!C5</f>
        <v>298776</v>
      </c>
      <c r="D1777" s="2" t="str">
        <f t="shared" si="26"/>
        <v>Error?</v>
      </c>
    </row>
    <row r="1778" spans="1:4" x14ac:dyDescent="0.2">
      <c r="A1778" s="5">
        <v>1717</v>
      </c>
      <c r="B1778" s="1832">
        <f>'Tax Sched 23'!C6</f>
        <v>137291</v>
      </c>
      <c r="D1778" s="2" t="str">
        <f t="shared" si="26"/>
        <v>Error?</v>
      </c>
    </row>
    <row r="1779" spans="1:4" x14ac:dyDescent="0.2">
      <c r="A1779" s="5">
        <v>1718</v>
      </c>
      <c r="B1779" s="1832">
        <f>'Tax Sched 23'!C7</f>
        <v>88543</v>
      </c>
      <c r="D1779" s="2" t="str">
        <f t="shared" si="26"/>
        <v>Error?</v>
      </c>
    </row>
    <row r="1780" spans="1:4" x14ac:dyDescent="0.2">
      <c r="A1780" s="5">
        <v>1719</v>
      </c>
      <c r="B1780" s="1832">
        <f>'Tax Sched 23'!C8</f>
        <v>42689</v>
      </c>
      <c r="D1780" s="2" t="str">
        <f t="shared" si="26"/>
        <v>Error?</v>
      </c>
    </row>
    <row r="1781" spans="1:4" x14ac:dyDescent="0.2">
      <c r="A1781" s="5">
        <v>1720</v>
      </c>
      <c r="B1781" s="1832">
        <f>'Tax Sched 23'!C10</f>
        <v>22158</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378636</v>
      </c>
      <c r="D1784" s="2" t="str">
        <f t="shared" si="26"/>
        <v>Error?</v>
      </c>
    </row>
    <row r="1785" spans="1:4" x14ac:dyDescent="0.2">
      <c r="A1785" s="5">
        <v>1724</v>
      </c>
      <c r="B1785" s="1832">
        <f>'Tax Sched 23'!C12</f>
        <v>22158</v>
      </c>
      <c r="D1785" s="2" t="str">
        <f t="shared" si="26"/>
        <v>Error?</v>
      </c>
    </row>
    <row r="1786" spans="1:4" x14ac:dyDescent="0.2">
      <c r="A1786" s="5">
        <v>1725</v>
      </c>
      <c r="B1786" s="1832">
        <f>'Tax Sched 23'!C14</f>
        <v>17727</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2135745</v>
      </c>
      <c r="C1791" s="2" t="s">
        <v>569</v>
      </c>
      <c r="D1791" s="2" t="str">
        <f t="shared" ref="D1791:D1854" si="27">IF(ISBLANK(B1791),"OK",IF(A1791-B1791=0,"OK","Error?"))</f>
        <v>Error?</v>
      </c>
    </row>
    <row r="1792" spans="1:4" x14ac:dyDescent="0.2">
      <c r="A1792" s="5">
        <v>1731</v>
      </c>
      <c r="B1792" s="1832">
        <f>'Tax Sched 23'!F4</f>
        <v>918170</v>
      </c>
      <c r="C1792" s="2" t="s">
        <v>569</v>
      </c>
      <c r="D1792" s="2" t="str">
        <f t="shared" si="27"/>
        <v>Error?</v>
      </c>
    </row>
    <row r="1793" spans="1:4" x14ac:dyDescent="0.2">
      <c r="A1793" s="5">
        <v>1732</v>
      </c>
      <c r="B1793" s="1832">
        <f>'Tax Sched 23'!F5</f>
        <v>264179</v>
      </c>
      <c r="C1793" s="2" t="s">
        <v>569</v>
      </c>
      <c r="D1793" s="2" t="str">
        <f t="shared" si="27"/>
        <v>Error?</v>
      </c>
    </row>
    <row r="1794" spans="1:4" x14ac:dyDescent="0.2">
      <c r="A1794" s="5">
        <v>1733</v>
      </c>
      <c r="B1794" s="1832">
        <f>'Tax Sched 23'!F6</f>
        <v>121394</v>
      </c>
      <c r="C1794" s="2" t="s">
        <v>569</v>
      </c>
      <c r="D1794" s="2" t="str">
        <f t="shared" si="27"/>
        <v>Error?</v>
      </c>
    </row>
    <row r="1795" spans="1:4" x14ac:dyDescent="0.2">
      <c r="A1795" s="5">
        <v>1734</v>
      </c>
      <c r="B1795" s="1832">
        <f>'Tax Sched 23'!F7</f>
        <v>78290</v>
      </c>
      <c r="C1795" s="2" t="s">
        <v>569</v>
      </c>
      <c r="D1795" s="2" t="str">
        <f t="shared" si="27"/>
        <v>Error?</v>
      </c>
    </row>
    <row r="1796" spans="1:4" x14ac:dyDescent="0.2">
      <c r="A1796" s="5">
        <v>1735</v>
      </c>
      <c r="B1796" s="1832">
        <f>'Tax Sched 23'!F8</f>
        <v>37745</v>
      </c>
      <c r="C1796" s="2" t="s">
        <v>569</v>
      </c>
      <c r="D1796" s="2" t="str">
        <f t="shared" si="27"/>
        <v>Error?</v>
      </c>
    </row>
    <row r="1797" spans="1:4" x14ac:dyDescent="0.2">
      <c r="A1797" s="5">
        <v>1736</v>
      </c>
      <c r="B1797" s="1832">
        <f>'Tax Sched 23'!F10</f>
        <v>19593</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334792</v>
      </c>
      <c r="C1800" s="2" t="s">
        <v>569</v>
      </c>
      <c r="D1800" s="2" t="str">
        <f t="shared" si="27"/>
        <v>Error?</v>
      </c>
    </row>
    <row r="1801" spans="1:4" x14ac:dyDescent="0.2">
      <c r="A1801" s="5">
        <v>1740</v>
      </c>
      <c r="B1801" s="1832">
        <f>'Tax Sched 23'!F12</f>
        <v>19593</v>
      </c>
      <c r="C1801" s="2" t="s">
        <v>569</v>
      </c>
      <c r="D1801" s="2" t="str">
        <f t="shared" si="27"/>
        <v>Error?</v>
      </c>
    </row>
    <row r="1802" spans="1:4" x14ac:dyDescent="0.2">
      <c r="A1802" s="5">
        <v>1741</v>
      </c>
      <c r="B1802" s="1832">
        <f>'Tax Sched 23'!F14</f>
        <v>15674</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1888441</v>
      </c>
      <c r="C1807" s="2" t="s">
        <v>569</v>
      </c>
      <c r="D1807" s="2" t="str">
        <f t="shared" si="27"/>
        <v>Error?</v>
      </c>
    </row>
    <row r="1808" spans="1:4" x14ac:dyDescent="0.2">
      <c r="A1808" s="5">
        <v>1747</v>
      </c>
      <c r="B1808" s="1832">
        <f>'Tax Sched 23'!E4</f>
        <v>1956581</v>
      </c>
      <c r="D1808" s="2" t="str">
        <f t="shared" si="27"/>
        <v>Error?</v>
      </c>
    </row>
    <row r="1809" spans="1:4" x14ac:dyDescent="0.2">
      <c r="A1809" s="5">
        <v>1748</v>
      </c>
      <c r="B1809" s="1832">
        <f>'Tax Sched 23'!E5</f>
        <v>562955</v>
      </c>
      <c r="D1809" s="2" t="str">
        <f t="shared" si="27"/>
        <v>Error?</v>
      </c>
    </row>
    <row r="1810" spans="1:4" x14ac:dyDescent="0.2">
      <c r="A1810" s="5">
        <v>1749</v>
      </c>
      <c r="B1810" s="1832">
        <f>'Tax Sched 23'!E6</f>
        <v>258685</v>
      </c>
      <c r="D1810" s="2" t="str">
        <f t="shared" si="27"/>
        <v>Error?</v>
      </c>
    </row>
    <row r="1811" spans="1:4" x14ac:dyDescent="0.2">
      <c r="A1811" s="5">
        <v>1750</v>
      </c>
      <c r="B1811" s="1832">
        <f>'Tax Sched 23'!E7</f>
        <v>166833</v>
      </c>
      <c r="D1811" s="2" t="str">
        <f t="shared" si="27"/>
        <v>Error?</v>
      </c>
    </row>
    <row r="1812" spans="1:4" x14ac:dyDescent="0.2">
      <c r="A1812" s="5">
        <v>1751</v>
      </c>
      <c r="B1812" s="1832">
        <f>'Tax Sched 23'!E8</f>
        <v>80434</v>
      </c>
      <c r="D1812" s="2" t="str">
        <f t="shared" si="27"/>
        <v>Error?</v>
      </c>
    </row>
    <row r="1813" spans="1:4" x14ac:dyDescent="0.2">
      <c r="A1813" s="5">
        <v>1752</v>
      </c>
      <c r="B1813" s="1832">
        <f>'Tax Sched 23'!E10</f>
        <v>41751</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713428</v>
      </c>
      <c r="D1816" s="2" t="str">
        <f t="shared" si="27"/>
        <v>Error?</v>
      </c>
    </row>
    <row r="1817" spans="1:4" x14ac:dyDescent="0.2">
      <c r="A1817" s="5">
        <v>1756</v>
      </c>
      <c r="B1817" s="1832">
        <f>'Tax Sched 23'!E12</f>
        <v>41751</v>
      </c>
      <c r="D1817" s="2" t="str">
        <f t="shared" si="27"/>
        <v>Error?</v>
      </c>
    </row>
    <row r="1818" spans="1:4" x14ac:dyDescent="0.2">
      <c r="A1818" s="5">
        <v>1757</v>
      </c>
      <c r="B1818" s="1832">
        <f>'Tax Sched 23'!E14</f>
        <v>33401</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4024186</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915000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32700</v>
      </c>
      <c r="D1972" s="2" t="str">
        <f t="shared" si="29"/>
        <v>Error?</v>
      </c>
    </row>
    <row r="1973" spans="1:5" x14ac:dyDescent="0.2">
      <c r="A1973" s="5">
        <v>1912</v>
      </c>
      <c r="B1973" s="1832">
        <f>'Rest Tax Levies-Tort Im 25'!H6</f>
        <v>8</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32708</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32708</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36210</v>
      </c>
      <c r="D2008" s="2" t="str">
        <f t="shared" si="30"/>
        <v>Error?</v>
      </c>
    </row>
    <row r="2009" spans="1:4" x14ac:dyDescent="0.2">
      <c r="A2009" s="5">
        <v>1948</v>
      </c>
      <c r="B2009" s="1832">
        <f>'Cap Outlay Deprec 26'!C8</f>
        <v>4681859</v>
      </c>
      <c r="D2009" s="2" t="str">
        <f t="shared" si="30"/>
        <v>Error?</v>
      </c>
    </row>
    <row r="2010" spans="1:4" x14ac:dyDescent="0.2">
      <c r="A2010" s="5">
        <v>1949</v>
      </c>
      <c r="B2010" s="1832">
        <f>'Cap Outlay Deprec 26'!C10</f>
        <v>1814384</v>
      </c>
      <c r="D2010" s="2" t="str">
        <f t="shared" si="30"/>
        <v>Error?</v>
      </c>
    </row>
    <row r="2011" spans="1:4" x14ac:dyDescent="0.2">
      <c r="A2011" s="5">
        <v>1950</v>
      </c>
      <c r="B2011" s="1832">
        <f>'Cap Outlay Deprec 26'!C12</f>
        <v>907828</v>
      </c>
      <c r="D2011" s="2" t="str">
        <f t="shared" si="30"/>
        <v>Error?</v>
      </c>
    </row>
    <row r="2012" spans="1:4" x14ac:dyDescent="0.2">
      <c r="A2012" s="5">
        <v>1951</v>
      </c>
      <c r="B2012" s="1832">
        <f>'Cap Outlay Deprec 26'!C13</f>
        <v>329981</v>
      </c>
      <c r="D2012" s="2" t="str">
        <f t="shared" si="30"/>
        <v>Error?</v>
      </c>
    </row>
    <row r="2013" spans="1:4" x14ac:dyDescent="0.2">
      <c r="A2013" s="5">
        <v>1952</v>
      </c>
      <c r="B2013" s="1832">
        <f>'Cap Outlay Deprec 26'!C16</f>
        <v>7833119</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86834</v>
      </c>
      <c r="D2015" s="2" t="str">
        <f t="shared" si="30"/>
        <v>Error?</v>
      </c>
    </row>
    <row r="2016" spans="1:4" x14ac:dyDescent="0.2">
      <c r="A2016" s="5">
        <v>1955</v>
      </c>
      <c r="B2016" s="1832">
        <f>'Cap Outlay Deprec 26'!D10</f>
        <v>396583</v>
      </c>
      <c r="D2016" s="2" t="str">
        <f t="shared" si="30"/>
        <v>Error?</v>
      </c>
    </row>
    <row r="2017" spans="1:4" x14ac:dyDescent="0.2">
      <c r="A2017" s="5">
        <v>1956</v>
      </c>
      <c r="B2017" s="1832">
        <f>'Cap Outlay Deprec 26'!D12</f>
        <v>83127</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573771</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69610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69610</v>
      </c>
      <c r="C2025" s="2" t="s">
        <v>569</v>
      </c>
      <c r="D2025" s="2" t="str">
        <f t="shared" si="30"/>
        <v>Error?</v>
      </c>
    </row>
    <row r="2026" spans="1:4" x14ac:dyDescent="0.2">
      <c r="A2026" s="5">
        <v>1965</v>
      </c>
      <c r="B2026" s="1832">
        <f>'Cap Outlay Deprec 26'!F5</f>
        <v>36210</v>
      </c>
      <c r="C2026" s="2" t="s">
        <v>569</v>
      </c>
      <c r="D2026" s="2" t="str">
        <f t="shared" si="30"/>
        <v>Error?</v>
      </c>
    </row>
    <row r="2027" spans="1:4" x14ac:dyDescent="0.2">
      <c r="A2027" s="5">
        <v>1966</v>
      </c>
      <c r="B2027" s="1832">
        <f>'Cap Outlay Deprec 26'!F8</f>
        <v>4768693</v>
      </c>
      <c r="C2027" s="2" t="s">
        <v>569</v>
      </c>
      <c r="D2027" s="2" t="str">
        <f t="shared" si="30"/>
        <v>Error?</v>
      </c>
    </row>
    <row r="2028" spans="1:4" x14ac:dyDescent="0.2">
      <c r="A2028" s="5">
        <v>1967</v>
      </c>
      <c r="B2028" s="1832">
        <f>'Cap Outlay Deprec 26'!F10</f>
        <v>2210967</v>
      </c>
      <c r="C2028" s="2" t="s">
        <v>569</v>
      </c>
      <c r="D2028" s="2" t="str">
        <f t="shared" si="30"/>
        <v>Error?</v>
      </c>
    </row>
    <row r="2029" spans="1:4" x14ac:dyDescent="0.2">
      <c r="A2029" s="5">
        <v>1968</v>
      </c>
      <c r="B2029" s="1832">
        <f>'Cap Outlay Deprec 26'!F12</f>
        <v>921345</v>
      </c>
      <c r="C2029" s="2" t="s">
        <v>569</v>
      </c>
      <c r="D2029" s="2" t="str">
        <f t="shared" si="30"/>
        <v>Error?</v>
      </c>
    </row>
    <row r="2030" spans="1:4" x14ac:dyDescent="0.2">
      <c r="A2030" s="5">
        <v>1969</v>
      </c>
      <c r="B2030" s="1832">
        <f>'Cap Outlay Deprec 26'!F13</f>
        <v>329981</v>
      </c>
      <c r="C2030" s="2" t="s">
        <v>569</v>
      </c>
      <c r="D2030" s="2" t="str">
        <f t="shared" si="30"/>
        <v>Error?</v>
      </c>
    </row>
    <row r="2031" spans="1:4" x14ac:dyDescent="0.2">
      <c r="A2031" s="5">
        <v>1970</v>
      </c>
      <c r="B2031" s="1832">
        <f>'Cap Outlay Deprec 26'!F16</f>
        <v>8337280</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2957891</v>
      </c>
      <c r="D2033" s="2" t="str">
        <f t="shared" si="30"/>
        <v>Error?</v>
      </c>
    </row>
    <row r="2034" spans="1:4" x14ac:dyDescent="0.2">
      <c r="A2034" s="5">
        <v>1973</v>
      </c>
      <c r="B2034" s="1832">
        <f>'Cap Outlay Deprec 26'!H10</f>
        <v>367100</v>
      </c>
      <c r="D2034" s="2" t="str">
        <f t="shared" si="30"/>
        <v>Error?</v>
      </c>
    </row>
    <row r="2035" spans="1:4" x14ac:dyDescent="0.2">
      <c r="A2035" s="5">
        <v>1974</v>
      </c>
      <c r="B2035" s="1832">
        <f>'Cap Outlay Deprec 26'!H12</f>
        <v>446741</v>
      </c>
      <c r="D2035" s="2" t="str">
        <f t="shared" si="30"/>
        <v>Error?</v>
      </c>
    </row>
    <row r="2036" spans="1:4" x14ac:dyDescent="0.2">
      <c r="A2036" s="5">
        <v>1975</v>
      </c>
      <c r="B2036" s="1832">
        <f>'Cap Outlay Deprec 26'!H13</f>
        <v>300169</v>
      </c>
      <c r="D2036" s="2" t="str">
        <f t="shared" si="30"/>
        <v>Error?</v>
      </c>
    </row>
    <row r="2037" spans="1:4" x14ac:dyDescent="0.2">
      <c r="A2037" s="5">
        <v>1976</v>
      </c>
      <c r="B2037" s="1832">
        <f>'Cap Outlay Deprec 26'!H16</f>
        <v>4134757</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55692</v>
      </c>
      <c r="D2039" s="2" t="str">
        <f t="shared" si="30"/>
        <v>Error?</v>
      </c>
    </row>
    <row r="2040" spans="1:4" x14ac:dyDescent="0.2">
      <c r="A2040" s="5">
        <v>1979</v>
      </c>
      <c r="B2040" s="1832">
        <f>'Cap Outlay Deprec 26'!I10</f>
        <v>109891</v>
      </c>
      <c r="D2040" s="2" t="str">
        <f t="shared" si="30"/>
        <v>Error?</v>
      </c>
    </row>
    <row r="2041" spans="1:4" x14ac:dyDescent="0.2">
      <c r="A2041" s="5">
        <v>1980</v>
      </c>
      <c r="B2041" s="1832">
        <f>'Cap Outlay Deprec 26'!I12</f>
        <v>92135</v>
      </c>
      <c r="D2041" s="2" t="str">
        <f t="shared" si="30"/>
        <v>Error?</v>
      </c>
    </row>
    <row r="2042" spans="1:4" x14ac:dyDescent="0.2">
      <c r="A2042" s="5">
        <v>1981</v>
      </c>
      <c r="B2042" s="1832">
        <f>'Cap Outlay Deprec 26'!I13</f>
        <v>7453</v>
      </c>
      <c r="D2042" s="2" t="str">
        <f t="shared" si="30"/>
        <v>Error?</v>
      </c>
    </row>
    <row r="2043" spans="1:4" x14ac:dyDescent="0.2">
      <c r="A2043" s="5">
        <v>1982</v>
      </c>
      <c r="B2043" s="1832">
        <f>'Cap Outlay Deprec 26'!I16</f>
        <v>265172</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69610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69610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3013583</v>
      </c>
      <c r="C2051" s="2" t="s">
        <v>569</v>
      </c>
      <c r="D2051" s="2" t="str">
        <f t="shared" si="31"/>
        <v>Error?</v>
      </c>
    </row>
    <row r="2052" spans="1:4" x14ac:dyDescent="0.2">
      <c r="A2052" s="5">
        <v>1991</v>
      </c>
      <c r="B2052" s="1832">
        <f>'Cap Outlay Deprec 26'!K10</f>
        <v>476991</v>
      </c>
      <c r="C2052" s="2" t="s">
        <v>569</v>
      </c>
      <c r="D2052" s="2" t="str">
        <f t="shared" si="31"/>
        <v>Error?</v>
      </c>
    </row>
    <row r="2053" spans="1:4" x14ac:dyDescent="0.2">
      <c r="A2053" s="5">
        <v>1992</v>
      </c>
      <c r="B2053" s="1832">
        <f>'Cap Outlay Deprec 26'!K12</f>
        <v>469266</v>
      </c>
      <c r="C2053" s="2" t="s">
        <v>569</v>
      </c>
      <c r="D2053" s="2" t="str">
        <f t="shared" si="31"/>
        <v>Error?</v>
      </c>
    </row>
    <row r="2054" spans="1:4" x14ac:dyDescent="0.2">
      <c r="A2054" s="5">
        <v>1993</v>
      </c>
      <c r="B2054" s="1832">
        <f>'Cap Outlay Deprec 26'!K13</f>
        <v>307622</v>
      </c>
      <c r="C2054" s="2" t="s">
        <v>569</v>
      </c>
      <c r="D2054" s="2" t="str">
        <f t="shared" si="31"/>
        <v>Error?</v>
      </c>
    </row>
    <row r="2055" spans="1:4" x14ac:dyDescent="0.2">
      <c r="A2055" s="5">
        <v>1994</v>
      </c>
      <c r="B2055" s="1832">
        <f>'Cap Outlay Deprec 26'!K16</f>
        <v>4330319</v>
      </c>
      <c r="C2055" s="2" t="s">
        <v>569</v>
      </c>
      <c r="D2055" s="2" t="str">
        <f t="shared" si="31"/>
        <v>Error?</v>
      </c>
    </row>
    <row r="2056" spans="1:4" x14ac:dyDescent="0.2">
      <c r="A2056" s="5">
        <v>1995</v>
      </c>
      <c r="B2056" s="1832">
        <f>'Cap Outlay Deprec 26'!L5</f>
        <v>36210</v>
      </c>
      <c r="C2056" s="2" t="s">
        <v>569</v>
      </c>
      <c r="D2056" s="2" t="str">
        <f t="shared" si="31"/>
        <v>Error?</v>
      </c>
    </row>
    <row r="2057" spans="1:4" x14ac:dyDescent="0.2">
      <c r="A2057" s="5">
        <v>1996</v>
      </c>
      <c r="B2057" s="1832">
        <f>'Cap Outlay Deprec 26'!L8</f>
        <v>1755110</v>
      </c>
      <c r="C2057" s="2" t="s">
        <v>569</v>
      </c>
      <c r="D2057" s="2" t="str">
        <f t="shared" si="31"/>
        <v>Error?</v>
      </c>
    </row>
    <row r="2058" spans="1:4" x14ac:dyDescent="0.2">
      <c r="A2058" s="5">
        <v>1997</v>
      </c>
      <c r="B2058" s="1832">
        <f>'Cap Outlay Deprec 26'!L10</f>
        <v>1733976</v>
      </c>
      <c r="C2058" s="2" t="s">
        <v>569</v>
      </c>
      <c r="D2058" s="2" t="str">
        <f t="shared" si="31"/>
        <v>Error?</v>
      </c>
    </row>
    <row r="2059" spans="1:4" x14ac:dyDescent="0.2">
      <c r="A2059" s="5">
        <v>1998</v>
      </c>
      <c r="B2059" s="1832">
        <f>'Cap Outlay Deprec 26'!L12</f>
        <v>452079</v>
      </c>
      <c r="C2059" s="2" t="s">
        <v>569</v>
      </c>
      <c r="D2059" s="2" t="str">
        <f t="shared" si="31"/>
        <v>Error?</v>
      </c>
    </row>
    <row r="2060" spans="1:4" x14ac:dyDescent="0.2">
      <c r="A2060" s="5">
        <v>1999</v>
      </c>
      <c r="B2060" s="1832">
        <f>'Cap Outlay Deprec 26'!L13</f>
        <v>22359</v>
      </c>
      <c r="C2060" s="2" t="s">
        <v>569</v>
      </c>
      <c r="D2060" s="2" t="str">
        <f t="shared" si="31"/>
        <v>Error?</v>
      </c>
    </row>
    <row r="2061" spans="1:4" x14ac:dyDescent="0.2">
      <c r="A2061" s="5">
        <v>2000</v>
      </c>
      <c r="B2061" s="1832">
        <f>'Cap Outlay Deprec 26'!L16</f>
        <v>4006961</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783621</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783621</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730000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142983</v>
      </c>
      <c r="D2435" s="2" t="str">
        <f t="shared" si="37"/>
        <v>Error?</v>
      </c>
    </row>
    <row r="2436" spans="1:4" x14ac:dyDescent="0.2">
      <c r="A2436" s="10">
        <v>2375</v>
      </c>
      <c r="B2436" s="1832"/>
      <c r="D2436" s="2" t="str">
        <f t="shared" si="37"/>
        <v>OK</v>
      </c>
    </row>
    <row r="2437" spans="1:4" x14ac:dyDescent="0.2">
      <c r="A2437" s="5">
        <v>2376</v>
      </c>
      <c r="B2437" s="1832">
        <f>'Assets-Liab 5-6'!D38</f>
        <v>50000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83712</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17708</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2289198</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1318360</v>
      </c>
      <c r="C2553" s="2" t="s">
        <v>569</v>
      </c>
      <c r="D2553" s="2" t="str">
        <f t="shared" si="38"/>
        <v>Error?</v>
      </c>
    </row>
    <row r="2554" spans="1:4" x14ac:dyDescent="0.2">
      <c r="A2554" s="5">
        <v>2493</v>
      </c>
      <c r="B2554" s="1832">
        <f>'Acct Summary 7-8'!C7</f>
        <v>577156</v>
      </c>
      <c r="C2554" s="2" t="s">
        <v>569</v>
      </c>
      <c r="D2554" s="2" t="str">
        <f t="shared" si="38"/>
        <v>Error?</v>
      </c>
    </row>
    <row r="2555" spans="1:4" x14ac:dyDescent="0.2">
      <c r="A2555" s="5">
        <v>2494</v>
      </c>
      <c r="B2555" s="1832">
        <f>'Acct Summary 7-8'!C8</f>
        <v>4184714</v>
      </c>
      <c r="C2555" s="2" t="s">
        <v>569</v>
      </c>
      <c r="D2555" s="2" t="str">
        <f t="shared" si="38"/>
        <v>Error?</v>
      </c>
    </row>
    <row r="2556" spans="1:4" x14ac:dyDescent="0.2">
      <c r="A2556" s="5">
        <v>2495</v>
      </c>
      <c r="B2556" s="1832">
        <f>'Acct Summary 7-8'!C12</f>
        <v>2534249</v>
      </c>
      <c r="C2556" s="2" t="s">
        <v>569</v>
      </c>
      <c r="D2556" s="2" t="str">
        <f t="shared" si="38"/>
        <v>Error?</v>
      </c>
    </row>
    <row r="2557" spans="1:4" x14ac:dyDescent="0.2">
      <c r="A2557" s="5">
        <v>2496</v>
      </c>
      <c r="B2557" s="1832">
        <f>'Acct Summary 7-8'!C13</f>
        <v>1238652</v>
      </c>
      <c r="C2557" s="2" t="s">
        <v>569</v>
      </c>
      <c r="D2557" s="2" t="str">
        <f t="shared" si="38"/>
        <v>Error?</v>
      </c>
    </row>
    <row r="2558" spans="1:4" x14ac:dyDescent="0.2">
      <c r="A2558" s="5">
        <v>2497</v>
      </c>
      <c r="B2558" s="1832">
        <f>'Acct Summary 7-8'!C14</f>
        <v>17068</v>
      </c>
      <c r="C2558" s="2" t="s">
        <v>569</v>
      </c>
      <c r="D2558" s="2" t="str">
        <f t="shared" si="38"/>
        <v>Error?</v>
      </c>
    </row>
    <row r="2559" spans="1:4" x14ac:dyDescent="0.2">
      <c r="A2559" s="5">
        <v>2498</v>
      </c>
      <c r="B2559" s="1832">
        <f>'Acct Summary 7-8'!C15</f>
        <v>783621</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4573590</v>
      </c>
      <c r="C2561" s="2" t="s">
        <v>569</v>
      </c>
      <c r="D2561" s="2" t="str">
        <f t="shared" si="39"/>
        <v>Error?</v>
      </c>
    </row>
    <row r="2562" spans="1:4" x14ac:dyDescent="0.2">
      <c r="A2562" s="5">
        <v>2501</v>
      </c>
      <c r="B2562" s="1832">
        <f>'Acct Summary 7-8'!C20</f>
        <v>-388876</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619329</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59964</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679293</v>
      </c>
      <c r="C2568" s="2" t="s">
        <v>569</v>
      </c>
      <c r="D2568" s="2" t="str">
        <f t="shared" si="39"/>
        <v>Error?</v>
      </c>
    </row>
    <row r="2569" spans="1:4" x14ac:dyDescent="0.2">
      <c r="A2569" s="5">
        <v>2508</v>
      </c>
      <c r="B2569" s="1832">
        <f>'Acct Summary 7-8'!D13</f>
        <v>737494</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737494</v>
      </c>
      <c r="C2573" s="2" t="s">
        <v>569</v>
      </c>
      <c r="D2573" s="2" t="str">
        <f t="shared" si="39"/>
        <v>Error?</v>
      </c>
    </row>
    <row r="2574" spans="1:4" x14ac:dyDescent="0.2">
      <c r="A2574" s="5">
        <v>2513</v>
      </c>
      <c r="B2574" s="1832">
        <f>'Acct Summary 7-8'!D20</f>
        <v>-58201</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169710</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203466</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373176</v>
      </c>
      <c r="C2595" s="2" t="s">
        <v>569</v>
      </c>
      <c r="D2595" s="2" t="str">
        <f t="shared" si="39"/>
        <v>Error?</v>
      </c>
    </row>
    <row r="2596" spans="1:4" x14ac:dyDescent="0.2">
      <c r="A2596" s="5">
        <v>2535</v>
      </c>
      <c r="B2596" s="1832">
        <f>'Acct Summary 7-8'!F13</f>
        <v>377220</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377220</v>
      </c>
      <c r="C2600" s="2" t="s">
        <v>569</v>
      </c>
      <c r="D2600" s="2" t="str">
        <f t="shared" si="39"/>
        <v>Error?</v>
      </c>
    </row>
    <row r="2601" spans="1:4" x14ac:dyDescent="0.2">
      <c r="A2601" s="5">
        <v>2540</v>
      </c>
      <c r="B2601" s="1832">
        <f>'Acct Summary 7-8'!F20</f>
        <v>-4044</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204315</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204315</v>
      </c>
      <c r="C2606" s="2" t="s">
        <v>569</v>
      </c>
      <c r="D2606" s="2" t="str">
        <f t="shared" si="39"/>
        <v>Error?</v>
      </c>
    </row>
    <row r="2607" spans="1:4" x14ac:dyDescent="0.2">
      <c r="A2607" s="5">
        <v>2546</v>
      </c>
      <c r="B2607" s="1832">
        <f>'Acct Summary 7-8'!G12</f>
        <v>46187</v>
      </c>
      <c r="C2607" s="2" t="s">
        <v>569</v>
      </c>
      <c r="D2607" s="2" t="str">
        <f t="shared" si="39"/>
        <v>Error?</v>
      </c>
    </row>
    <row r="2608" spans="1:4" x14ac:dyDescent="0.2">
      <c r="A2608" s="5">
        <v>2547</v>
      </c>
      <c r="B2608" s="1832">
        <f>'Acct Summary 7-8'!G13</f>
        <v>153240</v>
      </c>
      <c r="C2608" s="2" t="s">
        <v>569</v>
      </c>
      <c r="D2608" s="2" t="str">
        <f t="shared" si="39"/>
        <v>Error?</v>
      </c>
    </row>
    <row r="2609" spans="1:4" x14ac:dyDescent="0.2">
      <c r="A2609" s="5">
        <v>2548</v>
      </c>
      <c r="B2609" s="1832">
        <f>'Acct Summary 7-8'!G14</f>
        <v>2900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221669</v>
      </c>
      <c r="C2612" s="2" t="s">
        <v>569</v>
      </c>
      <c r="D2612" s="2" t="str">
        <f t="shared" si="39"/>
        <v>Error?</v>
      </c>
    </row>
    <row r="2613" spans="1:4" x14ac:dyDescent="0.2">
      <c r="A2613" s="5">
        <v>2552</v>
      </c>
      <c r="B2613" s="1832">
        <f>'Acct Summary 7-8'!G20</f>
        <v>-17354</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322232</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322232</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322450</v>
      </c>
      <c r="C2634" s="2" t="s">
        <v>569</v>
      </c>
      <c r="D2634" s="2" t="str">
        <f t="shared" si="40"/>
        <v>Error?</v>
      </c>
    </row>
    <row r="2635" spans="1:4" x14ac:dyDescent="0.2">
      <c r="A2635" s="5">
        <v>2574</v>
      </c>
      <c r="B2635" s="1832">
        <f>'Acct Summary 7-8'!E17</f>
        <v>322450</v>
      </c>
      <c r="C2635" s="2" t="s">
        <v>569</v>
      </c>
      <c r="D2635" s="2" t="str">
        <f t="shared" si="40"/>
        <v>Error?</v>
      </c>
    </row>
    <row r="2636" spans="1:4" x14ac:dyDescent="0.2">
      <c r="A2636" s="5">
        <v>2575</v>
      </c>
      <c r="B2636" s="1832">
        <f>'Acct Summary 7-8'!E20</f>
        <v>-218</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153682</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153682</v>
      </c>
      <c r="C2658" s="2" t="s">
        <v>569</v>
      </c>
      <c r="D2658" s="2" t="str">
        <f t="shared" si="40"/>
        <v>Error?</v>
      </c>
    </row>
    <row r="2659" spans="1:4" x14ac:dyDescent="0.2">
      <c r="A2659" s="5">
        <v>2598</v>
      </c>
      <c r="B2659" s="1832">
        <f>'Acct Summary 7-8'!H13</f>
        <v>191399</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191399</v>
      </c>
      <c r="C2661" s="2" t="s">
        <v>569</v>
      </c>
      <c r="D2661" s="2" t="str">
        <f t="shared" si="40"/>
        <v>Error?</v>
      </c>
    </row>
    <row r="2662" spans="1:4" x14ac:dyDescent="0.2">
      <c r="A2662" s="5">
        <v>2601</v>
      </c>
      <c r="B2662" s="1832">
        <f>'Acct Summary 7-8'!H20</f>
        <v>-37717</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0</v>
      </c>
      <c r="C2789" s="2" t="s">
        <v>569</v>
      </c>
      <c r="D2789" s="2" t="str">
        <f t="shared" si="42"/>
        <v>Error?</v>
      </c>
    </row>
    <row r="2790" spans="1:4" x14ac:dyDescent="0.2">
      <c r="A2790" s="5">
        <v>2729</v>
      </c>
      <c r="B2790" s="1832">
        <f>'Expenditures 15-22'!E102</f>
        <v>0</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7227</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5646</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27600</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109689</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27600</v>
      </c>
      <c r="D2912" s="2" t="str">
        <f t="shared" si="44"/>
        <v>Error?</v>
      </c>
    </row>
    <row r="2913" spans="1:4" x14ac:dyDescent="0.2">
      <c r="A2913" s="5">
        <v>2852</v>
      </c>
      <c r="B2913" s="1832">
        <f>'Assets-Liab 5-6'!I41</f>
        <v>27600</v>
      </c>
      <c r="C2913" s="2" t="s">
        <v>569</v>
      </c>
      <c r="D2913" s="2" t="str">
        <f t="shared" si="44"/>
        <v>Error?</v>
      </c>
    </row>
    <row r="2914" spans="1:4" x14ac:dyDescent="0.2">
      <c r="A2914" s="5">
        <v>2853</v>
      </c>
      <c r="B2914" s="1832">
        <f>'Assets-Liab 5-6'!L33</f>
        <v>109689</v>
      </c>
      <c r="D2914" s="2" t="str">
        <f t="shared" si="44"/>
        <v>Error?</v>
      </c>
    </row>
    <row r="2915" spans="1:4" x14ac:dyDescent="0.2">
      <c r="A2915" s="10">
        <v>2854</v>
      </c>
      <c r="B2915" s="1832"/>
      <c r="D2915" s="2" t="str">
        <f t="shared" si="44"/>
        <v>OK</v>
      </c>
    </row>
    <row r="2916" spans="1:4" x14ac:dyDescent="0.2">
      <c r="A2916" s="5">
        <v>2855</v>
      </c>
      <c r="B2916" s="1832">
        <f>'Assets-Liab 5-6'!L34</f>
        <v>109689</v>
      </c>
      <c r="C2916" s="2" t="s">
        <v>569</v>
      </c>
      <c r="D2916" s="2" t="str">
        <f t="shared" si="44"/>
        <v>Error?</v>
      </c>
    </row>
    <row r="2917" spans="1:4" x14ac:dyDescent="0.2">
      <c r="A2917" s="5">
        <v>2856</v>
      </c>
      <c r="B2917" s="1832">
        <f>'Assets-Liab 5-6'!L41</f>
        <v>109689</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736643</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15244</v>
      </c>
      <c r="D2958" s="2" t="str">
        <f t="shared" si="45"/>
        <v>Error?</v>
      </c>
    </row>
    <row r="2959" spans="1:4" x14ac:dyDescent="0.2">
      <c r="A2959" s="5">
        <v>2898</v>
      </c>
      <c r="B2959" s="1832">
        <f>'Expenditures 15-22'!H82</f>
        <v>31734</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736643</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15244</v>
      </c>
      <c r="C2976" s="2" t="s">
        <v>569</v>
      </c>
      <c r="D2976" s="2" t="str">
        <f t="shared" si="45"/>
        <v>Error?</v>
      </c>
    </row>
    <row r="2977" spans="1:4" x14ac:dyDescent="0.2">
      <c r="A2977" s="5">
        <v>2916</v>
      </c>
      <c r="B2977" s="1832">
        <f>'Expenditures 15-22'!K82</f>
        <v>31734</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141129</v>
      </c>
      <c r="D3055" s="2" t="str">
        <f t="shared" si="46"/>
        <v>Error?</v>
      </c>
    </row>
    <row r="3056" spans="1:4" x14ac:dyDescent="0.2">
      <c r="A3056" s="5">
        <v>2995</v>
      </c>
      <c r="B3056" s="1832">
        <f>'Expenditures 15-22'!D10</f>
        <v>41432</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25663</v>
      </c>
      <c r="D3058" s="2" t="str">
        <f t="shared" si="46"/>
        <v>Error?</v>
      </c>
    </row>
    <row r="3059" spans="1:4" x14ac:dyDescent="0.2">
      <c r="A3059" s="5">
        <v>2998</v>
      </c>
      <c r="B3059" s="1832">
        <f>'Expenditures 15-22'!G10</f>
        <v>2400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210624</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4333</v>
      </c>
      <c r="D3064" s="2" t="str">
        <f t="shared" si="46"/>
        <v>Error?</v>
      </c>
    </row>
    <row r="3065" spans="1:4" x14ac:dyDescent="0.2">
      <c r="A3065" s="5">
        <v>3004</v>
      </c>
      <c r="B3065" s="1832">
        <f>'Expenditures 15-22'!K219</f>
        <v>4333</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58449</v>
      </c>
      <c r="C3225" s="2" t="s">
        <v>569</v>
      </c>
      <c r="D3225" s="2" t="str">
        <f t="shared" si="49"/>
        <v>Error?</v>
      </c>
    </row>
    <row r="3226" spans="1:4" x14ac:dyDescent="0.2">
      <c r="A3226" s="5">
        <v>3165</v>
      </c>
      <c r="B3226" s="1832">
        <f>'Acct Summary 7-8'!I8</f>
        <v>58449</v>
      </c>
      <c r="C3226" s="2" t="s">
        <v>569</v>
      </c>
      <c r="D3226" s="2" t="str">
        <f t="shared" si="49"/>
        <v>Error?</v>
      </c>
    </row>
    <row r="3227" spans="1:4" x14ac:dyDescent="0.2">
      <c r="A3227" s="5">
        <v>3166</v>
      </c>
      <c r="B3227" s="1832">
        <f>'Acct Summary 7-8'!I20</f>
        <v>58449</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730000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730000</v>
      </c>
      <c r="C3232" s="2" t="s">
        <v>569</v>
      </c>
      <c r="D3232" s="2" t="str">
        <f t="shared" si="49"/>
        <v>Error?</v>
      </c>
    </row>
    <row r="3233" spans="1:4" x14ac:dyDescent="0.2">
      <c r="A3233" s="5">
        <v>3172</v>
      </c>
      <c r="B3233" s="1832">
        <f>'Acct Summary 7-8'!C78</f>
        <v>341124</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-58201</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-4044</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-17354</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-218</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-37717</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730000</v>
      </c>
      <c r="C3318" s="2" t="s">
        <v>569</v>
      </c>
      <c r="D3318" s="2" t="str">
        <f t="shared" si="50"/>
        <v>Error?</v>
      </c>
    </row>
    <row r="3319" spans="1:4" x14ac:dyDescent="0.2">
      <c r="A3319" s="5">
        <v>3258</v>
      </c>
      <c r="B3319" s="1832">
        <f>'Acct Summary 7-8'!I77</f>
        <v>-730000</v>
      </c>
      <c r="C3319" s="2" t="s">
        <v>569</v>
      </c>
      <c r="D3319" s="2" t="str">
        <f t="shared" si="50"/>
        <v>Error?</v>
      </c>
    </row>
    <row r="3320" spans="1:4" x14ac:dyDescent="0.2">
      <c r="A3320" s="5">
        <v>3259</v>
      </c>
      <c r="B3320" s="1832">
        <f>'Acct Summary 7-8'!I78</f>
        <v>-671551</v>
      </c>
      <c r="C3320" s="2" t="s">
        <v>569</v>
      </c>
      <c r="D3320" s="2" t="str">
        <f t="shared" si="50"/>
        <v>Error?</v>
      </c>
    </row>
    <row r="3321" spans="1:4" x14ac:dyDescent="0.2">
      <c r="A3321" s="5">
        <v>3260</v>
      </c>
      <c r="B3321" s="1832">
        <f>'Acct Summary 7-8'!I79</f>
        <v>699151</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27600</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84142</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27171</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302</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887</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900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112502</v>
      </c>
      <c r="C3380" s="2" t="s">
        <v>569</v>
      </c>
      <c r="D3380" s="2" t="str">
        <f t="shared" si="51"/>
        <v>Error?</v>
      </c>
    </row>
    <row r="3381" spans="1:4" x14ac:dyDescent="0.2">
      <c r="A3381" s="5">
        <v>3320</v>
      </c>
      <c r="B3381" s="1832">
        <f>'Expenditures 15-22'!K19</f>
        <v>900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21711</v>
      </c>
      <c r="D3387" s="2" t="str">
        <f t="shared" si="51"/>
        <v>Error?</v>
      </c>
    </row>
    <row r="3388" spans="1:4" x14ac:dyDescent="0.2">
      <c r="A3388" s="5">
        <v>3327</v>
      </c>
      <c r="B3388" s="1832">
        <f>'Expenditures 15-22'!D217</f>
        <v>10229</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21711</v>
      </c>
      <c r="C3390" s="2" t="s">
        <v>569</v>
      </c>
      <c r="D3390" s="2" t="str">
        <f t="shared" si="51"/>
        <v>Error?</v>
      </c>
    </row>
    <row r="3391" spans="1:4" x14ac:dyDescent="0.2">
      <c r="A3391" s="5">
        <v>3330</v>
      </c>
      <c r="B3391" s="1832">
        <f>'Expenditures 15-22'!K217</f>
        <v>10229</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115578</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333648</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97012</v>
      </c>
      <c r="D3417" s="2" t="str">
        <f t="shared" si="52"/>
        <v>Error?</v>
      </c>
    </row>
    <row r="3418" spans="1:4" x14ac:dyDescent="0.2">
      <c r="A3418" s="10">
        <v>3357</v>
      </c>
      <c r="B3418" s="1832"/>
      <c r="D3418" s="2" t="str">
        <f t="shared" si="52"/>
        <v>OK</v>
      </c>
    </row>
    <row r="3419" spans="1:4" x14ac:dyDescent="0.2">
      <c r="A3419" s="5">
        <v>3358</v>
      </c>
      <c r="B3419" s="1832">
        <f>'Assets-Liab 5-6'!F4</f>
        <v>145331</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78990</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117730</v>
      </c>
      <c r="D3425" s="2" t="str">
        <f t="shared" si="52"/>
        <v>Error?</v>
      </c>
    </row>
    <row r="3426" spans="1:4" x14ac:dyDescent="0.2">
      <c r="A3426" s="10">
        <v>3365</v>
      </c>
      <c r="B3426" s="1832"/>
      <c r="D3426" s="2" t="str">
        <f t="shared" si="52"/>
        <v>OK</v>
      </c>
    </row>
    <row r="3427" spans="1:4" x14ac:dyDescent="0.2">
      <c r="A3427" s="5">
        <v>3366</v>
      </c>
      <c r="B3427" s="1832">
        <f>'Assets-Liab 5-6'!I4</f>
        <v>21954</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109689</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117252</v>
      </c>
      <c r="C3446" s="2" t="s">
        <v>569</v>
      </c>
      <c r="D3446" s="2" t="str">
        <f t="shared" si="52"/>
        <v>Error?</v>
      </c>
    </row>
    <row r="3447" spans="1:4" x14ac:dyDescent="0.2">
      <c r="A3447" s="5">
        <v>3386</v>
      </c>
      <c r="B3447" s="1832">
        <f>'Tax Sched 23'!D16</f>
        <v>50054</v>
      </c>
      <c r="C3447" s="2" t="s">
        <v>569</v>
      </c>
      <c r="D3447" s="2" t="str">
        <f t="shared" si="52"/>
        <v>Error?</v>
      </c>
    </row>
    <row r="3448" spans="1:4" x14ac:dyDescent="0.2">
      <c r="A3448" s="5">
        <v>3387</v>
      </c>
      <c r="B3448" s="1832">
        <f>'Tax Sched 23'!C16</f>
        <v>67198</v>
      </c>
      <c r="D3448" s="2" t="str">
        <f t="shared" si="52"/>
        <v>Error?</v>
      </c>
    </row>
    <row r="3449" spans="1:4" x14ac:dyDescent="0.2">
      <c r="A3449" s="5">
        <v>3388</v>
      </c>
      <c r="B3449" s="1832">
        <f>'Tax Sched 23'!F16</f>
        <v>59418</v>
      </c>
      <c r="C3449" s="2" t="s">
        <v>569</v>
      </c>
      <c r="D3449" s="2" t="str">
        <f t="shared" si="52"/>
        <v>Error?</v>
      </c>
    </row>
    <row r="3450" spans="1:4" x14ac:dyDescent="0.2">
      <c r="A3450" s="5">
        <v>3389</v>
      </c>
      <c r="B3450" s="1832">
        <f>'Tax Sched 23'!E16</f>
        <v>126616</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7227</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7227</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7227</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22690</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50000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72690</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72690</v>
      </c>
      <c r="D3567" s="2" t="str">
        <f t="shared" si="54"/>
        <v>Error?</v>
      </c>
    </row>
    <row r="3568" spans="1:4" x14ac:dyDescent="0.2">
      <c r="A3568" s="5">
        <v>3507</v>
      </c>
      <c r="B3568" s="1832">
        <f>'Assets-Liab 5-6'!K41</f>
        <v>72690</v>
      </c>
      <c r="C3568" s="2" t="s">
        <v>569</v>
      </c>
      <c r="D3568" s="2" t="str">
        <f t="shared" si="54"/>
        <v>Error?</v>
      </c>
    </row>
    <row r="3569" spans="1:4" x14ac:dyDescent="0.2">
      <c r="A3569" s="5">
        <v>3508</v>
      </c>
      <c r="B3569" s="1832">
        <f>'Acct Summary 7-8'!K4</f>
        <v>41391</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41391</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41391</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41391</v>
      </c>
      <c r="C3588" s="2" t="s">
        <v>569</v>
      </c>
      <c r="D3588" s="2" t="str">
        <f t="shared" si="55"/>
        <v>Error?</v>
      </c>
    </row>
    <row r="3589" spans="1:4" x14ac:dyDescent="0.2">
      <c r="A3589" s="5">
        <v>3528</v>
      </c>
      <c r="B3589" s="1832">
        <f>'Acct Summary 7-8'!K79</f>
        <v>31299</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72690</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41391</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19342</v>
      </c>
      <c r="D3721" s="2" t="str">
        <f t="shared" si="57"/>
        <v>Error?</v>
      </c>
    </row>
    <row r="3722" spans="1:4" x14ac:dyDescent="0.2">
      <c r="A3722" s="5">
        <v>3661</v>
      </c>
      <c r="B3722" s="1832">
        <f>'Expenditures 15-22'!D285</f>
        <v>19342</v>
      </c>
      <c r="C3722" s="2" t="s">
        <v>569</v>
      </c>
      <c r="D3722" s="2" t="str">
        <f t="shared" si="57"/>
        <v>Error?</v>
      </c>
    </row>
    <row r="3723" spans="1:4" x14ac:dyDescent="0.2">
      <c r="A3723" s="5">
        <v>3662</v>
      </c>
      <c r="B3723" s="1832">
        <f>'Expenditures 15-22'!K283</f>
        <v>19342</v>
      </c>
      <c r="C3723" s="2" t="s">
        <v>569</v>
      </c>
      <c r="D3723" s="2" t="str">
        <f t="shared" si="57"/>
        <v>Error?</v>
      </c>
    </row>
    <row r="3724" spans="1:4" x14ac:dyDescent="0.2">
      <c r="A3724" s="5">
        <v>3663</v>
      </c>
      <c r="B3724" s="1832">
        <f>'Expenditures 15-22'!K285</f>
        <v>19342</v>
      </c>
      <c r="C3724" s="2" t="s">
        <v>569</v>
      </c>
      <c r="D3724" s="2" t="str">
        <f t="shared" si="57"/>
        <v>Error?</v>
      </c>
    </row>
    <row r="3725" spans="1:4" x14ac:dyDescent="0.2">
      <c r="A3725" s="5">
        <v>3664</v>
      </c>
      <c r="B3725" s="1832">
        <f>'Tax Sched 23'!B13</f>
        <v>40875</v>
      </c>
      <c r="C3725" s="2" t="s">
        <v>569</v>
      </c>
      <c r="D3725" s="2" t="str">
        <f t="shared" si="57"/>
        <v>Error?</v>
      </c>
    </row>
    <row r="3726" spans="1:4" x14ac:dyDescent="0.2">
      <c r="A3726" s="5">
        <v>3665</v>
      </c>
      <c r="B3726" s="1832">
        <f>'Tax Sched 23'!D13</f>
        <v>18717</v>
      </c>
      <c r="C3726" s="2" t="s">
        <v>569</v>
      </c>
      <c r="D3726" s="2" t="str">
        <f t="shared" si="57"/>
        <v>Error?</v>
      </c>
    </row>
    <row r="3727" spans="1:4" x14ac:dyDescent="0.2">
      <c r="A3727" s="5">
        <v>3666</v>
      </c>
      <c r="B3727" s="1832">
        <f>'Tax Sched 23'!C13</f>
        <v>22158</v>
      </c>
      <c r="D3727" s="2" t="str">
        <f t="shared" si="57"/>
        <v>Error?</v>
      </c>
    </row>
    <row r="3728" spans="1:4" x14ac:dyDescent="0.2">
      <c r="A3728" s="5">
        <v>3667</v>
      </c>
      <c r="B3728" s="1832">
        <f>'Tax Sched 23'!F13</f>
        <v>19593</v>
      </c>
      <c r="C3728" s="2" t="s">
        <v>569</v>
      </c>
      <c r="D3728" s="2" t="str">
        <f t="shared" si="57"/>
        <v>Error?</v>
      </c>
    </row>
    <row r="3729" spans="1:4" x14ac:dyDescent="0.2">
      <c r="A3729" s="5">
        <v>3668</v>
      </c>
      <c r="B3729" s="1832">
        <f>'Tax Sched 23'!E13</f>
        <v>41751</v>
      </c>
      <c r="D3729" s="2" t="str">
        <f t="shared" si="57"/>
        <v>Error?</v>
      </c>
    </row>
    <row r="3730" spans="1:4" x14ac:dyDescent="0.2">
      <c r="A3730" s="5">
        <v>3669</v>
      </c>
      <c r="B3730" s="1832">
        <f>'ICR Computation 30'!E10</f>
        <v>78042</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2018664</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6203378</v>
      </c>
      <c r="C4122" s="2" t="s">
        <v>569</v>
      </c>
      <c r="D4122" s="2" t="str">
        <f t="shared" si="63"/>
        <v>Error?</v>
      </c>
    </row>
    <row r="4123" spans="1:4" x14ac:dyDescent="0.2">
      <c r="A4123" s="5">
        <v>4062</v>
      </c>
      <c r="B4123" s="1832">
        <f>'Acct Summary 7-8'!D10</f>
        <v>679293</v>
      </c>
      <c r="C4123" s="2" t="s">
        <v>569</v>
      </c>
      <c r="D4123" s="2" t="str">
        <f t="shared" si="63"/>
        <v>Error?</v>
      </c>
    </row>
    <row r="4124" spans="1:4" x14ac:dyDescent="0.2">
      <c r="A4124" s="5">
        <v>4063</v>
      </c>
      <c r="B4124" s="1832">
        <f>'Acct Summary 7-8'!E10</f>
        <v>322232</v>
      </c>
      <c r="C4124" s="2" t="s">
        <v>569</v>
      </c>
      <c r="D4124" s="2" t="str">
        <f t="shared" si="63"/>
        <v>Error?</v>
      </c>
    </row>
    <row r="4125" spans="1:4" x14ac:dyDescent="0.2">
      <c r="A4125" s="5">
        <v>4064</v>
      </c>
      <c r="B4125" s="1832">
        <f>'Acct Summary 7-8'!F10</f>
        <v>373176</v>
      </c>
      <c r="C4125" s="2" t="s">
        <v>569</v>
      </c>
      <c r="D4125" s="2" t="str">
        <f t="shared" si="63"/>
        <v>Error?</v>
      </c>
    </row>
    <row r="4126" spans="1:4" x14ac:dyDescent="0.2">
      <c r="A4126" s="5">
        <v>4065</v>
      </c>
      <c r="B4126" s="1832">
        <f>'Acct Summary 7-8'!G10</f>
        <v>204315</v>
      </c>
      <c r="C4126" s="2" t="s">
        <v>569</v>
      </c>
      <c r="D4126" s="2" t="str">
        <f t="shared" si="63"/>
        <v>Error?</v>
      </c>
    </row>
    <row r="4127" spans="1:4" x14ac:dyDescent="0.2">
      <c r="A4127" s="5">
        <v>4066</v>
      </c>
      <c r="B4127" s="1832">
        <f>'Acct Summary 7-8'!H10</f>
        <v>153682</v>
      </c>
      <c r="C4127" s="2" t="s">
        <v>569</v>
      </c>
      <c r="D4127" s="2" t="str">
        <f t="shared" si="63"/>
        <v>Error?</v>
      </c>
    </row>
    <row r="4128" spans="1:4" x14ac:dyDescent="0.2">
      <c r="A4128" s="5">
        <v>4067</v>
      </c>
      <c r="B4128" s="1832">
        <f>'Acct Summary 7-8'!I10</f>
        <v>58449</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41391</v>
      </c>
      <c r="C4130" s="2" t="s">
        <v>569</v>
      </c>
      <c r="D4130" s="2" t="str">
        <f t="shared" si="63"/>
        <v>Error?</v>
      </c>
    </row>
    <row r="4131" spans="1:4" x14ac:dyDescent="0.2">
      <c r="A4131" s="5">
        <v>4070</v>
      </c>
      <c r="B4131" s="1832">
        <f>'Acct Summary 7-8'!C18</f>
        <v>2018664</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6592254</v>
      </c>
      <c r="C4136" s="2" t="s">
        <v>569</v>
      </c>
      <c r="D4136" s="2" t="str">
        <f t="shared" si="63"/>
        <v>Error?</v>
      </c>
    </row>
    <row r="4137" spans="1:4" x14ac:dyDescent="0.2">
      <c r="A4137" s="5">
        <v>4076</v>
      </c>
      <c r="B4137" s="1832">
        <f>'Acct Summary 7-8'!D19</f>
        <v>737494</v>
      </c>
      <c r="C4137" s="2" t="s">
        <v>569</v>
      </c>
      <c r="D4137" s="2" t="str">
        <f t="shared" si="63"/>
        <v>Error?</v>
      </c>
    </row>
    <row r="4138" spans="1:4" x14ac:dyDescent="0.2">
      <c r="A4138" s="5">
        <v>4077</v>
      </c>
      <c r="B4138" s="1832">
        <f>'Acct Summary 7-8'!E19</f>
        <v>322450</v>
      </c>
      <c r="C4138" s="2" t="s">
        <v>569</v>
      </c>
      <c r="D4138" s="2" t="str">
        <f t="shared" si="63"/>
        <v>Error?</v>
      </c>
    </row>
    <row r="4139" spans="1:4" x14ac:dyDescent="0.2">
      <c r="A4139" s="5">
        <v>4078</v>
      </c>
      <c r="B4139" s="1832">
        <f>'Acct Summary 7-8'!F19</f>
        <v>377220</v>
      </c>
      <c r="C4139" s="2" t="s">
        <v>569</v>
      </c>
      <c r="D4139" s="2" t="str">
        <f t="shared" si="63"/>
        <v>Error?</v>
      </c>
    </row>
    <row r="4140" spans="1:4" x14ac:dyDescent="0.2">
      <c r="A4140" s="5">
        <v>4079</v>
      </c>
      <c r="B4140" s="1832">
        <f>'Acct Summary 7-8'!G19</f>
        <v>221669</v>
      </c>
      <c r="C4140" s="2" t="s">
        <v>569</v>
      </c>
      <c r="D4140" s="2" t="str">
        <f t="shared" si="63"/>
        <v>Error?</v>
      </c>
    </row>
    <row r="4141" spans="1:4" x14ac:dyDescent="0.2">
      <c r="A4141" s="5">
        <v>4080</v>
      </c>
      <c r="B4141" s="1832">
        <f>'Acct Summary 7-8'!H19</f>
        <v>191399</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630000</v>
      </c>
      <c r="C4171" s="2" t="s">
        <v>569</v>
      </c>
      <c r="D4171" s="2" t="str">
        <f t="shared" si="64"/>
        <v>Error?</v>
      </c>
    </row>
    <row r="4172" spans="1:4" x14ac:dyDescent="0.2">
      <c r="A4172" s="5">
        <v>4111</v>
      </c>
      <c r="B4172" s="1832">
        <f>'Short-Term Long-Term Debt 24'!J49</f>
        <v>482988</v>
      </c>
      <c r="C4172" s="2" t="s">
        <v>569</v>
      </c>
      <c r="D4172" s="2" t="str">
        <f t="shared" si="64"/>
        <v>Error?</v>
      </c>
    </row>
    <row r="4173" spans="1:4" x14ac:dyDescent="0.2">
      <c r="A4173" s="5">
        <v>4112</v>
      </c>
      <c r="B4173" s="1832">
        <f>'Short-Term Long-Term Debt 24'!H49</f>
        <v>285000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2296.3000000000002</v>
      </c>
      <c r="C4265" s="2" t="s">
        <v>569</v>
      </c>
      <c r="D4265" s="2" t="str">
        <f t="shared" si="65"/>
        <v>Error?</v>
      </c>
      <c r="E4265" s="125"/>
    </row>
    <row r="4266" spans="1:5" x14ac:dyDescent="0.2">
      <c r="A4266" s="12">
        <v>4205</v>
      </c>
      <c r="B4266" s="1832">
        <f>('FP Info 3'!F10)*100000</f>
        <v>660.7</v>
      </c>
      <c r="C4266" s="2" t="s">
        <v>569</v>
      </c>
      <c r="D4266" s="2" t="str">
        <f t="shared" si="65"/>
        <v>Error?</v>
      </c>
      <c r="E4266" s="125"/>
    </row>
    <row r="4267" spans="1:5" x14ac:dyDescent="0.2">
      <c r="A4267" s="12">
        <v>4206</v>
      </c>
      <c r="B4267" s="1832">
        <f>('FP Info 3'!H10)*100000</f>
        <v>195.8</v>
      </c>
      <c r="C4267" s="2" t="s">
        <v>569</v>
      </c>
      <c r="D4267" s="2" t="str">
        <f t="shared" si="65"/>
        <v>Error?</v>
      </c>
      <c r="E4267" s="125"/>
    </row>
    <row r="4268" spans="1:5" x14ac:dyDescent="0.2">
      <c r="A4268" s="12">
        <v>4207</v>
      </c>
      <c r="B4268" s="1832">
        <f>('FP Info 3'!J10)*100000</f>
        <v>3153.0000000000005</v>
      </c>
      <c r="C4268" s="2" t="s">
        <v>569</v>
      </c>
      <c r="D4268" s="2" t="str">
        <f t="shared" si="65"/>
        <v>Error?</v>
      </c>
    </row>
    <row r="4269" spans="1:5" x14ac:dyDescent="0.2">
      <c r="A4269" s="12">
        <v>4208</v>
      </c>
      <c r="B4269" s="1832">
        <f>'FP Info 3'!J16</f>
        <v>3215729</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50000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3690</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6043</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53730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53730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38819</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49</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750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38835</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85205794</v>
      </c>
      <c r="D4995" s="2" t="str">
        <f t="shared" si="77"/>
        <v>Error?</v>
      </c>
    </row>
    <row r="4996" spans="1:4" x14ac:dyDescent="0.2">
      <c r="A4996" s="12">
        <v>4935</v>
      </c>
      <c r="B4996" s="1832">
        <f>'FP Info 3'!H31</f>
        <v>11758399.572000001</v>
      </c>
      <c r="D4996" s="2" t="str">
        <f t="shared" si="77"/>
        <v>Error?</v>
      </c>
    </row>
    <row r="4997" spans="1:4" x14ac:dyDescent="0.2">
      <c r="A4997" s="12">
        <v>4936</v>
      </c>
      <c r="B4997" s="1832">
        <f>'FP Info 3'!H37</f>
        <v>630000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40875</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1918034</v>
      </c>
      <c r="D5061" s="2" t="str">
        <f t="shared" si="78"/>
        <v>Error?</v>
      </c>
    </row>
    <row r="5062" spans="1:4" x14ac:dyDescent="0.2">
      <c r="A5062" s="10">
        <v>5001</v>
      </c>
      <c r="B5062" s="1832"/>
      <c r="D5062" s="2" t="str">
        <f t="shared" si="78"/>
        <v>OK</v>
      </c>
    </row>
    <row r="5063" spans="1:4" x14ac:dyDescent="0.2">
      <c r="A5063" s="5">
        <v>5002</v>
      </c>
      <c r="B5063" s="1832">
        <f>'Revenues 9-14'!C7</f>
        <v>32700</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1991609</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491</v>
      </c>
      <c r="D5068" s="2" t="str">
        <f t="shared" si="78"/>
        <v>Error?</v>
      </c>
    </row>
    <row r="5069" spans="1:4" x14ac:dyDescent="0.2">
      <c r="A5069" s="5">
        <v>5008</v>
      </c>
      <c r="B5069" s="1832">
        <f>'Revenues 9-14'!C16</f>
        <v>141849</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142340</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15868</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15868</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0</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47163</v>
      </c>
      <c r="C5096" s="2" t="s">
        <v>569</v>
      </c>
      <c r="D5096" s="2" t="str">
        <f t="shared" si="78"/>
        <v>Error?</v>
      </c>
    </row>
    <row r="5097" spans="1:4" x14ac:dyDescent="0.2">
      <c r="A5097" s="5">
        <v>5036</v>
      </c>
      <c r="B5097" s="1832">
        <f>'Revenues 9-14'!C77</f>
        <v>23675</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25341</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1272</v>
      </c>
      <c r="D5101" s="2" t="str">
        <f t="shared" si="78"/>
        <v>Error?</v>
      </c>
    </row>
    <row r="5102" spans="1:4" x14ac:dyDescent="0.2">
      <c r="A5102" s="5">
        <v>5041</v>
      </c>
      <c r="B5102" s="1832">
        <f>'Revenues 9-14'!C82</f>
        <v>50288</v>
      </c>
      <c r="C5102" s="2" t="s">
        <v>569</v>
      </c>
      <c r="D5102" s="2" t="str">
        <f t="shared" si="78"/>
        <v>Error?</v>
      </c>
    </row>
    <row r="5103" spans="1:4" x14ac:dyDescent="0.2">
      <c r="A5103" s="5">
        <v>5042</v>
      </c>
      <c r="B5103" s="1832">
        <f>'Revenues 9-14'!C84</f>
        <v>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0</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15046</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24984</v>
      </c>
      <c r="D5119" s="2" t="str">
        <f t="shared" ref="D5119:D5182" si="79">IF(ISBLANK(B5119),"OK",IF(A5119-B5119=0,"OK","Error?"))</f>
        <v>Error?</v>
      </c>
    </row>
    <row r="5120" spans="1:4" x14ac:dyDescent="0.2">
      <c r="A5120" s="5">
        <v>5059</v>
      </c>
      <c r="B5120" s="1832">
        <f>'Revenues 9-14'!C108</f>
        <v>41930</v>
      </c>
      <c r="C5120" s="2" t="s">
        <v>569</v>
      </c>
      <c r="D5120" s="2" t="str">
        <f t="shared" si="79"/>
        <v>Error?</v>
      </c>
    </row>
    <row r="5121" spans="1:4" x14ac:dyDescent="0.2">
      <c r="A5121" s="5">
        <v>5060</v>
      </c>
      <c r="B5121" s="1832">
        <f>'Revenues 9-14'!C109</f>
        <v>2289198</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1170707</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1170707</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12815</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12815</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9188</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26809</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1739</v>
      </c>
      <c r="D5167" s="2" t="str">
        <f t="shared" si="79"/>
        <v>Error?</v>
      </c>
    </row>
    <row r="5168" spans="1:4" x14ac:dyDescent="0.2">
      <c r="A5168" s="5">
        <v>5107</v>
      </c>
      <c r="B5168" s="1832">
        <f>'Revenues 9-14'!C148</f>
        <v>4561</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100979</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147653</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1318360</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103321</v>
      </c>
      <c r="D5239" s="2" t="str">
        <f t="shared" si="80"/>
        <v>Error?</v>
      </c>
    </row>
    <row r="5240" spans="1:4" x14ac:dyDescent="0.2">
      <c r="A5240" s="5">
        <v>5179</v>
      </c>
      <c r="B5240" s="1832">
        <f>'Revenues 9-14'!C192</f>
        <v>916</v>
      </c>
      <c r="D5240" s="2" t="str">
        <f t="shared" si="80"/>
        <v>Error?</v>
      </c>
    </row>
    <row r="5241" spans="1:4" x14ac:dyDescent="0.2">
      <c r="A5241" s="5">
        <v>5180</v>
      </c>
      <c r="B5241" s="1832">
        <f>'Revenues 9-14'!C193</f>
        <v>24370</v>
      </c>
      <c r="D5241" s="2" t="str">
        <f t="shared" si="80"/>
        <v>Error?</v>
      </c>
    </row>
    <row r="5242" spans="1:4" x14ac:dyDescent="0.2">
      <c r="A5242" s="5">
        <v>5181</v>
      </c>
      <c r="B5242" s="1832">
        <f>'Revenues 9-14'!C194</f>
        <v>6287</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134894</v>
      </c>
      <c r="C5246" s="2" t="s">
        <v>569</v>
      </c>
      <c r="D5246" s="2" t="str">
        <f t="shared" si="80"/>
        <v>Error?</v>
      </c>
    </row>
    <row r="5247" spans="1:4" x14ac:dyDescent="0.2">
      <c r="A5247" s="5">
        <v>5186</v>
      </c>
      <c r="B5247" s="1832">
        <f>'Revenues 9-14'!C200</f>
        <v>155482</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155482</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7556</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126168</v>
      </c>
      <c r="D5278" s="2" t="str">
        <f t="shared" si="81"/>
        <v>Error?</v>
      </c>
    </row>
    <row r="5279" spans="1:4" x14ac:dyDescent="0.2">
      <c r="A5279" s="5">
        <v>5218</v>
      </c>
      <c r="B5279" s="1832">
        <f>'Revenues 9-14'!C214</f>
        <v>11939</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145663</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577156</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577156</v>
      </c>
      <c r="C5326" s="2" t="s">
        <v>569</v>
      </c>
      <c r="D5326" s="2" t="str">
        <f t="shared" si="82"/>
        <v>Error?</v>
      </c>
    </row>
    <row r="5327" spans="1:5" x14ac:dyDescent="0.2">
      <c r="A5327" s="5">
        <v>5266</v>
      </c>
      <c r="B5327" s="1832">
        <f>'Revenues 9-14'!C268</f>
        <v>4184714</v>
      </c>
      <c r="C5327" s="2" t="s">
        <v>569</v>
      </c>
      <c r="D5327" s="2" t="str">
        <f t="shared" si="82"/>
        <v>Error?</v>
      </c>
    </row>
    <row r="5328" spans="1:5" x14ac:dyDescent="0.2">
      <c r="A5328" s="5">
        <v>5267</v>
      </c>
      <c r="B5328" s="1832">
        <f>'Revenues 9-14'!D5</f>
        <v>551455</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551455</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136</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136</v>
      </c>
      <c r="C5339" s="2" t="s">
        <v>569</v>
      </c>
      <c r="D5339" s="2" t="str">
        <f t="shared" si="82"/>
        <v>Error?</v>
      </c>
    </row>
    <row r="5340" spans="1:4" x14ac:dyDescent="0.2">
      <c r="A5340" s="5">
        <v>5279</v>
      </c>
      <c r="B5340" s="1832">
        <f>'Revenues 9-14'!D65</f>
        <v>5538</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5538</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685</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61515</v>
      </c>
      <c r="D5354" s="2" t="str">
        <f t="shared" si="82"/>
        <v>Error?</v>
      </c>
    </row>
    <row r="5355" spans="1:4" x14ac:dyDescent="0.2">
      <c r="A5355" s="5">
        <v>5294</v>
      </c>
      <c r="B5355" s="1832">
        <f>'Revenues 9-14'!D108</f>
        <v>62200</v>
      </c>
      <c r="C5355" s="2" t="s">
        <v>569</v>
      </c>
      <c r="D5355" s="2" t="str">
        <f t="shared" si="82"/>
        <v>Error?</v>
      </c>
    </row>
    <row r="5356" spans="1:4" x14ac:dyDescent="0.2">
      <c r="A5356" s="5">
        <v>5295</v>
      </c>
      <c r="B5356" s="1832">
        <f>'Revenues 9-14'!D109</f>
        <v>619329</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9964</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59964</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59964</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679293</v>
      </c>
      <c r="C5508" s="2" t="s">
        <v>569</v>
      </c>
      <c r="D5508" s="2" t="str">
        <f t="shared" si="85"/>
        <v>Error?</v>
      </c>
    </row>
    <row r="5509" spans="1:4" x14ac:dyDescent="0.2">
      <c r="A5509" s="5">
        <v>5448</v>
      </c>
      <c r="B5509" s="1832">
        <f>'Revenues 9-14'!E5</f>
        <v>257609</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257609</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65</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65</v>
      </c>
      <c r="C5518" s="2" t="s">
        <v>569</v>
      </c>
      <c r="D5518" s="2" t="str">
        <f t="shared" si="85"/>
        <v>Error?</v>
      </c>
    </row>
    <row r="5519" spans="1:4" x14ac:dyDescent="0.2">
      <c r="A5519" s="5">
        <v>5458</v>
      </c>
      <c r="B5519" s="1832">
        <f>'Revenues 9-14'!E65</f>
        <v>645</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645</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63913</v>
      </c>
      <c r="C5526" s="2" t="s">
        <v>569</v>
      </c>
      <c r="D5526" s="2" t="str">
        <f t="shared" si="85"/>
        <v>Error?</v>
      </c>
    </row>
    <row r="5527" spans="1:4" x14ac:dyDescent="0.2">
      <c r="A5527" s="5">
        <v>5466</v>
      </c>
      <c r="B5527" s="1832">
        <f>'Revenues 9-14'!E109</f>
        <v>322232</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322232</v>
      </c>
      <c r="C5552" s="2" t="s">
        <v>569</v>
      </c>
      <c r="D5552" s="2" t="str">
        <f t="shared" si="85"/>
        <v>Error?</v>
      </c>
    </row>
    <row r="5553" spans="1:4" x14ac:dyDescent="0.2">
      <c r="A5553" s="5">
        <v>5492</v>
      </c>
      <c r="B5553" s="1832">
        <f>'Revenues 9-14'!F5</f>
        <v>163411</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163411</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40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40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310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310</v>
      </c>
      <c r="C5579" s="2" t="s">
        <v>569</v>
      </c>
      <c r="D5579" s="2" t="str">
        <f t="shared" si="86"/>
        <v>Error?</v>
      </c>
    </row>
    <row r="5580" spans="1:4" x14ac:dyDescent="0.2">
      <c r="A5580" s="5">
        <v>5519</v>
      </c>
      <c r="B5580" s="1832">
        <f>'Revenues 9-14'!F65</f>
        <v>5754</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5754</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195</v>
      </c>
      <c r="D5586" s="2" t="str">
        <f t="shared" si="86"/>
        <v>Error?</v>
      </c>
    </row>
    <row r="5587" spans="1:4" x14ac:dyDescent="0.2">
      <c r="A5587" s="5">
        <v>5526</v>
      </c>
      <c r="B5587" s="1832">
        <f>'Revenues 9-14'!F108</f>
        <v>195</v>
      </c>
      <c r="C5587" s="2" t="s">
        <v>569</v>
      </c>
      <c r="D5587" s="2" t="str">
        <f t="shared" si="86"/>
        <v>Error?</v>
      </c>
    </row>
    <row r="5588" spans="1:4" x14ac:dyDescent="0.2">
      <c r="A5588" s="5">
        <v>5527</v>
      </c>
      <c r="B5588" s="1832">
        <f>'Revenues 9-14'!F109</f>
        <v>169710</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64829</v>
      </c>
      <c r="D5615" s="2" t="str">
        <f t="shared" si="86"/>
        <v>Error?</v>
      </c>
    </row>
    <row r="5616" spans="1:4" x14ac:dyDescent="0.2">
      <c r="A5616" s="10">
        <v>5555</v>
      </c>
      <c r="B5616" s="1832"/>
      <c r="D5616" s="2" t="str">
        <f t="shared" si="86"/>
        <v>OK</v>
      </c>
    </row>
    <row r="5617" spans="1:5" x14ac:dyDescent="0.2">
      <c r="A5617" s="5">
        <v>5556</v>
      </c>
      <c r="B5617" s="1832">
        <f>'Revenues 9-14'!F153</f>
        <v>125915</v>
      </c>
      <c r="D5617" s="2" t="str">
        <f t="shared" si="86"/>
        <v>Error?</v>
      </c>
    </row>
    <row r="5618" spans="1:5" x14ac:dyDescent="0.2">
      <c r="A5618" s="5">
        <v>5557</v>
      </c>
      <c r="B5618" s="1832">
        <f>'Revenues 9-14'!F155</f>
        <v>190744</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12722</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203466</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203466</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373176</v>
      </c>
      <c r="C5720" s="2" t="s">
        <v>569</v>
      </c>
      <c r="D5720" s="2" t="str">
        <f t="shared" si="88"/>
        <v>Error?</v>
      </c>
    </row>
    <row r="5721" spans="1:4" x14ac:dyDescent="0.2">
      <c r="A5721" s="5">
        <v>5660</v>
      </c>
      <c r="B5721" s="1832">
        <f>'Revenues 9-14'!G5</f>
        <v>73518</v>
      </c>
      <c r="D5721" s="2" t="str">
        <f t="shared" si="88"/>
        <v>Error?</v>
      </c>
    </row>
    <row r="5722" spans="1:4" x14ac:dyDescent="0.2">
      <c r="A5722" s="5">
        <v>5661</v>
      </c>
      <c r="B5722" s="1832">
        <f>'Revenues 9-14'!G7</f>
        <v>0</v>
      </c>
      <c r="D5722" s="2" t="str">
        <f t="shared" si="88"/>
        <v>Error?</v>
      </c>
    </row>
    <row r="5723" spans="1:4" x14ac:dyDescent="0.2">
      <c r="A5723" s="5">
        <v>5662</v>
      </c>
      <c r="B5723" s="1832">
        <f>'Revenues 9-14'!G8</f>
        <v>117252</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190770</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44</v>
      </c>
      <c r="D5727" s="2" t="str">
        <f t="shared" si="88"/>
        <v>Error?</v>
      </c>
    </row>
    <row r="5728" spans="1:4" x14ac:dyDescent="0.2">
      <c r="A5728" s="5">
        <v>5667</v>
      </c>
      <c r="B5728" s="1832">
        <f>'Revenues 9-14'!G16</f>
        <v>9663</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9707</v>
      </c>
      <c r="C5730" s="2" t="s">
        <v>569</v>
      </c>
      <c r="D5730" s="2" t="str">
        <f t="shared" si="88"/>
        <v>Error?</v>
      </c>
    </row>
    <row r="5731" spans="1:4" x14ac:dyDescent="0.2">
      <c r="A5731" s="5">
        <v>5670</v>
      </c>
      <c r="B5731" s="1832">
        <f>'Revenues 9-14'!G65</f>
        <v>3838</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3838</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204315</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542</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542</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153140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153682</v>
      </c>
      <c r="C5915" s="2" t="s">
        <v>569</v>
      </c>
      <c r="D5915" s="2" t="str">
        <f t="shared" si="91"/>
        <v>Error?</v>
      </c>
    </row>
    <row r="5916" spans="1:4" x14ac:dyDescent="0.2">
      <c r="A5916" s="5">
        <v>5855</v>
      </c>
      <c r="B5916" s="1832">
        <f>'Revenues 9-14'!I5</f>
        <v>40875</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40875</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10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10</v>
      </c>
      <c r="C5923" s="2" t="s">
        <v>569</v>
      </c>
      <c r="D5923" s="2" t="str">
        <f t="shared" si="91"/>
        <v>Error?</v>
      </c>
    </row>
    <row r="5924" spans="1:4" x14ac:dyDescent="0.2">
      <c r="A5924" s="5">
        <v>5863</v>
      </c>
      <c r="B5924" s="1832">
        <f>'Revenues 9-14'!I65</f>
        <v>17564</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17564</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58449</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40875</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40875</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10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10</v>
      </c>
      <c r="C5992" s="2" t="s">
        <v>569</v>
      </c>
      <c r="D5992" s="2" t="str">
        <f t="shared" si="92"/>
        <v>Error?</v>
      </c>
    </row>
    <row r="5993" spans="1:4" x14ac:dyDescent="0.2">
      <c r="A5993" s="5">
        <v>5932</v>
      </c>
      <c r="B5993" s="1832">
        <f>'Revenues 9-14'!K65</f>
        <v>506</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506</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41391</v>
      </c>
      <c r="C6023" s="2" t="s">
        <v>569</v>
      </c>
      <c r="D6023" s="2" t="str">
        <f t="shared" si="93"/>
        <v>Error?</v>
      </c>
    </row>
    <row r="6024" spans="1:5" x14ac:dyDescent="0.2">
      <c r="A6024" s="5">
        <v>5963</v>
      </c>
      <c r="B6024" s="1832">
        <f>'Revenues 9-14'!G109</f>
        <v>204315</v>
      </c>
      <c r="C6024" s="2" t="s">
        <v>569</v>
      </c>
      <c r="D6024" s="2" t="str">
        <f t="shared" si="93"/>
        <v>Error?</v>
      </c>
    </row>
    <row r="6025" spans="1:5" x14ac:dyDescent="0.2">
      <c r="A6025" s="5">
        <v>5964</v>
      </c>
      <c r="B6025" s="1832">
        <f>'Revenues 9-14'!H109</f>
        <v>153682</v>
      </c>
      <c r="C6025" s="2" t="s">
        <v>569</v>
      </c>
      <c r="D6025" s="2" t="str">
        <f t="shared" si="93"/>
        <v>Error?</v>
      </c>
    </row>
    <row r="6026" spans="1:5" x14ac:dyDescent="0.2">
      <c r="A6026" s="5">
        <v>5965</v>
      </c>
      <c r="B6026" s="1832">
        <f>'Revenues 9-14'!I109</f>
        <v>58449</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41391</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47163</v>
      </c>
      <c r="D6031" s="2" t="str">
        <f t="shared" si="93"/>
        <v>Error?</v>
      </c>
    </row>
    <row r="6032" spans="1:5" x14ac:dyDescent="0.2">
      <c r="A6032" s="5">
        <v>5971</v>
      </c>
      <c r="B6032" s="1832">
        <f>'Acct Summary 7-8'!G15</f>
        <v>19342</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22713</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443.4</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365492</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365492</v>
      </c>
      <c r="D6215" s="2" t="str">
        <f t="shared" si="96"/>
        <v>Error?</v>
      </c>
      <c r="E6215" s="2" t="s">
        <v>189</v>
      </c>
    </row>
    <row r="6216" spans="1:5" x14ac:dyDescent="0.2">
      <c r="A6216">
        <v>6155</v>
      </c>
      <c r="B6216" s="1832">
        <f>'Assets-Liab 5-6'!J41</f>
        <v>365492</v>
      </c>
      <c r="D6216" s="2" t="str">
        <f t="shared" si="96"/>
        <v>Error?</v>
      </c>
      <c r="E6216" s="2" t="s">
        <v>189</v>
      </c>
    </row>
    <row r="6217" spans="1:5" x14ac:dyDescent="0.2">
      <c r="A6217">
        <v>6156</v>
      </c>
      <c r="B6217" s="1832">
        <f>'Assets-Liab 5-6'!J4</f>
        <v>215492</v>
      </c>
      <c r="D6217" s="2" t="str">
        <f t="shared" si="96"/>
        <v>Error?</v>
      </c>
      <c r="E6217" s="2" t="s">
        <v>189</v>
      </c>
    </row>
    <row r="6218" spans="1:5" x14ac:dyDescent="0.2">
      <c r="A6218">
        <v>6157</v>
      </c>
      <c r="B6218" s="1832">
        <f>'Assets-Liab 5-6'!J5</f>
        <v>150000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639808</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639808</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639808</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546458</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546458</v>
      </c>
      <c r="D6229" s="2" t="str">
        <f t="shared" si="96"/>
        <v>Error?</v>
      </c>
      <c r="E6229" s="2" t="s">
        <v>189</v>
      </c>
    </row>
    <row r="6230" spans="1:5" x14ac:dyDescent="0.2">
      <c r="A6230">
        <v>6169</v>
      </c>
      <c r="B6230" s="1832">
        <f>'Acct Summary 7-8'!J20</f>
        <v>93350</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93350</v>
      </c>
      <c r="D6263" s="2" t="str">
        <f t="shared" si="96"/>
        <v>Error?</v>
      </c>
      <c r="E6263" s="2" t="s">
        <v>189</v>
      </c>
    </row>
    <row r="6264" spans="1:5" x14ac:dyDescent="0.2">
      <c r="A6264">
        <v>6203</v>
      </c>
      <c r="B6264" s="1832">
        <f>'Acct Summary 7-8'!J79</f>
        <v>272142</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365492</v>
      </c>
      <c r="D6266" s="2" t="str">
        <f t="shared" si="96"/>
        <v>Error?</v>
      </c>
      <c r="E6266" s="2" t="s">
        <v>189</v>
      </c>
    </row>
    <row r="6267" spans="1:5" x14ac:dyDescent="0.2">
      <c r="A6267">
        <v>6206</v>
      </c>
      <c r="B6267" s="1832">
        <f>'Acct Summary 7-8'!C82</f>
        <v>341124</v>
      </c>
      <c r="D6267" s="2" t="str">
        <f t="shared" si="96"/>
        <v>Error?</v>
      </c>
      <c r="E6267" s="2" t="s">
        <v>189</v>
      </c>
    </row>
    <row r="6268" spans="1:5" x14ac:dyDescent="0.2">
      <c r="A6268">
        <v>6207</v>
      </c>
      <c r="B6268" s="1832">
        <f>'Acct Summary 7-8'!D82</f>
        <v>-58201</v>
      </c>
      <c r="D6268" s="2" t="str">
        <f t="shared" si="96"/>
        <v>Error?</v>
      </c>
      <c r="E6268" s="2" t="s">
        <v>189</v>
      </c>
    </row>
    <row r="6269" spans="1:5" x14ac:dyDescent="0.2">
      <c r="A6269">
        <v>6208</v>
      </c>
      <c r="B6269" s="1832">
        <f>'Acct Summary 7-8'!E82</f>
        <v>-218</v>
      </c>
      <c r="D6269" s="2" t="str">
        <f t="shared" si="96"/>
        <v>Error?</v>
      </c>
      <c r="E6269" s="2" t="s">
        <v>189</v>
      </c>
    </row>
    <row r="6270" spans="1:5" x14ac:dyDescent="0.2">
      <c r="A6270">
        <v>6209</v>
      </c>
      <c r="B6270" s="1832">
        <f>'Acct Summary 7-8'!F82</f>
        <v>-4044</v>
      </c>
      <c r="D6270" s="2" t="str">
        <f t="shared" si="96"/>
        <v>Error?</v>
      </c>
      <c r="E6270" s="2" t="s">
        <v>189</v>
      </c>
    </row>
    <row r="6271" spans="1:5" x14ac:dyDescent="0.2">
      <c r="A6271">
        <v>6210</v>
      </c>
      <c r="B6271" s="1832">
        <f>'Acct Summary 7-8'!G82</f>
        <v>-17354</v>
      </c>
      <c r="D6271" s="2" t="str">
        <f t="shared" ref="D6271:D6334" si="97">IF(ISBLANK(B6271),"OK",IF(A6271-B6271=0,"OK","Error?"))</f>
        <v>Error?</v>
      </c>
      <c r="E6271" s="2" t="s">
        <v>189</v>
      </c>
    </row>
    <row r="6272" spans="1:5" x14ac:dyDescent="0.2">
      <c r="A6272">
        <v>6211</v>
      </c>
      <c r="B6272" s="1832">
        <f>'Acct Summary 7-8'!H82</f>
        <v>-37717</v>
      </c>
      <c r="D6272" s="2" t="str">
        <f t="shared" si="97"/>
        <v>Error?</v>
      </c>
      <c r="E6272" s="2" t="s">
        <v>189</v>
      </c>
    </row>
    <row r="6273" spans="1:5" x14ac:dyDescent="0.2">
      <c r="A6273">
        <v>6212</v>
      </c>
      <c r="B6273" s="1832">
        <f>'Acct Summary 7-8'!I82</f>
        <v>-671551</v>
      </c>
      <c r="D6273" s="2" t="str">
        <f t="shared" si="97"/>
        <v>Error?</v>
      </c>
      <c r="E6273" s="2" t="s">
        <v>189</v>
      </c>
    </row>
    <row r="6274" spans="1:5" x14ac:dyDescent="0.2">
      <c r="A6274">
        <v>6213</v>
      </c>
      <c r="B6274" s="1832">
        <f>'Acct Summary 7-8'!J82</f>
        <v>93350</v>
      </c>
      <c r="D6274" s="2" t="str">
        <f t="shared" si="97"/>
        <v>Error?</v>
      </c>
      <c r="E6274" s="2" t="s">
        <v>189</v>
      </c>
    </row>
    <row r="6275" spans="1:5" x14ac:dyDescent="0.2">
      <c r="A6275">
        <v>6214</v>
      </c>
      <c r="B6275" s="1832">
        <f>'Acct Summary 7-8'!K82</f>
        <v>41391</v>
      </c>
      <c r="D6275" s="2" t="str">
        <f t="shared" si="97"/>
        <v>Error?</v>
      </c>
      <c r="E6275" s="2" t="s">
        <v>189</v>
      </c>
    </row>
    <row r="6276" spans="1:5" x14ac:dyDescent="0.2">
      <c r="A6276">
        <v>6215</v>
      </c>
      <c r="B6276" s="1832">
        <f>'Acct Summary 7-8'!C83</f>
        <v>0.1713663938527448</v>
      </c>
      <c r="D6276" s="2" t="str">
        <f t="shared" si="97"/>
        <v>Error?</v>
      </c>
      <c r="E6276" s="2" t="s">
        <v>189</v>
      </c>
    </row>
    <row r="6277" spans="1:5" x14ac:dyDescent="0.2">
      <c r="A6277">
        <v>6216</v>
      </c>
      <c r="B6277" s="1832">
        <f>'Acct Summary 7-8'!D83</f>
        <v>-8.2885446306249347E-2</v>
      </c>
      <c r="D6277" s="2" t="str">
        <f t="shared" si="97"/>
        <v>Error?</v>
      </c>
      <c r="E6277" s="2" t="s">
        <v>189</v>
      </c>
    </row>
    <row r="6278" spans="1:5" x14ac:dyDescent="0.2">
      <c r="A6278">
        <v>6217</v>
      </c>
      <c r="B6278" s="1832">
        <f>'Acct Summary 7-8'!E83</f>
        <v>-1.4828721464914428E-3</v>
      </c>
      <c r="D6278" s="2" t="str">
        <f t="shared" si="97"/>
        <v>Error?</v>
      </c>
      <c r="E6278" s="2" t="s">
        <v>189</v>
      </c>
    </row>
    <row r="6279" spans="1:5" x14ac:dyDescent="0.2">
      <c r="A6279">
        <v>6218</v>
      </c>
      <c r="B6279" s="1832">
        <f>'Acct Summary 7-8'!F83</f>
        <v>-8.1642376511867829E-3</v>
      </c>
      <c r="D6279" s="2" t="str">
        <f t="shared" si="97"/>
        <v>Error?</v>
      </c>
      <c r="E6279" s="2" t="s">
        <v>189</v>
      </c>
    </row>
    <row r="6280" spans="1:5" x14ac:dyDescent="0.2">
      <c r="A6280">
        <v>6219</v>
      </c>
      <c r="B6280" s="1832">
        <f>'Acct Summary 7-8'!G83</f>
        <v>-5.2749323687650083E-2</v>
      </c>
      <c r="D6280" s="2" t="str">
        <f t="shared" si="97"/>
        <v>Error?</v>
      </c>
      <c r="E6280" s="2" t="s">
        <v>189</v>
      </c>
    </row>
    <row r="6281" spans="1:5" x14ac:dyDescent="0.2">
      <c r="A6281">
        <v>6220</v>
      </c>
      <c r="B6281" s="1832">
        <f>'Acct Summary 7-8'!H83</f>
        <v>-0.32036864010872335</v>
      </c>
      <c r="D6281" s="2" t="str">
        <f t="shared" si="97"/>
        <v>Error?</v>
      </c>
      <c r="E6281" s="2" t="s">
        <v>189</v>
      </c>
    </row>
    <row r="6282" spans="1:5" x14ac:dyDescent="0.2">
      <c r="A6282">
        <v>6221</v>
      </c>
      <c r="B6282" s="1832">
        <f>'Acct Summary 7-8'!I83</f>
        <v>-24.331557971014494</v>
      </c>
      <c r="D6282" s="2" t="str">
        <f t="shared" si="97"/>
        <v>Error?</v>
      </c>
      <c r="E6282" s="2" t="s">
        <v>189</v>
      </c>
    </row>
    <row r="6283" spans="1:5" x14ac:dyDescent="0.2">
      <c r="A6283">
        <v>6222</v>
      </c>
      <c r="B6283" s="1832">
        <f>'Acct Summary 7-8'!J83</f>
        <v>0.25540914712223522</v>
      </c>
      <c r="D6283" s="2" t="str">
        <f t="shared" si="97"/>
        <v>Error?</v>
      </c>
      <c r="E6283" s="2" t="s">
        <v>189</v>
      </c>
    </row>
    <row r="6284" spans="1:5" x14ac:dyDescent="0.2">
      <c r="A6284">
        <v>6223</v>
      </c>
      <c r="B6284" s="1832">
        <f>'Acct Summary 7-8'!K83</f>
        <v>0.56941807676434175</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636549</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636549</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139</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139</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1347</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1347</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1773</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1900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1773</v>
      </c>
      <c r="D6351" s="2" t="str">
        <f t="shared" si="98"/>
        <v>Error?</v>
      </c>
      <c r="E6351" s="2" t="s">
        <v>189</v>
      </c>
    </row>
    <row r="6352" spans="1:5" x14ac:dyDescent="0.2">
      <c r="A6352">
        <v>6291</v>
      </c>
      <c r="B6352" s="1832">
        <f>'Revenues 9-14'!J109</f>
        <v>639808</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17621</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57817</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81637</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30648</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546458</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639808</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3314</v>
      </c>
      <c r="D7073" s="2" t="str">
        <f t="shared" si="109"/>
        <v>Error?</v>
      </c>
    </row>
    <row r="7074" spans="1:4" x14ac:dyDescent="0.2">
      <c r="A7074">
        <v>7013</v>
      </c>
      <c r="B7074" s="1832">
        <f>'Expenditures 15-22'!K216</f>
        <v>3314</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332</v>
      </c>
      <c r="D7079" s="2" t="str">
        <f t="shared" si="109"/>
        <v>Error?</v>
      </c>
    </row>
    <row r="7080" spans="1:4" x14ac:dyDescent="0.2">
      <c r="A7080">
        <v>7019</v>
      </c>
      <c r="B7080" s="1832">
        <f>'Expenditures 15-22'!K226</f>
        <v>332</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586</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586</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91751</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91751</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88039</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14516</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102555</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337382</v>
      </c>
      <c r="D7172" s="2" t="str">
        <f t="shared" si="111"/>
        <v>Error?</v>
      </c>
    </row>
    <row r="7173" spans="1:4" x14ac:dyDescent="0.2">
      <c r="A7173">
        <v>7112</v>
      </c>
      <c r="B7173" s="1832">
        <f>'Expenditures 15-22'!D325</f>
        <v>10709</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348091</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3475</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3475</v>
      </c>
      <c r="D7198" s="2" t="str">
        <f t="shared" si="111"/>
        <v>Error?</v>
      </c>
    </row>
    <row r="7199" spans="1:4" x14ac:dyDescent="0.2">
      <c r="A7199">
        <v>7138</v>
      </c>
      <c r="B7199" s="1832">
        <f>'Expenditures 15-22'!C330</f>
        <v>337382</v>
      </c>
      <c r="D7199" s="2" t="str">
        <f t="shared" si="111"/>
        <v>Error?</v>
      </c>
    </row>
    <row r="7200" spans="1:4" x14ac:dyDescent="0.2">
      <c r="A7200">
        <v>7139</v>
      </c>
      <c r="B7200" s="1832">
        <f>'Expenditures 15-22'!D330</f>
        <v>10709</v>
      </c>
      <c r="D7200" s="2" t="str">
        <f t="shared" si="111"/>
        <v>Error?</v>
      </c>
    </row>
    <row r="7201" spans="1:4" x14ac:dyDescent="0.2">
      <c r="A7201">
        <v>7140</v>
      </c>
      <c r="B7201" s="1832">
        <f>'Expenditures 15-22'!E330</f>
        <v>183851</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14516</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546458</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337382</v>
      </c>
      <c r="D7216" s="2" t="str">
        <f t="shared" si="111"/>
        <v>Error?</v>
      </c>
    </row>
    <row r="7217" spans="1:4" x14ac:dyDescent="0.2">
      <c r="A7217">
        <v>7156</v>
      </c>
      <c r="B7217" s="1832">
        <f>'Expenditures 15-22'!D342</f>
        <v>10709</v>
      </c>
      <c r="D7217" s="2" t="str">
        <f t="shared" si="111"/>
        <v>Error?</v>
      </c>
    </row>
    <row r="7218" spans="1:4" x14ac:dyDescent="0.2">
      <c r="A7218">
        <v>7157</v>
      </c>
      <c r="B7218" s="1832">
        <f>'Expenditures 15-22'!E342</f>
        <v>183851</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14516</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546458</v>
      </c>
      <c r="D7224" s="2" t="str">
        <f t="shared" si="111"/>
        <v>Error?</v>
      </c>
    </row>
    <row r="7225" spans="1:4" x14ac:dyDescent="0.2">
      <c r="A7225">
        <v>7164</v>
      </c>
      <c r="B7225" s="1832">
        <f>'Expenditures 15-22'!K343</f>
        <v>93350</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10889</v>
      </c>
      <c r="D7246" s="2" t="str">
        <f t="shared" si="112"/>
        <v>Error?</v>
      </c>
    </row>
    <row r="7247" spans="1:4" x14ac:dyDescent="0.2">
      <c r="A7247">
        <f t="shared" si="113"/>
        <v>7186</v>
      </c>
      <c r="B7247" s="1832">
        <f>'Expenditures 15-22'!E7</f>
        <v>1768</v>
      </c>
      <c r="D7247" s="2" t="str">
        <f t="shared" si="112"/>
        <v>Error?</v>
      </c>
    </row>
    <row r="7248" spans="1:4" x14ac:dyDescent="0.2">
      <c r="A7248">
        <f t="shared" si="113"/>
        <v>7187</v>
      </c>
      <c r="B7248" s="1832">
        <f>'Expenditures 15-22'!F7</f>
        <v>2713</v>
      </c>
      <c r="D7248" s="2" t="str">
        <f t="shared" si="112"/>
        <v>Error?</v>
      </c>
    </row>
    <row r="7249" spans="1:4" x14ac:dyDescent="0.2">
      <c r="A7249">
        <f t="shared" si="113"/>
        <v>7188</v>
      </c>
      <c r="B7249" s="1832">
        <f>'Expenditures 15-22'!G7</f>
        <v>8450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23552</v>
      </c>
      <c r="D7263" s="2" t="str">
        <f t="shared" si="112"/>
        <v>Error?</v>
      </c>
    </row>
    <row r="7264" spans="1:4" x14ac:dyDescent="0.2">
      <c r="A7264">
        <f t="shared" si="113"/>
        <v>7203</v>
      </c>
      <c r="B7264" s="1832">
        <f>'Expenditures 15-22'!D17</f>
        <v>6031</v>
      </c>
      <c r="D7264" s="2" t="str">
        <f t="shared" si="112"/>
        <v>Error?</v>
      </c>
    </row>
    <row r="7265" spans="1:5" x14ac:dyDescent="0.2">
      <c r="A7265">
        <f t="shared" si="113"/>
        <v>7204</v>
      </c>
      <c r="B7265" s="1832">
        <f>'Expenditures 15-22'!E17</f>
        <v>634</v>
      </c>
      <c r="D7265" s="2" t="str">
        <f t="shared" si="112"/>
        <v>Error?</v>
      </c>
    </row>
    <row r="7266" spans="1:5" x14ac:dyDescent="0.2">
      <c r="A7266">
        <f t="shared" si="113"/>
        <v>7205</v>
      </c>
      <c r="B7266" s="1832">
        <f>'Expenditures 15-22'!F17</f>
        <v>431</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62857</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62857</v>
      </c>
      <c r="D7618" s="2" t="str">
        <f t="shared" si="124"/>
        <v>Error?</v>
      </c>
      <c r="E7618" s="2" t="s">
        <v>19</v>
      </c>
    </row>
    <row r="7619" spans="1:5" x14ac:dyDescent="0.2">
      <c r="A7619">
        <f t="shared" si="123"/>
        <v>7558</v>
      </c>
      <c r="B7619" s="1832">
        <f>'Cap Outlay Deprec 26'!H14</f>
        <v>62856</v>
      </c>
      <c r="D7619" s="2" t="str">
        <f t="shared" si="124"/>
        <v>Error?</v>
      </c>
      <c r="E7619" s="2" t="s">
        <v>19</v>
      </c>
    </row>
    <row r="7620" spans="1:5" x14ac:dyDescent="0.2">
      <c r="A7620">
        <f t="shared" si="123"/>
        <v>7559</v>
      </c>
      <c r="B7620" s="1832">
        <f>'Cap Outlay Deprec 26'!I14</f>
        <v>1</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62857</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265172</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80076</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271</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1900</v>
      </c>
      <c r="D7712" s="2" t="str">
        <f t="shared" si="126"/>
        <v>Error?</v>
      </c>
      <c r="E7712" s="2" t="s">
        <v>822</v>
      </c>
    </row>
    <row r="7713" spans="1:6" x14ac:dyDescent="0.2">
      <c r="A7713">
        <v>7652</v>
      </c>
      <c r="B7713" s="1832">
        <f>'Rest Tax Levies-Tort Im 25'!J8</f>
        <v>217052.89</v>
      </c>
      <c r="D7713" s="2" t="str">
        <f t="shared" si="126"/>
        <v>Error?</v>
      </c>
      <c r="E7713" s="2" t="s">
        <v>822</v>
      </c>
    </row>
    <row r="7714" spans="1:6" x14ac:dyDescent="0.2">
      <c r="A7714">
        <v>7653</v>
      </c>
      <c r="B7714" s="1832">
        <f>'Rest Tax Levies-Tort Im 25'!K9</f>
        <v>4561.3999999999996</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217323.89</v>
      </c>
      <c r="D7718" s="2" t="str">
        <f t="shared" si="126"/>
        <v>Error?</v>
      </c>
      <c r="E7718" s="2" t="s">
        <v>822</v>
      </c>
    </row>
    <row r="7719" spans="1:6" x14ac:dyDescent="0.2">
      <c r="A7719">
        <v>7658</v>
      </c>
      <c r="B7719" s="1832">
        <f>'Rest Tax Levies-Tort Im 25'!K12</f>
        <v>6461.4</v>
      </c>
      <c r="D7719" s="2" t="str">
        <f t="shared" si="126"/>
        <v>Error?</v>
      </c>
      <c r="E7719" s="2" t="s">
        <v>822</v>
      </c>
    </row>
    <row r="7720" spans="1:6" x14ac:dyDescent="0.2">
      <c r="A7720">
        <v>7659</v>
      </c>
      <c r="B7720" s="1832">
        <f>'Rest Tax Levies-Tort Im 25'!H14</f>
        <v>32708</v>
      </c>
      <c r="D7720" s="2" t="str">
        <f t="shared" si="126"/>
        <v>Error?</v>
      </c>
      <c r="E7720" s="2" t="s">
        <v>822</v>
      </c>
    </row>
    <row r="7721" spans="1:6" x14ac:dyDescent="0.2">
      <c r="A7721">
        <v>7660</v>
      </c>
      <c r="B7721" s="1832">
        <f>'Rest Tax Levies-Tort Im 25'!K14</f>
        <v>6461</v>
      </c>
      <c r="D7721" s="2" t="str">
        <f t="shared" si="126"/>
        <v>Error?</v>
      </c>
      <c r="E7721" s="2" t="s">
        <v>822</v>
      </c>
    </row>
    <row r="7722" spans="1:6" x14ac:dyDescent="0.2">
      <c r="A7722">
        <v>7661</v>
      </c>
      <c r="B7722" s="1832">
        <f>'Rest Tax Levies-Tort Im 25'!J15</f>
        <v>279692</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63913</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279692</v>
      </c>
      <c r="D7730" s="2" t="str">
        <f t="shared" si="126"/>
        <v>Error?</v>
      </c>
      <c r="E7730" s="2" t="s">
        <v>822</v>
      </c>
    </row>
    <row r="7731" spans="1:6" x14ac:dyDescent="0.2">
      <c r="A7731">
        <v>7670</v>
      </c>
      <c r="B7731" s="1832">
        <f>'Revenues 9-14'!H103</f>
        <v>153140</v>
      </c>
      <c r="D7731" s="2" t="str">
        <f t="shared" si="126"/>
        <v>Error?</v>
      </c>
      <c r="E7731" s="2" t="s">
        <v>822</v>
      </c>
    </row>
    <row r="7732" spans="1:6" x14ac:dyDescent="0.2">
      <c r="A7732">
        <v>7671</v>
      </c>
      <c r="B7732" s="1832">
        <f>'Rest Tax Levies-Tort Im 25'!J24</f>
        <v>17707.890000000014</v>
      </c>
      <c r="D7732" s="2" t="str">
        <f t="shared" si="126"/>
        <v>Error?</v>
      </c>
      <c r="E7732" s="2" t="s">
        <v>822</v>
      </c>
    </row>
    <row r="7733" spans="1:6" x14ac:dyDescent="0.2">
      <c r="A7733">
        <v>7672</v>
      </c>
      <c r="B7733" s="1832">
        <f>'Rest Tax Levies-Tort Im 25'!K24</f>
        <v>0.3999999999996362</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17707.890000000014</v>
      </c>
      <c r="D7742" s="2" t="str">
        <f t="shared" si="126"/>
        <v>Error?</v>
      </c>
      <c r="E7742" s="2" t="s">
        <v>822</v>
      </c>
    </row>
    <row r="7743" spans="1:6" x14ac:dyDescent="0.2">
      <c r="A7743">
        <v>7682</v>
      </c>
      <c r="B7743" s="1832">
        <f>'Rest Tax Levies-Tort Im 25'!K26</f>
        <v>0.3999999999996362</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730000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6461</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1050000</v>
      </c>
      <c r="D7817" s="2" t="str">
        <f t="shared" si="128"/>
        <v>Error?</v>
      </c>
      <c r="E7817" s="4" t="s">
        <v>1966</v>
      </c>
    </row>
    <row r="7818" spans="1:5" x14ac:dyDescent="0.2">
      <c r="A7818">
        <v>7757</v>
      </c>
      <c r="B7818" s="1832">
        <f>'PCTC-OEPP 27-28'!F172</f>
        <v>99716.43</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-46745</v>
      </c>
      <c r="D7820" s="2" t="str">
        <f t="shared" si="128"/>
        <v>Error?</v>
      </c>
    </row>
    <row r="7821" spans="1:5" x14ac:dyDescent="0.2">
      <c r="A7821">
        <v>7760</v>
      </c>
      <c r="B7821" s="1832">
        <f>'ICR Computation 30'!G40</f>
        <v>-46745</v>
      </c>
      <c r="D7821" s="2" t="str">
        <f t="shared" si="128"/>
        <v>Error?</v>
      </c>
    </row>
    <row r="7822" spans="1:5" x14ac:dyDescent="0.2">
      <c r="A7822" s="1">
        <v>7761</v>
      </c>
      <c r="B7822" s="1832">
        <f>'PCTC-OEPP 27-28'!F14</f>
        <v>6778881</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73187</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17068</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1600444</v>
      </c>
      <c r="D7834" s="2" t="str">
        <f t="shared" si="129"/>
        <v>Error?</v>
      </c>
      <c r="E7834" s="4" t="s">
        <v>1998</v>
      </c>
    </row>
    <row r="7835" spans="1:5" x14ac:dyDescent="0.2">
      <c r="A7835">
        <v>7774</v>
      </c>
      <c r="B7835" s="1832">
        <f>'PCTC-OEPP 27-28'!F78</f>
        <v>5178437</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11678.928732521426</v>
      </c>
      <c r="D7837" s="2" t="str">
        <f t="shared" si="129"/>
        <v>Error?</v>
      </c>
      <c r="E7837" s="4" t="s">
        <v>1998</v>
      </c>
    </row>
    <row r="7838" spans="1:5" x14ac:dyDescent="0.2">
      <c r="A7838">
        <v>7777</v>
      </c>
      <c r="B7838" s="1832">
        <f>'PCTC-OEPP 27-28'!F96</f>
        <v>50288</v>
      </c>
      <c r="D7838" s="2" t="str">
        <f t="shared" si="129"/>
        <v>Error?</v>
      </c>
      <c r="E7838" s="4" t="s">
        <v>1998</v>
      </c>
    </row>
    <row r="7839" spans="1:5" x14ac:dyDescent="0.2">
      <c r="A7839">
        <v>7778</v>
      </c>
      <c r="B7839" s="1832">
        <f>'PCTC-OEPP 27-28'!F102</f>
        <v>685</v>
      </c>
      <c r="D7839" s="2" t="str">
        <f t="shared" si="129"/>
        <v>Error?</v>
      </c>
      <c r="E7839" s="4" t="s">
        <v>1998</v>
      </c>
    </row>
    <row r="7840" spans="1:5" x14ac:dyDescent="0.2">
      <c r="A7840">
        <v>7779</v>
      </c>
      <c r="B7840" s="1832">
        <f>'PCTC-OEPP 27-28'!F103</f>
        <v>15046</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12815</v>
      </c>
      <c r="D7842" s="2" t="str">
        <f t="shared" si="129"/>
        <v>Error?</v>
      </c>
      <c r="E7842" s="4" t="s">
        <v>1998</v>
      </c>
    </row>
    <row r="7843" spans="1:5" x14ac:dyDescent="0.2">
      <c r="A7843">
        <v>7782</v>
      </c>
      <c r="B7843" s="1832">
        <f>'PCTC-OEPP 27-28'!F107</f>
        <v>26809</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4561</v>
      </c>
      <c r="D7846" s="2" t="str">
        <f t="shared" si="129"/>
        <v>Error?</v>
      </c>
      <c r="E7846" s="4" t="s">
        <v>1998</v>
      </c>
    </row>
    <row r="7847" spans="1:5" x14ac:dyDescent="0.2">
      <c r="A7847">
        <v>7786</v>
      </c>
      <c r="B7847" s="1832">
        <f>'PCTC-OEPP 27-28'!F112</f>
        <v>190744</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750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134894</v>
      </c>
      <c r="D7858" s="2" t="str">
        <f t="shared" si="129"/>
        <v>Error?</v>
      </c>
      <c r="E7858" s="4" t="s">
        <v>1998</v>
      </c>
    </row>
    <row r="7859" spans="1:5" x14ac:dyDescent="0.2">
      <c r="A7859">
        <v>7798</v>
      </c>
      <c r="B7859" s="1832">
        <f>'PCTC-OEPP 27-28'!F127</f>
        <v>155482</v>
      </c>
      <c r="D7859" s="2" t="str">
        <f t="shared" si="129"/>
        <v>Error?</v>
      </c>
      <c r="E7859" s="4" t="s">
        <v>1998</v>
      </c>
    </row>
    <row r="7860" spans="1:5" x14ac:dyDescent="0.2">
      <c r="A7860">
        <v>7799</v>
      </c>
      <c r="B7860" s="1832">
        <f>'PCTC-OEPP 27-28'!F128</f>
        <v>53730</v>
      </c>
      <c r="D7860" s="2" t="str">
        <f t="shared" si="129"/>
        <v>Error?</v>
      </c>
      <c r="E7860" s="4" t="s">
        <v>1998</v>
      </c>
    </row>
    <row r="7861" spans="1:5" x14ac:dyDescent="0.2">
      <c r="A7861">
        <v>7800</v>
      </c>
      <c r="B7861" s="1832">
        <f>'PCTC-OEPP 27-28'!F129</f>
        <v>126168</v>
      </c>
      <c r="D7861" s="2" t="str">
        <f t="shared" si="129"/>
        <v>Error?</v>
      </c>
      <c r="E7861" s="4" t="s">
        <v>1998</v>
      </c>
    </row>
    <row r="7862" spans="1:5" x14ac:dyDescent="0.2">
      <c r="A7862">
        <v>7801</v>
      </c>
      <c r="B7862" s="1832">
        <f>'PCTC-OEPP 27-28'!F130</f>
        <v>11939</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38819</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3690</v>
      </c>
      <c r="D7874" s="2" t="str">
        <f t="shared" si="129"/>
        <v>Error?</v>
      </c>
      <c r="E7874" s="4" t="s">
        <v>1998</v>
      </c>
    </row>
    <row r="7875" spans="1:5" x14ac:dyDescent="0.2">
      <c r="A7875">
        <v>7814</v>
      </c>
      <c r="B7875" s="1832">
        <f>'PCTC-OEPP 27-28'!F170</f>
        <v>6043</v>
      </c>
      <c r="D7875" s="2" t="str">
        <f t="shared" si="129"/>
        <v>Error?</v>
      </c>
      <c r="E7875" s="4" t="s">
        <v>1998</v>
      </c>
    </row>
    <row r="7876" spans="1:5" x14ac:dyDescent="0.2">
      <c r="A7876">
        <v>7815</v>
      </c>
      <c r="B7876" s="1832">
        <f>'PCTC-OEPP 27-28'!F171</f>
        <v>38835</v>
      </c>
      <c r="D7876" s="2" t="str">
        <f t="shared" si="129"/>
        <v>Error?</v>
      </c>
      <c r="E7876" s="4" t="s">
        <v>1998</v>
      </c>
    </row>
    <row r="7877" spans="1:5" x14ac:dyDescent="0.2">
      <c r="A7877">
        <v>7816</v>
      </c>
      <c r="B7877" s="1832">
        <f>'PCTC-OEPP 27-28'!F175</f>
        <v>1070226.43</v>
      </c>
      <c r="D7877" s="2" t="str">
        <f t="shared" si="129"/>
        <v>Error?</v>
      </c>
      <c r="E7877" s="4" t="s">
        <v>1998</v>
      </c>
    </row>
    <row r="7878" spans="1:5" x14ac:dyDescent="0.2">
      <c r="A7878">
        <v>7817</v>
      </c>
      <c r="B7878" s="1832">
        <f>'PCTC-OEPP 27-28'!F176</f>
        <v>4108210.5700000003</v>
      </c>
      <c r="D7878" s="2" t="str">
        <f t="shared" si="129"/>
        <v>Error?</v>
      </c>
      <c r="E7878" s="4" t="s">
        <v>1998</v>
      </c>
    </row>
    <row r="7879" spans="1:5" x14ac:dyDescent="0.2">
      <c r="A7879">
        <v>7818</v>
      </c>
      <c r="B7879" s="1832">
        <f>'PCTC-OEPP 27-28'!F178</f>
        <v>4373382.57</v>
      </c>
      <c r="D7879" s="2" t="str">
        <f t="shared" si="129"/>
        <v>Error?</v>
      </c>
      <c r="E7879" s="4" t="s">
        <v>1998</v>
      </c>
    </row>
    <row r="7880" spans="1:5" x14ac:dyDescent="0.2">
      <c r="A7880">
        <v>7819</v>
      </c>
      <c r="B7880" s="1832">
        <f>'PCTC-OEPP 27-28'!F180</f>
        <v>9863.2895128552118</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14516</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5" t="s">
        <v>1181</v>
      </c>
      <c r="B2" s="2535"/>
      <c r="C2" s="2535"/>
      <c r="D2" s="2535"/>
      <c r="E2" s="2535"/>
      <c r="F2" s="2535"/>
      <c r="G2" s="2535"/>
      <c r="H2" s="2535"/>
      <c r="I2" s="2535"/>
      <c r="J2" s="2535"/>
      <c r="K2" s="2535"/>
      <c r="L2" s="2535"/>
    </row>
    <row r="3" spans="1:29" ht="13.5" customHeight="1" x14ac:dyDescent="0.2">
      <c r="A3" s="2521" t="s">
        <v>1180</v>
      </c>
      <c r="B3" s="2521"/>
      <c r="C3" s="2521"/>
      <c r="D3" s="2521"/>
      <c r="E3" s="2521"/>
      <c r="F3" s="2521"/>
      <c r="G3" s="2521"/>
      <c r="H3" s="2521"/>
      <c r="I3" s="2521"/>
      <c r="J3" s="2521"/>
      <c r="K3" s="2521"/>
      <c r="L3" s="2521"/>
    </row>
    <row r="4" spans="1:29" ht="13.5" customHeight="1" x14ac:dyDescent="0.2">
      <c r="A4" s="2552" t="str">
        <f>"Year Ending June 30, "&amp;'AFR20'!E2</f>
        <v>Year Ending June 30, 2020</v>
      </c>
      <c r="B4" s="2553"/>
      <c r="C4" s="2553"/>
      <c r="D4" s="2553"/>
      <c r="E4" s="2553"/>
      <c r="F4" s="2553"/>
      <c r="G4" s="2553"/>
      <c r="H4" s="2553"/>
      <c r="I4" s="2553"/>
      <c r="J4" s="2553"/>
      <c r="K4" s="2553"/>
      <c r="L4" s="2553"/>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15" t="str">
        <f>COVER!A17</f>
        <v xml:space="preserve">   Galva CUSD 224</v>
      </c>
      <c r="B7" s="2516"/>
      <c r="C7" s="2516"/>
      <c r="D7" s="2554"/>
      <c r="E7" s="2555">
        <f>COVER!A13</f>
        <v>28037224026</v>
      </c>
      <c r="F7" s="2556"/>
      <c r="G7" s="2522" t="str">
        <f>COVER!T23</f>
        <v>066-005027</v>
      </c>
      <c r="H7" s="2523"/>
      <c r="I7" s="2523"/>
      <c r="J7" s="2523"/>
      <c r="K7" s="2523"/>
      <c r="L7" s="2524"/>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25"/>
      <c r="B9" s="2526"/>
      <c r="C9" s="2526"/>
      <c r="D9" s="2526"/>
      <c r="E9" s="2526"/>
      <c r="F9" s="2527"/>
      <c r="G9" s="2528" t="str">
        <f>COVER!T13</f>
        <v>Gorenz and Associates, Ltd.</v>
      </c>
      <c r="H9" s="2529"/>
      <c r="I9" s="2529"/>
      <c r="J9" s="2529"/>
      <c r="K9" s="2529"/>
      <c r="L9" s="2530"/>
    </row>
    <row r="10" spans="1:29" ht="13.5" customHeight="1" x14ac:dyDescent="0.2">
      <c r="A10" s="2512" t="str">
        <f>COVER!A38</f>
        <v>Doug O'Riley</v>
      </c>
      <c r="B10" s="2513"/>
      <c r="C10" s="2513"/>
      <c r="D10" s="2513"/>
      <c r="E10" s="2513"/>
      <c r="F10" s="2514"/>
      <c r="G10" s="2528" t="str">
        <f>COVER!T17</f>
        <v>4200 N Knoxville Ave.</v>
      </c>
      <c r="H10" s="2541"/>
      <c r="I10" s="2541"/>
      <c r="J10" s="2541"/>
      <c r="K10" s="2541"/>
      <c r="L10" s="2542"/>
    </row>
    <row r="11" spans="1:29" ht="13.5" customHeight="1" x14ac:dyDescent="0.2">
      <c r="A11" s="963" t="s">
        <v>1502</v>
      </c>
      <c r="B11" s="964"/>
      <c r="C11" s="965"/>
      <c r="D11" s="970"/>
      <c r="E11" s="965"/>
      <c r="F11" s="969"/>
      <c r="G11" s="2528" t="str">
        <f>COVER!T19</f>
        <v>Peoria</v>
      </c>
      <c r="H11" s="2541"/>
      <c r="I11" s="2541"/>
      <c r="J11" s="2541"/>
      <c r="K11" s="2541"/>
      <c r="L11" s="2542"/>
    </row>
    <row r="12" spans="1:29" ht="13.5" customHeight="1" x14ac:dyDescent="0.2">
      <c r="A12" s="2546" t="s">
        <v>1501</v>
      </c>
      <c r="B12" s="2547"/>
      <c r="C12" s="2547"/>
      <c r="D12" s="2547"/>
      <c r="E12" s="2547"/>
      <c r="F12" s="2548"/>
      <c r="G12" s="2543"/>
      <c r="H12" s="2544"/>
      <c r="I12" s="2544"/>
      <c r="J12" s="2544"/>
      <c r="K12" s="2544"/>
      <c r="L12" s="2545"/>
    </row>
    <row r="13" spans="1:29" ht="13.5" customHeight="1" x14ac:dyDescent="0.2">
      <c r="A13" s="2528"/>
      <c r="B13" s="2541"/>
      <c r="C13" s="2541"/>
      <c r="D13" s="2541"/>
      <c r="E13" s="2541"/>
      <c r="F13" s="2542"/>
      <c r="G13" s="2536" t="s">
        <v>1503</v>
      </c>
      <c r="H13" s="2537"/>
      <c r="I13" s="2549" t="str">
        <f>COVER!T25</f>
        <v>tpeffer@gorenzcpa.com</v>
      </c>
      <c r="J13" s="2550"/>
      <c r="K13" s="2550"/>
      <c r="L13" s="2551"/>
    </row>
    <row r="14" spans="1:29" ht="13.5" customHeight="1" x14ac:dyDescent="0.2">
      <c r="A14" s="2528" t="str">
        <f>COVER!A19</f>
        <v>224 Morgan Road</v>
      </c>
      <c r="B14" s="2541"/>
      <c r="C14" s="2541"/>
      <c r="D14" s="2541"/>
      <c r="E14" s="2541"/>
      <c r="F14" s="2542"/>
      <c r="G14" s="974" t="s">
        <v>1175</v>
      </c>
      <c r="H14" s="972"/>
      <c r="I14" s="972"/>
      <c r="J14" s="972"/>
      <c r="K14" s="972"/>
      <c r="L14" s="973"/>
    </row>
    <row r="15" spans="1:29" ht="13.5" customHeight="1" x14ac:dyDescent="0.2">
      <c r="A15" s="2528" t="str">
        <f>COVER!A21</f>
        <v>Galva</v>
      </c>
      <c r="B15" s="2541"/>
      <c r="C15" s="2541"/>
      <c r="D15" s="2541"/>
      <c r="E15" s="2541"/>
      <c r="F15" s="2542"/>
      <c r="G15" s="2538" t="str">
        <f>COVER!T15</f>
        <v>Thomas R. Peffer, CPA</v>
      </c>
      <c r="H15" s="2539"/>
      <c r="I15" s="2539"/>
      <c r="J15" s="2539"/>
      <c r="K15" s="2539"/>
      <c r="L15" s="2540"/>
    </row>
    <row r="16" spans="1:29" ht="12.2" customHeight="1" x14ac:dyDescent="0.2">
      <c r="A16" s="2518">
        <f>COVER!A25</f>
        <v>61434</v>
      </c>
      <c r="B16" s="2519"/>
      <c r="C16" s="2519"/>
      <c r="D16" s="2519"/>
      <c r="E16" s="2519"/>
      <c r="F16" s="2520"/>
      <c r="G16" s="2531"/>
      <c r="H16" s="2532"/>
      <c r="I16" s="2532"/>
      <c r="J16" s="2532"/>
      <c r="K16" s="2532"/>
      <c r="L16" s="2533"/>
    </row>
    <row r="17" spans="1:13" ht="12.2" customHeight="1" x14ac:dyDescent="0.2">
      <c r="A17" s="2534"/>
      <c r="B17" s="2519"/>
      <c r="C17" s="2519"/>
      <c r="D17" s="2519"/>
      <c r="E17" s="2519"/>
      <c r="F17" s="2520"/>
      <c r="G17" s="974" t="s">
        <v>1174</v>
      </c>
      <c r="H17" s="972"/>
      <c r="I17" s="972"/>
      <c r="J17" s="972"/>
      <c r="K17" s="976" t="s">
        <v>1173</v>
      </c>
      <c r="L17" s="969"/>
      <c r="M17" s="962"/>
    </row>
    <row r="18" spans="1:13" ht="12.2" customHeight="1" x14ac:dyDescent="0.2">
      <c r="A18" s="2512"/>
      <c r="B18" s="2513"/>
      <c r="C18" s="2513"/>
      <c r="D18" s="2513"/>
      <c r="E18" s="2513"/>
      <c r="F18" s="2514"/>
      <c r="G18" s="2515" t="str">
        <f>COVER!T21</f>
        <v>309-685-7621</v>
      </c>
      <c r="H18" s="2516"/>
      <c r="I18" s="2516"/>
      <c r="J18" s="2516"/>
      <c r="K18" s="2515" t="str">
        <f>COVER!X21</f>
        <v>309-685-4758</v>
      </c>
      <c r="L18" s="2517"/>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7" t="str">
        <f>'Single Audit Cover'!A7</f>
        <v xml:space="preserve">   Galva CUSD 224</v>
      </c>
      <c r="B1" s="2558"/>
      <c r="C1" s="2558"/>
      <c r="D1" s="2558"/>
    </row>
    <row r="2" spans="1:11" s="991" customFormat="1" ht="12.75" x14ac:dyDescent="0.2">
      <c r="A2" s="2559">
        <f>'Single Audit Cover'!E7</f>
        <v>28037224026</v>
      </c>
      <c r="B2" s="2560"/>
      <c r="C2" s="2560"/>
      <c r="D2" s="2560"/>
    </row>
    <row r="3" spans="1:11" s="991" customFormat="1" ht="12.75" x14ac:dyDescent="0.2">
      <c r="A3" s="2557" t="s">
        <v>1496</v>
      </c>
      <c r="B3" s="2558"/>
      <c r="C3" s="2558"/>
      <c r="D3" s="2558"/>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2" t="str">
        <f>'Single Audit Cover'!A7</f>
        <v xml:space="preserve">   Galva CUSD 224</v>
      </c>
      <c r="B1" s="2562"/>
      <c r="C1" s="2562"/>
      <c r="D1" s="2562"/>
      <c r="E1" s="2562"/>
    </row>
    <row r="2" spans="1:5" x14ac:dyDescent="0.2">
      <c r="A2" s="2563">
        <f>'Single Audit Cover'!E7</f>
        <v>28037224026</v>
      </c>
      <c r="B2" s="2563"/>
      <c r="C2" s="2563"/>
      <c r="D2" s="2563"/>
      <c r="E2" s="2563"/>
    </row>
    <row r="3" spans="1:5" ht="4.5" customHeight="1" x14ac:dyDescent="0.2"/>
    <row r="4" spans="1:5" x14ac:dyDescent="0.2">
      <c r="A4" s="2562" t="s">
        <v>1234</v>
      </c>
      <c r="B4" s="2562"/>
      <c r="C4" s="2562"/>
      <c r="D4" s="2562"/>
      <c r="E4" s="2562"/>
    </row>
    <row r="5" spans="1:5" x14ac:dyDescent="0.2">
      <c r="A5" s="2565" t="str">
        <f>'Single Audit Cover'!A4</f>
        <v>Year Ending June 30, 2020</v>
      </c>
      <c r="B5" s="2565"/>
      <c r="C5" s="2565"/>
      <c r="D5" s="2565"/>
      <c r="E5" s="2565"/>
    </row>
    <row r="6" spans="1:5" x14ac:dyDescent="0.2">
      <c r="A6" s="2562" t="s">
        <v>1233</v>
      </c>
      <c r="B6" s="2562"/>
      <c r="C6" s="2562"/>
      <c r="D6" s="2562"/>
      <c r="E6" s="2562"/>
    </row>
    <row r="8" spans="1:5" x14ac:dyDescent="0.2">
      <c r="A8" s="1036" t="s">
        <v>1232</v>
      </c>
    </row>
    <row r="10" spans="1:5" x14ac:dyDescent="0.2">
      <c r="A10" s="1037" t="s">
        <v>1231</v>
      </c>
      <c r="B10" s="1038" t="s">
        <v>1230</v>
      </c>
      <c r="C10" s="1038"/>
      <c r="D10" s="1039">
        <f>SUM('Acct Summary 7-8'!C7:K7)</f>
        <v>577156</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22713</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-6043</v>
      </c>
    </row>
    <row r="19" spans="1:4" ht="13.5" thickBot="1" x14ac:dyDescent="0.25">
      <c r="A19" s="1041" t="s">
        <v>1224</v>
      </c>
      <c r="D19" s="1042">
        <f>SUM(D10:D17)</f>
        <v>593826</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4"/>
      <c r="B24" s="2564"/>
      <c r="D24" s="1044"/>
    </row>
    <row r="25" spans="1:4" x14ac:dyDescent="0.2">
      <c r="A25" s="2561"/>
      <c r="B25" s="2561"/>
      <c r="D25" s="1044"/>
    </row>
    <row r="26" spans="1:4" x14ac:dyDescent="0.2">
      <c r="A26" s="2561"/>
      <c r="B26" s="2561"/>
      <c r="D26" s="1044"/>
    </row>
    <row r="27" spans="1:4" x14ac:dyDescent="0.2">
      <c r="A27" s="2561"/>
      <c r="B27" s="2561"/>
      <c r="D27" s="1044"/>
    </row>
    <row r="28" spans="1:4" x14ac:dyDescent="0.2">
      <c r="A28" s="2561"/>
      <c r="B28" s="2561"/>
      <c r="D28" s="1044"/>
    </row>
    <row r="29" spans="1:4" x14ac:dyDescent="0.2">
      <c r="A29" s="2561"/>
      <c r="B29" s="2561"/>
      <c r="D29" s="1044"/>
    </row>
    <row r="30" spans="1:4" x14ac:dyDescent="0.2">
      <c r="A30" s="2561"/>
      <c r="B30" s="2561"/>
      <c r="D30" s="1044"/>
    </row>
    <row r="32" spans="1:4" x14ac:dyDescent="0.2">
      <c r="A32" s="1036" t="s">
        <v>1222</v>
      </c>
      <c r="D32" s="1039">
        <f>SUM(D19:D30)</f>
        <v>593826</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1"/>
      <c r="B40" s="2561"/>
      <c r="D40" s="1044"/>
    </row>
    <row r="41" spans="1:4" x14ac:dyDescent="0.2">
      <c r="A41" s="2561"/>
      <c r="B41" s="2561"/>
      <c r="D41" s="1047"/>
    </row>
    <row r="42" spans="1:4" x14ac:dyDescent="0.2">
      <c r="A42" s="2561"/>
      <c r="B42" s="2561"/>
      <c r="D42" s="1047"/>
    </row>
    <row r="43" spans="1:4" x14ac:dyDescent="0.2">
      <c r="A43" s="2561"/>
      <c r="B43" s="2561"/>
      <c r="D43" s="1047"/>
    </row>
    <row r="44" spans="1:4" x14ac:dyDescent="0.2">
      <c r="A44" s="2561"/>
      <c r="B44" s="2561"/>
      <c r="D44" s="1047"/>
    </row>
    <row r="45" spans="1:4" x14ac:dyDescent="0.2">
      <c r="A45" s="2561"/>
      <c r="B45" s="2561"/>
      <c r="D45" s="1047"/>
    </row>
    <row r="47" spans="1:4" x14ac:dyDescent="0.2">
      <c r="B47" s="1048" t="s">
        <v>1216</v>
      </c>
      <c r="C47" s="1048"/>
      <c r="D47" s="1049">
        <f>SUM(D35:D45)</f>
        <v>0</v>
      </c>
    </row>
    <row r="49" spans="2:4" x14ac:dyDescent="0.2">
      <c r="B49" s="1048" t="s">
        <v>1215</v>
      </c>
      <c r="C49" s="1048"/>
      <c r="D49" s="1049">
        <f>D32-D47</f>
        <v>593826</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1" t="str">
        <f>'Single Audit Cover'!A7</f>
        <v xml:space="preserve">   Galva CUSD 224</v>
      </c>
      <c r="C1" s="2566"/>
      <c r="D1" s="2566"/>
      <c r="E1" s="2566"/>
      <c r="F1" s="2566"/>
      <c r="G1" s="2566"/>
      <c r="H1" s="2566"/>
      <c r="I1" s="2566"/>
      <c r="J1" s="2566"/>
      <c r="K1" s="2566"/>
      <c r="L1" s="2566"/>
      <c r="M1" s="2566"/>
    </row>
    <row r="2" spans="2:14" ht="15" x14ac:dyDescent="0.2">
      <c r="B2" s="2567">
        <f>'Single Audit Cover'!E7</f>
        <v>28037224026</v>
      </c>
      <c r="C2" s="2567"/>
      <c r="D2" s="2567"/>
      <c r="E2" s="2567"/>
      <c r="F2" s="2567"/>
      <c r="G2" s="2567"/>
      <c r="H2" s="2567"/>
      <c r="I2" s="2567"/>
      <c r="J2" s="2567"/>
      <c r="K2" s="2567"/>
      <c r="L2" s="2567"/>
      <c r="M2" s="2567"/>
      <c r="N2" s="1078"/>
    </row>
    <row r="3" spans="2:14" ht="15" x14ac:dyDescent="0.2">
      <c r="B3" s="2568" t="s">
        <v>1208</v>
      </c>
      <c r="C3" s="2568"/>
      <c r="D3" s="2568"/>
      <c r="E3" s="2568"/>
      <c r="F3" s="2568"/>
      <c r="G3" s="2568"/>
      <c r="H3" s="2568"/>
      <c r="I3" s="2568"/>
      <c r="J3" s="2568"/>
      <c r="K3" s="2568"/>
      <c r="L3" s="2568"/>
      <c r="M3" s="2568"/>
      <c r="N3" s="1078"/>
    </row>
    <row r="4" spans="2:14" ht="15" x14ac:dyDescent="0.2">
      <c r="B4" s="2569" t="str">
        <f>'Single Audit Cover'!A4</f>
        <v>Year Ending June 30, 2020</v>
      </c>
      <c r="C4" s="2569"/>
      <c r="D4" s="2569"/>
      <c r="E4" s="2569"/>
      <c r="F4" s="2569"/>
      <c r="G4" s="2569"/>
      <c r="H4" s="2569"/>
      <c r="I4" s="2569"/>
      <c r="J4" s="2569"/>
      <c r="K4" s="2569"/>
      <c r="L4" s="2569"/>
      <c r="M4" s="2569"/>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t="s">
        <v>2059</v>
      </c>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1" t="str">
        <f>'Single Audit Cover'!A7</f>
        <v xml:space="preserve">   Galva CUSD 224</v>
      </c>
      <c r="B1" s="2571"/>
      <c r="C1" s="2571"/>
      <c r="D1" s="2571"/>
      <c r="E1" s="2571"/>
      <c r="F1" s="2571"/>
    </row>
    <row r="2" spans="1:7" ht="13.5" customHeight="1" x14ac:dyDescent="0.2">
      <c r="A2" s="2567">
        <f>'Single Audit Cover'!E7</f>
        <v>28037224026</v>
      </c>
      <c r="B2" s="2567"/>
      <c r="C2" s="2567"/>
      <c r="D2" s="2567"/>
      <c r="E2" s="2567"/>
      <c r="F2" s="2567"/>
      <c r="G2" s="1051"/>
    </row>
    <row r="3" spans="1:7" ht="15.75" customHeight="1" x14ac:dyDescent="0.2">
      <c r="A3" s="2572" t="s">
        <v>1260</v>
      </c>
      <c r="B3" s="2572"/>
      <c r="C3" s="2572"/>
      <c r="D3" s="2572"/>
      <c r="E3" s="2572"/>
      <c r="F3" s="2572"/>
    </row>
    <row r="4" spans="1:7" ht="13.5" customHeight="1" x14ac:dyDescent="0.2">
      <c r="A4" s="2573" t="str">
        <f>'Single Audit Cover'!A4</f>
        <v>Year Ending June 30, 2020</v>
      </c>
      <c r="B4" s="2573"/>
      <c r="C4" s="2573"/>
      <c r="D4" s="2573"/>
      <c r="E4" s="2573"/>
      <c r="F4" s="2573"/>
    </row>
    <row r="5" spans="1:7" ht="8.25" customHeight="1" x14ac:dyDescent="0.2">
      <c r="C5" s="295"/>
      <c r="D5" s="295"/>
    </row>
    <row r="6" spans="1:7" ht="13.5" customHeight="1" x14ac:dyDescent="0.2">
      <c r="A6" s="1052" t="s">
        <v>1705</v>
      </c>
      <c r="C6" s="295"/>
      <c r="D6" s="295"/>
    </row>
    <row r="7" spans="1:7" ht="60.95" customHeight="1" x14ac:dyDescent="0.2">
      <c r="A7" s="2570" t="s">
        <v>1706</v>
      </c>
      <c r="B7" s="2570"/>
      <c r="C7" s="2570"/>
      <c r="D7" s="2570"/>
      <c r="E7" s="2570"/>
      <c r="F7" s="2570"/>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0" t="s">
        <v>1708</v>
      </c>
      <c r="B13" s="2570"/>
      <c r="C13" s="2570"/>
      <c r="D13" s="2570"/>
      <c r="E13" s="2570"/>
      <c r="F13" s="2570"/>
    </row>
    <row r="14" spans="1:7" ht="9.75" customHeight="1" x14ac:dyDescent="0.2">
      <c r="C14" s="1036"/>
      <c r="D14" s="1036"/>
    </row>
    <row r="15" spans="1:7" ht="13.5" customHeight="1" x14ac:dyDescent="0.2">
      <c r="C15" s="1476" t="s">
        <v>1259</v>
      </c>
      <c r="D15" s="2575" t="s">
        <v>1258</v>
      </c>
      <c r="E15" s="2575"/>
      <c r="F15" s="2575"/>
    </row>
    <row r="16" spans="1:7" ht="13.5" customHeight="1" x14ac:dyDescent="0.2">
      <c r="A16" s="1058"/>
      <c r="B16" s="1052" t="s">
        <v>1257</v>
      </c>
      <c r="C16" s="1476" t="s">
        <v>1256</v>
      </c>
      <c r="D16" s="2576" t="s">
        <v>1571</v>
      </c>
      <c r="E16" s="2576"/>
      <c r="F16" s="2576"/>
    </row>
    <row r="17" spans="1:6" ht="20.45" customHeight="1" x14ac:dyDescent="0.2">
      <c r="A17" s="1059"/>
      <c r="B17" s="1060"/>
      <c r="C17" s="1061"/>
      <c r="D17" s="2574"/>
      <c r="E17" s="2574"/>
      <c r="F17" s="2574"/>
    </row>
    <row r="18" spans="1:6" ht="20.65" customHeight="1" x14ac:dyDescent="0.2">
      <c r="A18" s="1059"/>
      <c r="B18" s="1060"/>
      <c r="C18" s="1061"/>
      <c r="D18" s="2574"/>
      <c r="E18" s="2574"/>
      <c r="F18" s="2574"/>
    </row>
    <row r="19" spans="1:6" ht="20.65" customHeight="1" x14ac:dyDescent="0.2">
      <c r="A19" s="1059"/>
      <c r="B19" s="1060"/>
      <c r="C19" s="1061"/>
      <c r="D19" s="2574"/>
      <c r="E19" s="2574"/>
      <c r="F19" s="2574"/>
    </row>
    <row r="20" spans="1:6" ht="20.65" customHeight="1" x14ac:dyDescent="0.2">
      <c r="A20" s="1059"/>
      <c r="B20" s="1060"/>
      <c r="C20" s="1061"/>
      <c r="D20" s="2574"/>
      <c r="E20" s="2574"/>
      <c r="F20" s="2574"/>
    </row>
    <row r="21" spans="1:6" ht="20.65" customHeight="1" x14ac:dyDescent="0.2">
      <c r="A21" s="1059"/>
      <c r="B21" s="1060"/>
      <c r="C21" s="1061"/>
      <c r="D21" s="2574"/>
      <c r="E21" s="2574"/>
      <c r="F21" s="2574"/>
    </row>
    <row r="22" spans="1:6" ht="20.65" customHeight="1" x14ac:dyDescent="0.2">
      <c r="A22" s="1059"/>
      <c r="B22" s="1060"/>
      <c r="C22" s="1061"/>
      <c r="D22" s="2574"/>
      <c r="E22" s="2574"/>
      <c r="F22" s="2574"/>
    </row>
    <row r="23" spans="1:6" ht="20.65" customHeight="1" x14ac:dyDescent="0.2">
      <c r="A23" s="1059"/>
      <c r="B23" s="1060"/>
      <c r="C23" s="1061"/>
      <c r="D23" s="2574"/>
      <c r="E23" s="2574"/>
      <c r="F23" s="2574"/>
    </row>
    <row r="24" spans="1:6" ht="20.65" customHeight="1" x14ac:dyDescent="0.2">
      <c r="A24" s="1059"/>
      <c r="B24" s="1060"/>
      <c r="C24" s="1061"/>
      <c r="D24" s="2574"/>
      <c r="E24" s="2574"/>
      <c r="F24" s="2574"/>
    </row>
    <row r="25" spans="1:6" ht="20.65" customHeight="1" x14ac:dyDescent="0.2">
      <c r="A25" s="1059"/>
      <c r="B25" s="1060"/>
      <c r="C25" s="1061"/>
      <c r="D25" s="2574"/>
      <c r="E25" s="2574"/>
      <c r="F25" s="2574"/>
    </row>
    <row r="26" spans="1:6" ht="20.65" customHeight="1" x14ac:dyDescent="0.2">
      <c r="A26" s="1059"/>
      <c r="B26" s="1060"/>
      <c r="C26" s="1061"/>
      <c r="D26" s="2574"/>
      <c r="E26" s="2574"/>
      <c r="F26" s="2574"/>
    </row>
    <row r="27" spans="1:6" ht="20.65" customHeight="1" x14ac:dyDescent="0.2">
      <c r="A27" s="1059"/>
      <c r="B27" s="1060"/>
      <c r="C27" s="1061"/>
      <c r="D27" s="2574"/>
      <c r="E27" s="2574"/>
      <c r="F27" s="2574"/>
    </row>
    <row r="28" spans="1:6" ht="20.65" customHeight="1" x14ac:dyDescent="0.2">
      <c r="A28" s="1059"/>
      <c r="B28" s="1060"/>
      <c r="C28" s="1061"/>
      <c r="D28" s="2574"/>
      <c r="E28" s="2574"/>
      <c r="F28" s="2574"/>
    </row>
    <row r="29" spans="1:6" ht="20.65" customHeight="1" x14ac:dyDescent="0.2">
      <c r="A29" s="1059"/>
      <c r="B29" s="1060"/>
      <c r="C29" s="1061"/>
      <c r="D29" s="2574"/>
      <c r="E29" s="2574"/>
      <c r="F29" s="2574"/>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8" t="s">
        <v>1709</v>
      </c>
      <c r="B32" s="2578"/>
      <c r="C32" s="2578"/>
      <c r="D32" s="2578"/>
      <c r="E32" s="2578"/>
      <c r="F32" s="2578"/>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79">
        <f>+C33+C34</f>
        <v>0</v>
      </c>
      <c r="F34" s="2580"/>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1" t="s">
        <v>1573</v>
      </c>
      <c r="C49" s="2581"/>
      <c r="D49" s="2581"/>
      <c r="E49" s="1168"/>
    </row>
    <row r="50" spans="1:5" s="1076" customFormat="1" ht="3.75" customHeight="1" x14ac:dyDescent="0.2">
      <c r="A50" s="1075"/>
      <c r="B50" s="1475"/>
      <c r="C50" s="1475"/>
      <c r="D50" s="1475"/>
      <c r="E50" s="1168"/>
    </row>
    <row r="51" spans="1:5" s="1076" customFormat="1" ht="20.25" customHeight="1" x14ac:dyDescent="0.2">
      <c r="A51" s="1077">
        <v>6</v>
      </c>
      <c r="B51" s="2577" t="s">
        <v>1534</v>
      </c>
      <c r="C51" s="2577"/>
      <c r="D51" s="2577"/>
    </row>
    <row r="52" spans="1:5" ht="14.25" customHeight="1" x14ac:dyDescent="0.2">
      <c r="A52" s="1077"/>
      <c r="B52" s="2577"/>
      <c r="C52" s="2577"/>
      <c r="D52" s="257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6" t="str">
        <f>'Single Audit Cover'!A7</f>
        <v xml:space="preserve">   Galva CUSD 224</v>
      </c>
      <c r="C1" s="2587"/>
      <c r="D1" s="2587"/>
      <c r="E1" s="2587"/>
      <c r="F1" s="2587"/>
      <c r="G1" s="2587"/>
      <c r="H1" s="2587"/>
      <c r="I1" s="2587"/>
      <c r="J1" s="1178"/>
    </row>
    <row r="2" spans="2:10" s="295" customFormat="1" ht="12.75" customHeight="1" x14ac:dyDescent="0.2">
      <c r="B2" s="2588">
        <f>'Single Audit Cover'!E7</f>
        <v>28037224026</v>
      </c>
      <c r="C2" s="2589"/>
      <c r="D2" s="2589"/>
      <c r="E2" s="2589"/>
      <c r="F2" s="2589"/>
      <c r="G2" s="2589"/>
      <c r="H2" s="2589"/>
      <c r="I2" s="2589"/>
      <c r="J2" s="1178"/>
    </row>
    <row r="3" spans="2:10" s="295" customFormat="1" ht="12.75" customHeight="1" x14ac:dyDescent="0.2">
      <c r="B3" s="2590" t="s">
        <v>1274</v>
      </c>
      <c r="C3" s="2591"/>
      <c r="D3" s="2591"/>
      <c r="E3" s="2591"/>
      <c r="F3" s="2591"/>
      <c r="G3" s="2591"/>
      <c r="H3" s="2591"/>
      <c r="I3" s="2591"/>
      <c r="J3" s="1179"/>
    </row>
    <row r="4" spans="2:10" s="295" customFormat="1" ht="12.75" customHeight="1" x14ac:dyDescent="0.2">
      <c r="B4" s="2590" t="str">
        <f>'Single Audit Cover'!A4</f>
        <v>Year Ending June 30, 2020</v>
      </c>
      <c r="C4" s="2591"/>
      <c r="D4" s="2591"/>
      <c r="E4" s="2591"/>
      <c r="F4" s="2591"/>
      <c r="G4" s="2591"/>
      <c r="H4" s="2591"/>
      <c r="I4" s="2591"/>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0" t="s">
        <v>1273</v>
      </c>
      <c r="C7" s="2591"/>
      <c r="D7" s="2591"/>
      <c r="E7" s="2591"/>
      <c r="F7" s="2591"/>
      <c r="G7" s="2591"/>
      <c r="H7" s="2591"/>
      <c r="I7" s="2591"/>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2"/>
      <c r="D11" s="2592"/>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593"/>
      <c r="E29" s="2593"/>
      <c r="F29" s="2593"/>
      <c r="G29" s="2593"/>
      <c r="H29" s="2593"/>
      <c r="I29" s="2593"/>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594" t="s">
        <v>1728</v>
      </c>
      <c r="D37" s="2595"/>
      <c r="E37" s="2595"/>
      <c r="F37" s="2596"/>
      <c r="G37" s="2594" t="s">
        <v>1575</v>
      </c>
      <c r="H37" s="2595"/>
      <c r="I37" s="2596"/>
    </row>
    <row r="38" spans="2:9" ht="16.5" customHeight="1" x14ac:dyDescent="0.2">
      <c r="B38" s="1200"/>
      <c r="C38" s="2582"/>
      <c r="D38" s="2583"/>
      <c r="E38" s="2583"/>
      <c r="F38" s="2584"/>
      <c r="G38" s="2597"/>
      <c r="H38" s="2598"/>
      <c r="I38" s="2599"/>
    </row>
    <row r="39" spans="2:9" ht="16.5" customHeight="1" x14ac:dyDescent="0.2">
      <c r="B39" s="1200"/>
      <c r="C39" s="2582"/>
      <c r="D39" s="2583"/>
      <c r="E39" s="2583"/>
      <c r="F39" s="2584"/>
      <c r="G39" s="2585"/>
      <c r="H39" s="2585"/>
      <c r="I39" s="2585"/>
    </row>
    <row r="40" spans="2:9" ht="16.5" customHeight="1" x14ac:dyDescent="0.2">
      <c r="B40" s="1200"/>
      <c r="C40" s="2582"/>
      <c r="D40" s="2583"/>
      <c r="E40" s="2583"/>
      <c r="F40" s="2584"/>
      <c r="G40" s="2585"/>
      <c r="H40" s="2585"/>
      <c r="I40" s="2585"/>
    </row>
    <row r="41" spans="2:9" ht="16.5" customHeight="1" x14ac:dyDescent="0.2">
      <c r="B41" s="1200"/>
      <c r="C41" s="2582"/>
      <c r="D41" s="2583"/>
      <c r="E41" s="2583"/>
      <c r="F41" s="2584"/>
      <c r="G41" s="2585"/>
      <c r="H41" s="2585"/>
      <c r="I41" s="2585"/>
    </row>
    <row r="42" spans="2:9" ht="16.5" customHeight="1" x14ac:dyDescent="0.2">
      <c r="B42" s="1200"/>
      <c r="C42" s="2582"/>
      <c r="D42" s="2583"/>
      <c r="E42" s="2583"/>
      <c r="F42" s="2584"/>
      <c r="G42" s="2585"/>
      <c r="H42" s="2585"/>
      <c r="I42" s="2585"/>
    </row>
    <row r="43" spans="2:9" ht="16.5" customHeight="1" x14ac:dyDescent="0.2">
      <c r="B43" s="1200"/>
      <c r="C43" s="2600" t="s">
        <v>1576</v>
      </c>
      <c r="D43" s="2601"/>
      <c r="E43" s="2601"/>
      <c r="F43" s="2602"/>
      <c r="G43" s="2603">
        <f>SUM(G38:I42)</f>
        <v>0</v>
      </c>
      <c r="H43" s="2603"/>
      <c r="I43" s="2603"/>
    </row>
    <row r="44" spans="2:9" ht="12.75" customHeight="1" x14ac:dyDescent="0.2"/>
    <row r="45" spans="2:9" ht="12.75" customHeight="1" x14ac:dyDescent="0.2">
      <c r="B45" s="1917" t="str">
        <f>"Total Federal Expenditures for 7/1/"&amp;MID('AFR20'!E2,3,2)-1&amp;"-6/30/"&amp;MID('AFR20'!E2,3,2)</f>
        <v>Total Federal Expenditures for 7/1/19-6/30/20</v>
      </c>
      <c r="C45" s="1918"/>
      <c r="D45" s="2604">
        <v>0</v>
      </c>
      <c r="E45" s="2605"/>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06"/>
      <c r="F49" s="2606"/>
      <c r="G49" s="2606"/>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6" t="str">
        <f>'Single Audit Cover'!A7</f>
        <v xml:space="preserve">   Galva CUSD 224</v>
      </c>
      <c r="C1" s="2586"/>
      <c r="D1" s="2586"/>
      <c r="E1" s="2586"/>
      <c r="F1" s="2586"/>
      <c r="G1" s="2586"/>
      <c r="H1" s="2586"/>
      <c r="I1" s="2586"/>
      <c r="J1" s="2586"/>
      <c r="K1" s="2586"/>
      <c r="L1" s="1144"/>
      <c r="M1" s="1144"/>
    </row>
    <row r="2" spans="1:13" ht="12" customHeight="1" x14ac:dyDescent="0.2">
      <c r="B2" s="2588">
        <f>'Single Audit Cover'!E7</f>
        <v>28037224026</v>
      </c>
      <c r="C2" s="2588"/>
      <c r="D2" s="2588"/>
      <c r="E2" s="2588"/>
      <c r="F2" s="2588"/>
      <c r="G2" s="2588"/>
      <c r="H2" s="2588"/>
      <c r="I2" s="2588"/>
      <c r="J2" s="2588"/>
      <c r="K2" s="2588"/>
      <c r="L2" s="1145"/>
      <c r="M2" s="1146"/>
    </row>
    <row r="3" spans="1:13" ht="10.35" customHeight="1" x14ac:dyDescent="0.2">
      <c r="B3" s="2609" t="s">
        <v>1274</v>
      </c>
      <c r="C3" s="2609"/>
      <c r="D3" s="2609"/>
      <c r="E3" s="2609"/>
      <c r="F3" s="2609"/>
      <c r="G3" s="2609"/>
      <c r="H3" s="2609"/>
      <c r="I3" s="2609"/>
      <c r="J3" s="2609"/>
      <c r="K3" s="2609"/>
      <c r="L3" s="1147"/>
      <c r="M3" s="1147"/>
    </row>
    <row r="4" spans="1:13" ht="14.25" customHeight="1" x14ac:dyDescent="0.2">
      <c r="B4" s="2610" t="str">
        <f>'Single Audit Cover'!A4</f>
        <v>Year Ending June 30, 2020</v>
      </c>
      <c r="C4" s="2610"/>
      <c r="D4" s="2610"/>
      <c r="E4" s="2610"/>
      <c r="F4" s="2610"/>
      <c r="G4" s="2610"/>
      <c r="H4" s="2610"/>
      <c r="I4" s="2610"/>
      <c r="J4" s="2610"/>
      <c r="K4" s="2610"/>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0" t="s">
        <v>1285</v>
      </c>
      <c r="C7" s="2610"/>
      <c r="D7" s="2611"/>
      <c r="E7" s="2611"/>
      <c r="F7" s="2611"/>
      <c r="G7" s="2611"/>
      <c r="H7" s="2611"/>
      <c r="I7" s="2611"/>
      <c r="J7" s="2611"/>
      <c r="K7" s="2611"/>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8"/>
      <c r="C14" s="2608"/>
      <c r="D14" s="2608"/>
      <c r="E14" s="2608"/>
      <c r="F14" s="2608"/>
      <c r="G14" s="2608"/>
      <c r="H14" s="2608"/>
      <c r="I14" s="2608"/>
      <c r="J14" s="2608"/>
      <c r="K14" s="2608"/>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8"/>
      <c r="C17" s="2608"/>
      <c r="D17" s="2608"/>
      <c r="E17" s="2608"/>
      <c r="F17" s="2608"/>
      <c r="G17" s="2608"/>
      <c r="H17" s="2608"/>
      <c r="I17" s="2608"/>
      <c r="J17" s="2608"/>
      <c r="K17" s="2608"/>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2"/>
      <c r="C20" s="2612"/>
      <c r="D20" s="2608"/>
      <c r="E20" s="2608"/>
      <c r="F20" s="2608"/>
      <c r="G20" s="2608"/>
      <c r="H20" s="2608"/>
      <c r="I20" s="2608"/>
      <c r="J20" s="2608"/>
      <c r="K20" s="2608"/>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8"/>
      <c r="C23" s="2608"/>
      <c r="D23" s="2608"/>
      <c r="E23" s="2608"/>
      <c r="F23" s="2608"/>
      <c r="G23" s="2608"/>
      <c r="H23" s="2608"/>
      <c r="I23" s="2608"/>
      <c r="J23" s="2608"/>
      <c r="K23" s="2608"/>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8"/>
      <c r="C26" s="2608"/>
      <c r="D26" s="2608"/>
      <c r="E26" s="2608"/>
      <c r="F26" s="2608"/>
      <c r="G26" s="2608"/>
      <c r="H26" s="2608"/>
      <c r="I26" s="2608"/>
      <c r="J26" s="2608"/>
      <c r="K26" s="2608"/>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7"/>
      <c r="C29" s="2607"/>
      <c r="D29" s="2608"/>
      <c r="E29" s="2608"/>
      <c r="F29" s="2608"/>
      <c r="G29" s="2608"/>
      <c r="H29" s="2608"/>
      <c r="I29" s="2608"/>
      <c r="J29" s="2608"/>
      <c r="K29" s="2608"/>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7"/>
      <c r="C32" s="2607"/>
      <c r="D32" s="2608"/>
      <c r="E32" s="2608"/>
      <c r="F32" s="2608"/>
      <c r="G32" s="2608"/>
      <c r="H32" s="2608"/>
      <c r="I32" s="2608"/>
      <c r="J32" s="2608"/>
      <c r="K32" s="2608"/>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3" t="str">
        <f>'Single Audit Cover'!A7</f>
        <v xml:space="preserve">   Galva CUSD 224</v>
      </c>
      <c r="C1" s="2613"/>
      <c r="D1" s="2613"/>
      <c r="E1" s="2613"/>
      <c r="F1" s="2613"/>
      <c r="G1" s="2613"/>
      <c r="H1" s="2613"/>
      <c r="I1" s="2613"/>
      <c r="J1" s="2613"/>
      <c r="K1" s="2613"/>
      <c r="L1" s="1221"/>
    </row>
    <row r="2" spans="1:12" ht="12.75" customHeight="1" x14ac:dyDescent="0.2">
      <c r="B2" s="2614">
        <f>'Single Audit Cover'!E7</f>
        <v>28037224026</v>
      </c>
      <c r="C2" s="2614"/>
      <c r="D2" s="2614"/>
      <c r="E2" s="2614"/>
      <c r="F2" s="2614"/>
      <c r="G2" s="2614"/>
      <c r="H2" s="2614"/>
      <c r="I2" s="2614"/>
      <c r="J2" s="2614"/>
      <c r="K2" s="2614"/>
      <c r="L2" s="1222"/>
    </row>
    <row r="3" spans="1:12" ht="12.75" customHeight="1" x14ac:dyDescent="0.2">
      <c r="B3" s="2609" t="s">
        <v>1274</v>
      </c>
      <c r="C3" s="2609"/>
      <c r="D3" s="2609"/>
      <c r="E3" s="2609"/>
      <c r="F3" s="2609"/>
      <c r="G3" s="2609"/>
      <c r="H3" s="2609"/>
      <c r="I3" s="2609"/>
      <c r="J3" s="2609"/>
      <c r="K3" s="2609"/>
      <c r="L3" s="1147"/>
    </row>
    <row r="4" spans="1:12" ht="12.75" customHeight="1" x14ac:dyDescent="0.2">
      <c r="B4" s="2609" t="str">
        <f>'Single Audit Cover'!A4</f>
        <v>Year Ending June 30, 2020</v>
      </c>
      <c r="C4" s="2609"/>
      <c r="D4" s="2609"/>
      <c r="E4" s="2609"/>
      <c r="F4" s="2609"/>
      <c r="G4" s="2609"/>
      <c r="H4" s="2609"/>
      <c r="I4" s="2609"/>
      <c r="J4" s="2609"/>
      <c r="K4" s="2609"/>
      <c r="L4" s="1147"/>
    </row>
    <row r="5" spans="1:12" ht="5.25" customHeight="1" x14ac:dyDescent="0.2">
      <c r="B5" s="1036" t="s">
        <v>1159</v>
      </c>
      <c r="C5" s="1036"/>
      <c r="L5" s="300"/>
    </row>
    <row r="6" spans="1:12" ht="30.75" customHeight="1" x14ac:dyDescent="0.2">
      <c r="A6" s="300"/>
      <c r="B6" s="2615" t="s">
        <v>1297</v>
      </c>
      <c r="C6" s="2615"/>
      <c r="D6" s="2615"/>
      <c r="E6" s="2615"/>
      <c r="F6" s="2615"/>
      <c r="G6" s="2615"/>
      <c r="H6" s="2615"/>
      <c r="I6" s="2615"/>
      <c r="J6" s="2615"/>
      <c r="K6" s="2615"/>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593"/>
      <c r="G12" s="2593"/>
      <c r="H12" s="2593"/>
      <c r="I12" s="2593"/>
      <c r="J12" s="2593"/>
      <c r="K12" s="2593"/>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6"/>
      <c r="E14" s="2616"/>
      <c r="F14" s="2616"/>
      <c r="H14" s="1230" t="s">
        <v>1292</v>
      </c>
      <c r="I14" s="2617"/>
      <c r="J14" s="2617"/>
      <c r="K14" s="2617"/>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7"/>
      <c r="E16" s="2617"/>
      <c r="F16" s="2617"/>
      <c r="G16" s="2617"/>
      <c r="H16" s="2617"/>
      <c r="I16" s="2617"/>
      <c r="J16" s="2617"/>
      <c r="K16" s="2617"/>
      <c r="L16" s="300"/>
    </row>
    <row r="17" spans="2:12" ht="13.5" customHeight="1" x14ac:dyDescent="0.2">
      <c r="B17" s="1156" t="s">
        <v>1290</v>
      </c>
      <c r="C17" s="1156"/>
      <c r="D17" s="2618"/>
      <c r="E17" s="2618"/>
      <c r="F17" s="2618"/>
      <c r="G17" s="2618"/>
      <c r="H17" s="2618"/>
      <c r="I17" s="2618"/>
      <c r="J17" s="2618"/>
      <c r="K17" s="2618"/>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08"/>
      <c r="C20" s="2608"/>
      <c r="D20" s="2608"/>
      <c r="E20" s="2608"/>
      <c r="F20" s="2608"/>
      <c r="G20" s="2608"/>
      <c r="H20" s="2608"/>
      <c r="I20" s="2608"/>
      <c r="J20" s="2608"/>
      <c r="K20" s="2608"/>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08"/>
      <c r="C23" s="2608"/>
      <c r="D23" s="2608"/>
      <c r="E23" s="2608"/>
      <c r="F23" s="2608"/>
      <c r="G23" s="2608"/>
      <c r="H23" s="2608"/>
      <c r="I23" s="2608"/>
      <c r="J23" s="2608"/>
      <c r="K23" s="2608"/>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08"/>
      <c r="C26" s="2608"/>
      <c r="D26" s="2608"/>
      <c r="E26" s="2608"/>
      <c r="F26" s="2608"/>
      <c r="G26" s="2608"/>
      <c r="H26" s="2608"/>
      <c r="I26" s="2608"/>
      <c r="J26" s="2608"/>
      <c r="K26" s="2608"/>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08"/>
      <c r="C29" s="2608"/>
      <c r="D29" s="2608"/>
      <c r="E29" s="2608"/>
      <c r="F29" s="2608"/>
      <c r="G29" s="2608"/>
      <c r="H29" s="2608"/>
      <c r="I29" s="2608"/>
      <c r="J29" s="2608"/>
      <c r="K29" s="2608"/>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08"/>
      <c r="C32" s="2608"/>
      <c r="D32" s="2608"/>
      <c r="E32" s="2608"/>
      <c r="F32" s="2608"/>
      <c r="G32" s="2608"/>
      <c r="H32" s="2608"/>
      <c r="I32" s="2608"/>
      <c r="J32" s="2608"/>
      <c r="K32" s="2608"/>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08"/>
      <c r="C35" s="2608"/>
      <c r="D35" s="2608"/>
      <c r="E35" s="2608"/>
      <c r="F35" s="2608"/>
      <c r="G35" s="2608"/>
      <c r="H35" s="2608"/>
      <c r="I35" s="2608"/>
      <c r="J35" s="2608"/>
      <c r="K35" s="2608"/>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08"/>
      <c r="C38" s="2608"/>
      <c r="D38" s="2608"/>
      <c r="E38" s="2608"/>
      <c r="F38" s="2608"/>
      <c r="G38" s="2608"/>
      <c r="H38" s="2608"/>
      <c r="I38" s="2608"/>
      <c r="J38" s="2608"/>
      <c r="K38" s="2608"/>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08"/>
      <c r="C41" s="2608"/>
      <c r="D41" s="2608"/>
      <c r="E41" s="2608"/>
      <c r="F41" s="2608"/>
      <c r="G41" s="2608"/>
      <c r="H41" s="2608"/>
      <c r="I41" s="2608"/>
      <c r="J41" s="2608"/>
      <c r="K41" s="2608"/>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6" t="str">
        <f>'Single Audit Cover'!A7</f>
        <v xml:space="preserve">   Galva CUSD 224</v>
      </c>
      <c r="C1" s="2586"/>
      <c r="D1" s="2586"/>
      <c r="E1" s="1240"/>
    </row>
    <row r="2" spans="2:5" s="1058" customFormat="1" ht="12.75" customHeight="1" x14ac:dyDescent="0.2">
      <c r="B2" s="2588">
        <f>'Single Audit Cover'!E7</f>
        <v>28037224026</v>
      </c>
      <c r="C2" s="2588"/>
      <c r="D2" s="2588"/>
      <c r="E2" s="1241"/>
    </row>
    <row r="3" spans="2:5" ht="12.75" customHeight="1" x14ac:dyDescent="0.2">
      <c r="B3" s="2609" t="s">
        <v>1743</v>
      </c>
      <c r="C3" s="2609"/>
      <c r="D3" s="2609"/>
      <c r="E3" s="1050"/>
    </row>
    <row r="4" spans="2:5" s="1058" customFormat="1" ht="12.75" customHeight="1" x14ac:dyDescent="0.2">
      <c r="B4" s="2619" t="str">
        <f>'Single Audit Cover'!A4</f>
        <v>Year Ending June 30, 2020</v>
      </c>
      <c r="C4" s="2619"/>
      <c r="D4" s="2619"/>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t="s">
        <v>2076</v>
      </c>
      <c r="C7" s="302" t="s">
        <v>2075</v>
      </c>
      <c r="D7" s="302" t="s">
        <v>2077</v>
      </c>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elements/1.1/"/>
    <ds:schemaRef ds:uri="http://purl.org/dc/terms/"/>
    <ds:schemaRef ds:uri="http://schemas.microsoft.com/office/2006/metadata/properties"/>
    <ds:schemaRef ds:uri="6ce3111e-7420-4802-b50a-75d4e9a0b980"/>
    <ds:schemaRef ds:uri="http://schemas.microsoft.com/office/2006/documentManagement/types"/>
    <ds:schemaRef ds:uri="http://schemas.microsoft.com/office/infopath/2007/PartnerControls"/>
    <ds:schemaRef ds:uri="http://schemas.openxmlformats.org/package/2006/metadata/core-properties"/>
    <ds:schemaRef ds:uri="4d435f69-8686-490b-bd6d-b153bf22ab50"/>
    <ds:schemaRef ds:uri="d21dc803-237d-4c68-8692-8d731fd29118"/>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2020-10-12T19:12:05Z</cp:lastPrinted>
  <dcterms:created xsi:type="dcterms:W3CDTF">2003-10-29T19:06:34Z</dcterms:created>
  <dcterms:modified xsi:type="dcterms:W3CDTF">2020-11-12T01:49:28Z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