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B98EAED-1650-4244-9DBB-619CF491D8D4}" xr6:coauthVersionLast="36" xr6:coauthVersionMax="36" xr10:uidLastSave="{00000000-0000-0000-0000-000000000000}"/>
  <bookViews>
    <workbookView xWindow="28680" yWindow="-120" windowWidth="2424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2" i="184" l="1"/>
  <c r="C39" i="3" l="1"/>
  <c r="G39" i="3" l="1"/>
  <c r="L38" i="3" l="1"/>
  <c r="L4" i="3"/>
  <c r="M63" i="184" l="1"/>
  <c r="G63" i="184"/>
  <c r="D19" i="183"/>
  <c r="D18" i="183"/>
  <c r="D10" i="11"/>
  <c r="J32" i="8" l="1"/>
  <c r="E6" i="7" l="1"/>
  <c r="H14" i="29" l="1"/>
  <c r="C9" i="4"/>
  <c r="D268" i="29" l="1"/>
  <c r="D264" i="29"/>
  <c r="D246" i="29"/>
  <c r="D245" i="29"/>
  <c r="D234" i="29"/>
  <c r="D233" i="29"/>
  <c r="D223" i="29"/>
  <c r="D219" i="29"/>
  <c r="D217" i="29"/>
  <c r="D215" i="29"/>
  <c r="F124" i="29"/>
  <c r="H55" i="29"/>
  <c r="C55" i="29"/>
  <c r="C50" i="29"/>
  <c r="C49" i="29"/>
  <c r="E49" i="29"/>
  <c r="C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D68" i="36" l="1"/>
  <c r="H33" i="118"/>
  <c r="H342" i="29"/>
  <c r="I210" i="29"/>
  <c r="B7071" i="106" s="1"/>
  <c r="D7071" i="106" s="1"/>
  <c r="H365" i="29"/>
  <c r="B7242" i="106" s="1"/>
  <c r="D7242" i="106" s="1"/>
  <c r="F42" i="34"/>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81" i="106" l="1"/>
  <c r="D1381" i="106" s="1"/>
  <c r="F41" i="108"/>
  <c r="G43" i="108" s="1"/>
  <c r="B6216" i="106"/>
  <c r="D6216" i="106" s="1"/>
  <c r="D44" i="36"/>
  <c r="N23" i="3"/>
  <c r="B284" i="106" s="1"/>
  <c r="D284" i="106" s="1"/>
  <c r="L16" i="11"/>
  <c r="B2061" i="106" s="1"/>
  <c r="D2061" i="106" s="1"/>
  <c r="L114" i="29"/>
  <c r="H19" i="184"/>
  <c r="L20" i="184" s="1"/>
  <c r="K342" i="29"/>
  <c r="F13" i="34" s="1"/>
  <c r="G170" i="5"/>
  <c r="B5778" i="106" s="1"/>
  <c r="D5778" i="106" s="1"/>
  <c r="N57" i="184"/>
  <c r="N68" i="184" s="1"/>
  <c r="E68" i="184"/>
  <c r="E19" i="184"/>
  <c r="E367" i="29"/>
  <c r="B3635" i="106"/>
  <c r="B1328" i="106"/>
  <c r="D1328" i="106" s="1"/>
  <c r="B7220" i="106"/>
  <c r="D7220" i="106" s="1"/>
  <c r="F75" i="34"/>
  <c r="B7886" i="106" s="1"/>
  <c r="D7886" i="106" s="1"/>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G6" i="4" l="1"/>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B6223" i="106"/>
  <c r="D6223" i="106" s="1"/>
  <c r="J20" i="4"/>
  <c r="J78" i="4"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<sst xmlns="http://schemas.openxmlformats.org/spreadsheetml/2006/main" count="5159" uniqueCount="2088">
  <si>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</si>
  <si>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</si>
  <si>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</si>
  <si>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</si>
  <si>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</si>
  <si>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</si>
  <si>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</si>
  <si>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</si>
  <si>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</si>
  <si>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</si>
  <si>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</si>
  <si>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</si>
  <si>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</si>
  <si>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</si>
  <si>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</si>
  <si>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</si>
  <si>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</si>
  <si>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</si>
  <si>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</si>
  <si>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</si>
  <si>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</si>
  <si>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</si>
  <si>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</si>
  <si>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</si>
  <si>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</si>
  <si>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</si>
  <si>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</si>
  <si>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</si>
  <si>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</si>
  <si>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</si>
  <si>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</si>
  <si>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</si>
  <si>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</si>
  <si>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</si>
  <si>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</si>
  <si>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</si>
  <si>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</si>
  <si>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</si>
  <si>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</si>
  <si>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</si>
  <si>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</si>
  <si>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</si>
  <si>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</si>
  <si>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</si>
  <si>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</si>
  <si>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</si>
  <si>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</si>
  <si>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</si>
  <si>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</si>
  <si>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</si>
  <si>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</si>
  <si>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</si>
  <si>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</si>
  <si>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</si>
  <si>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</si>
  <si>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</si>
  <si>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</si>
  <si>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</si>
  <si>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</si>
  <si>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</si>
  <si>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</si>
  <si>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</si>
  <si>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</si>
  <si>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</si>
  <si>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</si>
  <si>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</si>
  <si>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</si>
  <si>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</si>
  <si>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</si>
  <si>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</si>
  <si>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</si>
  <si>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</si>
  <si>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</si>
  <si>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</si>
  <si>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</si>
  <si>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</si>
  <si>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</si>
  <si>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</si>
  <si>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</si>
  <si>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</si>
  <si>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</si>
  <si>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</si>
  <si>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</si>
  <si>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</si>
  <si>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</si>
  <si>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</si>
  <si>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</si>
  <si>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</si>
  <si>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</si>
  <si>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</si>
  <si>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</si>
  <si>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</si>
  <si>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</si>
  <si>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</si>
  <si>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</si>
  <si>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</si>
  <si>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</si>
  <si>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</si>
  <si>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</si>
  <si>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</si>
  <si>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</si>
  <si>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</si>
  <si>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</si>
  <si>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</si>
  <si>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</si>
  <si>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</si>
  <si>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</si>
  <si>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</si>
  <si>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</si>
  <si>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</si>
  <si>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</si>
  <si>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</si>
  <si>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</si>
  <si>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</si>
  <si>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</si>
  <si>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</si>
  <si>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</si>
  <si>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</si>
  <si>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</si>
  <si>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</si>
  <si>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</si>
  <si>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</si>
  <si>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</si>
  <si>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</si>
  <si>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</si>
  <si>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</si>
  <si>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</si>
  <si>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</si>
  <si>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</si>
  <si>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</si>
  <si>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</si>
  <si>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</si>
  <si>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</si>
  <si>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</si>
  <si>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</si>
  <si>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</si>
  <si>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</si>
  <si>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</si>
  <si>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</si>
  <si>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</si>
  <si>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</si>
  <si>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</si>
  <si>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</si>
  <si>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</si>
  <si>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</si>
  <si>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</si>
  <si>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</si>
  <si>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</si>
  <si>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</si>
  <si>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</si>
  <si>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</si>
  <si>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</si>
  <si>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</si>
  <si>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</si>
  <si>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</si>
  <si>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</si>
  <si>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</si>
  <si>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</si>
  <si>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</si>
  <si>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</si>
  <si>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</si>
  <si>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</si>
  <si>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</si>
  <si>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</si>
  <si>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</si>
  <si>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</si>
  <si>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</si>
  <si>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</si>
  <si>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</si>
  <si>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</si>
  <si>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</si>
  <si>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</si>
  <si>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</si>
  <si>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</si>
  <si>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</si>
  <si>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</si>
  <si>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</si>
  <si>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</si>
  <si>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</si>
  <si>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</si>
  <si>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</si>
  <si>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</si>
  <si>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</si>
  <si>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</si>
  <si>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</si>
  <si>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</si>
  <si>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</si>
  <si>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</si>
  <si>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</si>
  <si>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</si>
  <si>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</si>
  <si>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</si>
  <si>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</si>
  <si>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</si>
  <si>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</si>
  <si>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</si>
  <si>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</si>
  <si>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</si>
  <si>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</si>
  <si>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</si>
  <si>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</si>
  <si>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</si>
  <si>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</si>
  <si>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</si>
  <si>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</si>
  <si>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</si>
  <si>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</si>
  <si>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</si>
  <si>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</si>
  <si>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</si>
  <si>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</si>
  <si>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</si>
  <si>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</si>
  <si>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</si>
  <si>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</si>
  <si>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</si>
  <si>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</si>
  <si>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</si>
  <si>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</si>
  <si>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</si>
  <si>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</si>
  <si>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</si>
  <si>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</si>
  <si>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</si>
  <si>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</si>
  <si>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</si>
  <si>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</si>
  <si>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</si>
  <si>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</si>
  <si>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</si>
  <si>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</si>
  <si>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</si>
  <si>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</si>
  <si>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</si>
  <si>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</si>
  <si>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</si>
  <si>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</si>
  <si>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</si>
  <si>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</si>
  <si>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</si>
  <si>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</si>
  <si>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</si>
  <si>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</si>
  <si>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</si>
  <si>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</si>
  <si>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</si>
  <si>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</si>
  <si>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</si>
  <si>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</si>
  <si>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</si>
  <si>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</si>
  <si>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</si>
  <si>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</si>
  <si>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</si>
  <si>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</si>
  <si>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</si>
  <si>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</si>
  <si>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</si>
  <si>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</si>
  <si>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</si>
  <si>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</si>
  <si>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</si>
  <si>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</si>
  <si>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</si>
  <si>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</si>
  <si>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</si>
  <si>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</si>
  <si>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</si>
  <si>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</si>
  <si>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</si>
  <si>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</si>
  <si>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</si>
  <si>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</si>
  <si>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</si>
  <si>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</si>
  <si>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</si>
  <si>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</si>
  <si>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</si>
  <si>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</si>
  <si>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</si>
  <si>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</si>
  <si>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</si>
  <si>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</si>
  <si>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</si>
  <si>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</si>
  <si>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</si>
  <si>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</si>
  <si>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</si>
  <si>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</si>
  <si>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</si>
  <si>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</si>
  <si>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</si>
  <si>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</si>
  <si>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</si>
  <si>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</si>
  <si>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</si>
  <si>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</si>
  <si>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</si>
  <si>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</si>
  <si>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</si>
  <si>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</si>
  <si>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</si>
  <si>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</si>
  <si>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</si>
  <si>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</si>
  <si>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</si>
  <si>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</si>
  <si>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</si>
  <si>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</si>
  <si>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</si>
  <si>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</si>
  <si>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</si>
  <si>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</si>
  <si>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</si>
  <si>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</si>
  <si>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</si>
  <si>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</si>
  <si>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</si>
  <si>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</si>
  <si>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</si>
  <si>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</si>
  <si>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</si>
  <si>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</si>
  <si>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</si>
  <si>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</si>
  <si>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</si>
  <si>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</si>
  <si>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</si>
  <si>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</si>
  <si>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</si>
  <si>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</si>
  <si>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</si>
  <si>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</si>
  <si>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</si>
  <si>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</si>
  <si>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</si>
  <si>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</si>
  <si>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</si>
  <si>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</si>
  <si>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</si>
  <si>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</si>
  <si>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</si>
  <si>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</si>
  <si>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</si>
  <si>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</si>
  <si>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</si>
  <si>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</si>
  <si>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</si>
  <si>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</si>
  <si>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</si>
  <si>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</si>
  <si>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</si>
  <si>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</si>
  <si>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</si>
  <si>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</si>
  <si>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</si>
  <si>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</si>
  <si>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</si>
  <si>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</si>
  <si>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</si>
  <si>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</si>
  <si>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</si>
  <si>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</si>
  <si>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</si>
  <si>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</si>
  <si>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</si>
  <si>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</si>
  <si>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</si>
  <si>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</si>
  <si>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</si>
  <si>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</si>
  <si>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</si>
  <si>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</si>
  <si>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</si>
  <si>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</si>
  <si>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</si>
  <si>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</si>
  <si>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</si>
  <si>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</si>
  <si>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</si>
  <si>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</si>
  <si>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</si>
  <si>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</si>
  <si>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</si>
  <si>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</si>
  <si>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</si>
  <si>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</si>
  <si>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</si>
  <si>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</si>
  <si>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</si>
  <si>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</si>
  <si>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</si>
  <si>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</si>
  <si>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</si>
  <si>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</si>
  <si>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</si>
  <si>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</si>
  <si>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</si>
  <si>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</si>
  <si>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</si>
  <si>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</si>
  <si>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</si>
  <si>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</si>
  <si>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</si>
  <si>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</si>
  <si>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</si>
  <si>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</si>
  <si>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</si>
  <si>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</si>
  <si>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</si>
  <si>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</si>
  <si>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</si>
  <si>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</si>
  <si>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</si>
  <si>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</si>
  <si>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</si>
  <si>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</si>
  <si>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</si>
  <si>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</si>
  <si>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</si>
  <si>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</si>
  <si>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</si>
  <si>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</si>
  <si>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</si>
  <si>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</si>
  <si>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</si>
  <si>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</si>
  <si>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</si>
  <si>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</si>
  <si>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</si>
  <si>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</si>
  <si>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</si>
  <si>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</si>
  <si>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</si>
  <si>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</si>
  <si>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</si>
  <si>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</si>
  <si>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</si>
  <si>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</si>
  <si>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</si>
  <si>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</si>
  <si>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</si>
  <si>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</si>
  <si>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</si>
  <si>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</si>
  <si>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</si>
  <si>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</si>
  <si>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</si>
  <si>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</si>
  <si>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</si>
  <si>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</si>
  <si>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</si>
  <si>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</si>
  <si>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</si>
  <si>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</si>
  <si>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</si>
  <si>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</si>
  <si>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</si>
  <si>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</si>
  <si>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</si>
  <si>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</si>
  <si>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</si>
  <si>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</si>
  <si>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</si>
  <si>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</si>
  <si>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</si>
  <si>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</si>
  <si>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</si>
  <si>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</si>
  <si>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</si>
  <si>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</si>
  <si>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</si>
  <si>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</si>
  <si>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</si>
  <si>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</si>
  <si>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</si>
  <si>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</si>
  <si>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</si>
  <si>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</si>
  <si>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</si>
  <si>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</si>
  <si>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</si>
  <si>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</si>
  <si>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</si>
  <si>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</si>
  <si>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</si>
  <si>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</si>
  <si>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</si>
  <si>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</si>
  <si>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</si>
  <si>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</si>
  <si>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</si>
  <si>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</si>
  <si>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</si>
  <si>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</si>
  <si>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</si>
  <si>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</si>
  <si>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</si>
  <si>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</si>
  <si>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</si>
  <si>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</si>
  <si>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</si>
  <si>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</si>
  <si>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</si>
  <si>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</si>
  <si>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</si>
  <si>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</si>
  <si>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</si>
  <si>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</si>
  <si>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</si>
  <si>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</si>
  <si>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</si>
  <si>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</si>
  <si>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</si>
  <si>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</si>
  <si>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</si>
  <si>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</si>
  <si>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</si>
  <si>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</si>
  <si>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</si>
  <si>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</si>
  <si>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</si>
  <si>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</si>
  <si>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</si>
  <si>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</si>
  <si>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</si>
  <si>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</si>
  <si>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</si>
  <si>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</si>
  <si>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</si>
  <si>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</si>
  <si>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</si>
  <si>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</si>
  <si>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</si>
  <si>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</si>
  <si>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</si>
  <si>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</si>
  <si>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</si>
  <si>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</si>
  <si>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</si>
  <si>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</si>
  <si>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</si>
  <si>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</si>
  <si>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</si>
  <si>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</si>
  <si>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</si>
  <si>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</si>
  <si>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</si>
  <si>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</si>
  <si>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</si>
  <si>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</si>
  <si>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</si>
  <si>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</si>
  <si>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</si>
  <si>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</si>
  <si>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</si>
  <si>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</si>
  <si>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</si>
  <si>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</si>
  <si>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</si>
  <si>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</si>
  <si>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</si>
  <si>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</si>
  <si>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</si>
  <si>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</si>
  <si>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</si>
  <si>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</si>
  <si>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</si>
  <si>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</si>
  <si>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</si>
  <si>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</si>
  <si>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</si>
  <si>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</si>
  <si>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</si>
  <si>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</si>
  <si>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</si>
  <si>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</si>
  <si>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</si>
  <si>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</si>
  <si>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</si>
  <si>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</si>
  <si>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</si>
  <si>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</si>
  <si>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</si>
  <si>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</si>
  <si>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</si>
  <si>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</si>
  <si>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</si>
  <si>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</si>
  <si>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</si>
  <si>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</si>
  <si>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</si>
  <si>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</si>
  <si>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</si>
  <si>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</si>
  <si>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</si>
  <si>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</si>
  <si>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</si>
  <si>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</si>
  <si>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</si>
  <si>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</si>
  <si>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</si>
  <si>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</si>
  <si>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</si>
  <si>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</si>
  <si>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</si>
  <si>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</si>
  <si>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</si>
  <si>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</si>
  <si>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</si>
  <si>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</si>
  <si>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</si>
  <si>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</si>
  <si>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</si>
  <si>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</si>
  <si>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</si>
  <si>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</si>
  <si>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</si>
  <si>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</si>
  <si>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</si>
  <si>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</si>
  <si>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</si>
  <si>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</si>
  <si>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</si>
  <si>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</si>
  <si>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</si>
  <si>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</si>
  <si>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</si>
  <si>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</si>
  <si>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</si>
  <si>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</si>
  <si>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</si>
  <si>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</si>
  <si>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</si>
  <si>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</si>
  <si>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</si>
  <si>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</si>
  <si>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</si>
  <si>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</si>
  <si>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</si>
  <si>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</si>
  <si>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</si>
  <si>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</si>
  <si>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</si>
  <si>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</si>
  <si>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</si>
  <si>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</si>
  <si>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</si>
  <si>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</si>
  <si>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</si>
  <si>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</si>
  <si>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</si>
  <si>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</si>
  <si>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</si>
  <si>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</si>
  <si>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</si>
  <si>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</si>
  <si>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</si>
  <si>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</si>
  <si>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</si>
  <si>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</si>
  <si>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</si>
  <si>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</si>
  <si>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</si>
  <si>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</si>
  <si>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</si>
  <si>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</si>
  <si>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</si>
  <si>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</si>
  <si>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</si>
  <si>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</si>
  <si>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</si>
  <si>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</si>
  <si>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</si>
  <si>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</si>
  <si>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</si>
  <si>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</si>
  <si>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</si>
  <si>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</si>
  <si>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</si>
  <si>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</si>
  <si>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</si>
  <si>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</si>
  <si>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</si>
  <si>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</si>
  <si>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</si>
  <si>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</si>
  <si>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</si>
  <si>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</si>
  <si>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</si>
  <si>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</si>
  <si>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</si>
  <si>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</si>
  <si>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</si>
  <si>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</si>
  <si>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</si>
  <si>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</si>
  <si>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</si>
  <si>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</si>
  <si>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</si>
  <si>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</si>
  <si>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</si>
  <si>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</si>
  <si>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</si>
  <si>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</si>
  <si>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</si>
  <si>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</si>
  <si>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</si>
  <si>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</si>
  <si>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</si>
  <si>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</si>
  <si>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</si>
  <si>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</si>
  <si>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</si>
  <si>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</si>
  <si>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</si>
  <si>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</si>
  <si>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</si>
  <si>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</si>
  <si>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</si>
  <si>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</si>
  <si>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</si>
  <si>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</si>
  <si>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</si>
  <si>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</si>
  <si>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</si>
  <si>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</si>
  <si>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</si>
  <si>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</si>
  <si>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</si>
  <si>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</si>
  <si>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</si>
  <si>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</si>
  <si>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</si>
  <si>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</si>
  <si>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</si>
  <si>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</si>
  <si>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</si>
  <si>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</si>
  <si>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</si>
  <si>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</si>
  <si>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</si>
  <si>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</si>
  <si>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</si>
  <si>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</si>
  <si>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</si>
  <si>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</si>
  <si>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</si>
  <si>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</si>
  <si>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</si>
  <si>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</si>
  <si>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</si>
  <si>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</si>
  <si>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</si>
  <si>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</si>
  <si>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</si>
  <si>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</si>
  <si>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</si>
  <si>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</si>
  <si>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</si>
  <si>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</si>
  <si>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</si>
  <si>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</si>
  <si>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</si>
  <si>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</si>
  <si>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</si>
  <si>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</si>
  <si>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</si>
  <si>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</si>
  <si>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</si>
  <si>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</si>
  <si>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</si>
  <si>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</si>
  <si>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</si>
  <si>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</si>
  <si>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</si>
  <si>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</si>
  <si>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</si>
  <si>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</si>
  <si>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</si>
  <si>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</si>
  <si>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</si>
  <si>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</si>
  <si>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</si>
  <si>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</si>
  <si>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</si>
  <si>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</si>
  <si>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</si>
  <si>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</si>
  <si>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</si>
  <si>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</si>
  <si>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</si>
  <si>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</si>
  <si>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</si>
  <si>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</si>
  <si>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</si>
  <si>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</si>
  <si>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</si>
  <si>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</si>
  <si>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</si>
  <si>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</si>
  <si>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</si>
  <si>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</si>
  <si>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</si>
  <si>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</si>
  <si>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</si>
  <si>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</si>
  <si>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</si>
  <si>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</si>
  <si>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</si>
  <si>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</si>
  <si>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</si>
  <si>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</si>
  <si>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</si>
  <si>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</si>
  <si>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</si>
  <si>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</si>
  <si>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</si>
  <si>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</si>
  <si>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</si>
  <si>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</si>
  <si>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</si>
  <si>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</si>
  <si>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</si>
  <si>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</si>
  <si>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</si>
  <si>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</si>
  <si>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</si>
  <si>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</si>
  <si>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</si>
  <si>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</si>
  <si>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</si>
  <si>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</si>
  <si>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</si>
  <si>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</si>
  <si>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</si>
  <si>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</si>
  <si>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</si>
  <si>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</si>
  <si>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</si>
  <si>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</si>
  <si>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</si>
  <si>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</si>
  <si>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</si>
  <si>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</si>
  <si>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</si>
  <si>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</si>
  <si>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</si>
  <si>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</si>
  <si>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</si>
  <si>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</si>
  <si>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</si>
  <si>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</si>
  <si>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</si>
  <si>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</si>
  <si>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</si>
  <si>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</si>
  <si>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</si>
  <si>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</si>
  <si>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</si>
  <si>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</si>
  <si>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</si>
  <si>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</si>
  <si>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</si>
  <si>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</si>
  <si>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</si>
  <si>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</si>
  <si>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</si>
  <si>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</si>
  <si>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</si>
  <si>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</si>
  <si>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</si>
  <si>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</si>
  <si>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</si>
  <si>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</si>
  <si>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</si>
  <si>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</si>
  <si>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</si>
  <si>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</si>
  <si>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</si>
  <si>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</si>
  <si>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</si>
  <si>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</si>
  <si>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</si>
  <si>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</si>
  <si>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</si>
  <si>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</si>
  <si>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</si>
  <si>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</si>
  <si>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</si>
  <si>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</si>
  <si>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</si>
  <si>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</si>
  <si>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</si>
  <si>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</si>
  <si>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</si>
  <si>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</si>
  <si>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</si>
  <si>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</si>
  <si>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</si>
  <si>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</si>
  <si>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</si>
  <si>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</si>
  <si>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</si>
  <si>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</si>
  <si>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</si>
  <si>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</si>
  <si>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</si>
  <si>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</si>
  <si>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</si>
  <si>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</si>
  <si>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</si>
  <si>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</si>
  <si>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</si>
  <si>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</si>
  <si>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</si>
  <si>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</si>
  <si>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</si>
  <si>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</si>
  <si>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</si>
  <si>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</si>
  <si>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</si>
  <si>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</si>
  <si>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</si>
  <si>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</si>
  <si>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</si>
  <si>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</si>
  <si>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</si>
  <si>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</si>
  <si>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</si>
  <si>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</si>
  <si>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</si>
  <si>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</si>
  <si>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</si>
  <si>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</si>
  <si>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</si>
  <si>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</si>
  <si>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</si>
  <si>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</si>
  <si>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</si>
  <si>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</si>
  <si>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</si>
  <si>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</si>
  <si>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</si>
  <si>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</si>
  <si>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</si>
  <si>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</si>
  <si>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</si>
  <si>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</si>
  <si>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</si>
  <si>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</si>
  <si>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</si>
  <si>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</si>
  <si>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</si>
  <si>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</si>
  <si>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</si>
  <si>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</si>
  <si>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</si>
  <si>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</si>
  <si>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</si>
  <si>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</si>
  <si>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</si>
  <si>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</si>
  <si>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</si>
  <si>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</si>
  <si>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</si>
  <si>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</si>
  <si>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</si>
  <si>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</si>
  <si>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</si>
  <si>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</si>
  <si>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</si>
  <si>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</si>
  <si>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</si>
  <si>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</si>
  <si>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</si>
  <si>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</si>
  <si>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</si>
  <si>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</si>
  <si>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</si>
  <si>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</si>
  <si>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</si>
  <si>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</si>
  <si>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</si>
  <si>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</si>
  <si>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</si>
  <si>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</si>
  <si>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</si>
  <si>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</si>
  <si>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</si>
  <si>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</si>
  <si>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</si>
  <si>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</si>
  <si>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</si>
  <si>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</si>
  <si>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</si>
  <si>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</si>
  <si>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</si>
  <si>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</si>
  <si>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</si>
  <si>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</si>
  <si>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</si>
  <si>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</si>
  <si>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</si>
  <si>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</si>
  <si>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</si>
  <si>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</si>
  <si>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</si>
  <si>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</si>
  <si>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</si>
  <si>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</si>
  <si>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</si>
  <si>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</si>
  <si>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</si>
  <si>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</si>
  <si>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</si>
  <si>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</si>
  <si>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</si>
  <si>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</si>
  <si>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</si>
  <si>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</si>
  <si>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</si>
  <si>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</si>
  <si>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</si>
  <si>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</si>
  <si>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</si>
  <si>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</si>
  <si>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</si>
  <si>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</si>
  <si>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</si>
  <si>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</si>
  <si>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</si>
  <si>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</si>
  <si>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</si>
  <si>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</si>
  <si>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</si>
  <si>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</si>
  <si>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</si>
  <si>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</si>
  <si>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</si>
  <si>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</si>
  <si>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</si>
  <si>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</si>
  <si>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</si>
  <si>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</si>
  <si>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</si>
  <si>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</si>
  <si>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</si>
  <si>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</si>
  <si>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</si>
  <si>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</si>
  <si>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</si>
  <si>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</si>
  <si>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</si>
  <si>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</si>
  <si>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</si>
  <si>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</si>
  <si>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</si>
  <si>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</si>
  <si>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</si>
  <si>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</si>
  <si>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</si>
  <si>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</si>
  <si>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</si>
  <si>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</si>
  <si>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</si>
  <si>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</si>
  <si>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</si>
  <si>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</si>
  <si>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</si>
  <si>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</si>
  <si>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</si>
  <si>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</si>
  <si>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</si>
  <si>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</si>
  <si>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</si>
  <si>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</si>
  <si>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</si>
  <si>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</si>
  <si>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</si>
  <si>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</si>
  <si>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</si>
  <si>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</si>
  <si>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</si>
  <si>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</si>
  <si>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</si>
  <si>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</si>
  <si>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</si>
  <si>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</si>
  <si>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</si>
  <si>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</si>
  <si>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</si>
  <si>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</si>
  <si>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</si>
  <si>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</si>
  <si>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</si>
  <si>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</si>
  <si>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</si>
  <si>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</si>
  <si>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</si>
  <si>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</si>
  <si>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</si>
  <si>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</si>
  <si>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</si>
  <si>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</si>
  <si>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</si>
  <si>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</si>
  <si>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</si>
  <si>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</si>
  <si>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</si>
  <si>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</si>
  <si>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</si>
  <si>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</si>
  <si>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</si>
  <si>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</si>
  <si>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</si>
  <si>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</si>
  <si>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</si>
  <si>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</si>
  <si>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</si>
  <si>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</si>
  <si>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</si>
  <si>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</si>
  <si>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</si>
  <si>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</si>
  <si>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</si>
  <si>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</si>
  <si>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</si>
  <si>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</si>
  <si>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</si>
  <si>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</si>
  <si>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</si>
  <si>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</si>
  <si>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</si>
  <si>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</si>
  <si>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</si>
  <si>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</si>
  <si>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</si>
  <si>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</si>
  <si>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</si>
  <si>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</si>
  <si>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</si>
  <si>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</si>
  <si>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</si>
  <si>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</si>
  <si>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</si>
  <si>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</si>
  <si>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</si>
  <si>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</si>
  <si>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</si>
  <si>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</si>
  <si>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</si>
  <si>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</si>
  <si>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</si>
  <si>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</si>
  <si>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</si>
  <si>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</si>
  <si>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</si>
  <si>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</si>
  <si>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</si>
  <si>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</si>
  <si>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</si>
  <si>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</si>
  <si>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</si>
  <si>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</si>
  <si>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</si>
  <si>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</si>
  <si>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</si>
  <si>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</si>
  <si>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</si>
  <si>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</si>
  <si>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</si>
  <si>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</si>
  <si>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</si>
  <si>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</si>
  <si>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</si>
  <si>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</si>
  <si>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</si>
  <si>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</si>
  <si>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</si>
  <si>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</si>
  <si>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</si>
  <si>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</si>
  <si>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</si>
  <si>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</si>
  <si>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</si>
  <si>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</si>
  <si>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</si>
  <si>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</si>
  <si>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</si>
  <si>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</si>
  <si>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</si>
  <si>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</si>
  <si>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</si>
  <si>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</si>
  <si>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</si>
  <si>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</si>
  <si>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</si>
  <si>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</si>
  <si>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</si>
  <si>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</si>
  <si>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</si>
  <si>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</si>
  <si>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</si>
  <si>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</si>
  <si>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</si>
  <si>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</si>
  <si>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</si>
  <si>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</si>
  <si>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</si>
  <si>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</si>
  <si>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</si>
  <si>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</si>
  <si>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</si>
  <si>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</si>
  <si>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</si>
  <si>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</si>
  <si>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</si>
  <si>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</si>
  <si>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</si>
  <si>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</si>
  <si>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</si>
  <si>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</si>
  <si>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</si>
  <si>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</si>
  <si>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</si>
  <si>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</si>
  <si>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</si>
  <si>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</si>
  <si>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</si>
  <si>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</si>
  <si>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</si>
  <si>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</si>
  <si>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</si>
  <si>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</si>
  <si>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</si>
  <si>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</si>
  <si>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</si>
  <si>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</si>
  <si>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</si>
  <si>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</si>
  <si>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</si>
  <si>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</si>
  <si>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</si>
  <si>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</si>
  <si>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</si>
  <si>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</si>
  <si>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</si>
  <si>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</si>
  <si>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</si>
  <si>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</si>
  <si>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</si>
  <si>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</si>
  <si>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</si>
  <si>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</si>
  <si>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</si>
  <si>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</si>
  <si>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</si>
  <si>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</si>
  <si>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</si>
  <si>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</si>
  <si>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</si>
  <si>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</si>
  <si>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</si>
  <si>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</si>
  <si>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</si>
  <si>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</si>
  <si>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</si>
  <si>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</si>
  <si>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</si>
  <si>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</si>
  <si>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</si>
  <si>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</si>
  <si>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</si>
  <si>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</si>
  <si>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</si>
  <si>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</si>
  <si>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</si>
  <si>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</si>
  <si>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</si>
  <si>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</si>
  <si>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</si>
  <si>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</si>
  <si>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</si>
  <si>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</si>
  <si>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</si>
  <si>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</si>
  <si>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</si>
  <si>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</si>
  <si>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</si>
  <si>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</si>
  <si>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</si>
  <si>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</si>
  <si>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</si>
  <si>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</si>
  <si>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</si>
  <si>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</si>
  <si>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</si>
  <si>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</si>
  <si>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</si>
  <si>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</si>
  <si>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</si>
  <si>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</si>
  <si>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</si>
  <si>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</si>
  <si>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</si>
  <si>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</si>
  <si>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</si>
  <si>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</si>
  <si>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</si>
  <si>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</si>
  <si>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</si>
  <si>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</si>
  <si>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</si>
  <si>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</si>
  <si>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</si>
  <si>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</si>
  <si>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</si>
  <si>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</si>
  <si>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</si>
  <si>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</si>
  <si>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</si>
  <si>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</si>
  <si>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</si>
  <si>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</si>
  <si>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</si>
  <si>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</si>
  <si>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</si>
  <si>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</si>
  <si>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</si>
  <si>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</si>
  <si>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</si>
  <si>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</si>
  <si>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</si>
  <si>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</si>
  <si>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</si>
  <si>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</si>
  <si>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</si>
  <si>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</si>
  <si>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</si>
  <si>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</si>
  <si>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</si>
  <si>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</si>
  <si>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</si>
  <si>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</si>
  <si>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</si>
  <si>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</si>
  <si>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</si>
  <si>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</si>
  <si>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</si>
  <si>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</si>
  <si>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</si>
  <si>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</si>
  <si>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</si>
  <si>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</si>
  <si>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</si>
  <si>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</si>
  <si>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</si>
  <si>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</si>
  <si>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</si>
  <si>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</si>
  <si>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</si>
  <si>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</si>
  <si>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</si>
  <si>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</si>
  <si>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</si>
  <si>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</si>
  <si>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</si>
  <si>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</si>
  <si>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</si>
  <si>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</si>
  <si>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</si>
  <si>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</si>
  <si>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</si>
  <si>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</si>
  <si>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</si>
  <si>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</si>
  <si>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</si>
  <si>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</si>
  <si>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</si>
  <si>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</si>
  <si>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</si>
  <si>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</si>
  <si>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</si>
  <si>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</si>
  <si>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</si>
  <si>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</si>
  <si>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</si>
  <si>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</si>
  <si>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</si>
  <si>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</si>
  <si>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</si>
  <si>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</si>
  <si>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</si>
  <si>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</si>
  <si>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</si>
  <si>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</si>
  <si>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</si>
  <si>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</si>
  <si>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</si>
  <si>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</si>
  <si>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</si>
  <si>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</si>
  <si>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</si>
  <si>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</si>
  <si>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</si>
  <si>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</si>
  <si>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</si>
  <si>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</si>
  <si>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</si>
  <si>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</si>
  <si>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</si>
  <si>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</si>
  <si>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</si>
  <si>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</si>
  <si>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</si>
  <si>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</si>
  <si>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</si>
  <si>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</si>
  <si>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</si>
  <si>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</si>
  <si>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</si>
  <si>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</si>
  <si>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</si>
  <si>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</si>
  <si>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</si>
  <si>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</si>
  <si>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</si>
  <si>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</si>
  <si>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</si>
  <si>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</si>
  <si>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</si>
  <si>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</si>
  <si>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</si>
  <si>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</si>
  <si>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</si>
  <si>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</si>
  <si>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</si>
  <si>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</si>
  <si>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</si>
  <si>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</si>
  <si>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</si>
  <si>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</si>
  <si>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</si>
  <si>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</si>
  <si>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</si>
  <si>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</si>
  <si>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</si>
  <si>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</si>
  <si>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</si>
  <si>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</si>
  <si>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</si>
  <si>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</si>
  <si>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</si>
  <si>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</si>
  <si>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</si>
  <si>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</si>
  <si>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</si>
  <si>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</si>
  <si>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</si>
  <si>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</si>
  <si>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</si>
  <si>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</si>
  <si>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</si>
  <si>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</si>
  <si>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</si>
  <si>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</si>
  <si>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</si>
  <si>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</si>
  <si>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</si>
  <si>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</si>
  <si>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</si>
  <si>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</si>
  <si>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</si>
  <si>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</si>
  <si>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</si>
  <si>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</si>
  <si>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</si>
  <si>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</si>
  <si>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</si>
  <si>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</si>
  <si>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</si>
  <si>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</si>
  <si>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</si>
  <si>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</si>
  <si>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</si>
  <si>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</si>
  <si>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</si>
  <si>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</si>
  <si>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</si>
  <si>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</si>
  <si>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</si>
  <si>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</si>
  <si>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</si>
  <si>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</si>
  <si>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</si>
  <si>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</si>
  <si>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</si>
  <si>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</si>
  <si>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</si>
  <si>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</si>
  <si>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</si>
  <si>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</si>
  <si>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</si>
  <si>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</si>
  <si>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</si>
  <si>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</si>
  <si>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</si>
  <si>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</si>
  <si>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</si>
  <si>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</si>
  <si>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</si>
  <si>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</si>
  <si>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</si>
  <si>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</si>
  <si>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</si>
  <si>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</si>
  <si>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</si>
  <si>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</si>
  <si>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</si>
  <si>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</si>
  <si>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</si>
  <si>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</si>
  <si>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</si>
  <si>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</si>
  <si>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</si>
  <si>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</si>
  <si>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</si>
  <si>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</si>
  <si>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</si>
  <si>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</si>
  <si>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</si>
  <si>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</si>
  <si>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</si>
  <si>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</si>
  <si>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</si>
  <si>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</si>
  <si>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</si>
  <si>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</si>
  <si>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</si>
  <si>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</si>
  <si>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</si>
  <si>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</si>
  <si>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</si>
  <si>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</si>
  <si>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</si>
  <si>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</si>
  <si>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</si>
  <si>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</si>
  <si>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</si>
  <si>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</si>
  <si>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</si>
  <si>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</si>
  <si>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</si>
  <si>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</si>
  <si>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</si>
  <si>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</si>
  <si>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</si>
  <si>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</si>
  <si>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</si>
  <si>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</si>
  <si>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</si>
  <si>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</si>
  <si>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</si>
  <si>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</si>
  <si>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</si>
  <si>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</si>
  <si>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</si>
  <si>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</si>
  <si>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</si>
  <si>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</si>
  <si>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</si>
  <si>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</si>
  <si>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</si>
  <si>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</si>
  <si>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</si>
  <si>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</si>
  <si>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</si>
  <si>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</si>
  <si>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</si>
  <si>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</si>
  <si>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</si>
  <si>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</si>
  <si>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</si>
  <si>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</si>
  <si>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</si>
  <si>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</si>
  <si>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</si>
  <si>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</si>
  <si>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</si>
  <si>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</si>
  <si>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</si>
  <si>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</si>
  <si>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</si>
  <si>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</si>
  <si>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</si>
  <si>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</si>
  <si>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</si>
  <si>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</si>
  <si>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</si>
  <si>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</si>
  <si>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</si>
  <si>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</si>
  <si>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</si>
  <si>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</si>
  <si>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</si>
  <si>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</si>
  <si>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</si>
  <si>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</si>
  <si>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</si>
  <si>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</si>
  <si>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</si>
  <si>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</si>
  <si>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</si>
  <si>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</si>
  <si>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</si>
  <si>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</si>
  <si>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</si>
  <si>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</si>
  <si>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</si>
  <si>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</si>
  <si>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</si>
  <si>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</si>
  <si>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</si>
  <si>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</si>
  <si>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</si>
  <si>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</si>
  <si>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</si>
  <si>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</si>
  <si>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</si>
  <si>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</si>
  <si>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</si>
  <si>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</si>
  <si>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</si>
  <si>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</si>
  <si>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</si>
  <si>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</si>
  <si>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</si>
  <si>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</si>
  <si>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</si>
  <si>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</si>
  <si>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</si>
  <si>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</si>
  <si>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</si>
  <si>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</si>
  <si>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</si>
  <si>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</si>
  <si>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</si>
  <si>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</si>
  <si>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</si>
  <si>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</si>
  <si>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</si>
  <si>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</si>
  <si>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</si>
  <si>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</si>
  <si>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</si>
  <si>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</si>
  <si>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</si>
  <si>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</si>
  <si>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</si>
  <si>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</si>
  <si>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</si>
  <si>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</si>
  <si>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</si>
  <si>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</si>
  <si>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</si>
  <si>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</si>
  <si>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</si>
  <si>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</si>
  <si>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</si>
  <si>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</si>
  <si>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</si>
  <si>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</si>
  <si>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</si>
  <si>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</si>
  <si>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</si>
  <si>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</si>
  <si>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</si>
  <si>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</si>
  <si>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</si>
  <si>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</si>
  <si>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</si>
  <si>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</si>
  <si>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</si>
  <si>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</si>
  <si>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</si>
  <si>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</si>
  <si>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</si>
  <si>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</si>
  <si>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</si>
  <si>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</si>
  <si>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</si>
  <si>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</si>
  <si>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</si>
  <si>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</si>
  <si>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</si>
  <si>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</si>
  <si>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</si>
  <si>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</si>
  <si>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</si>
  <si>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</si>
  <si>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</si>
  <si>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</si>
  <si>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</si>
  <si>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</si>
  <si>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</si>
  <si>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</si>
  <si>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</si>
  <si>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</si>
  <si>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</si>
  <si>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</si>
  <si>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</si>
  <si>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</si>
  <si>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</si>
  <si>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</si>
  <si>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</si>
  <si>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</si>
  <si>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</si>
  <si>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</si>
  <si>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</si>
  <si>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</si>
  <si>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</si>
  <si>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</si>
  <si>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</si>
  <si>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</si>
  <si>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</si>
  <si>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</si>
  <si>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</si>
  <si>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</si>
  <si>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</si>
  <si>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</si>
  <si>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</si>
  <si>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</si>
  <si>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</si>
  <si>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</si>
  <si>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</si>
  <si>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</si>
  <si>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</si>
  <si>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</si>
  <si>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</si>
  <si>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</si>
  <si>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</si>
  <si>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</si>
  <si>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</si>
  <si>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</si>
  <si>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</si>
  <si>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</si>
  <si>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</si>
  <si>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</si>
  <si>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</si>
  <si>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</si>
  <si>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</si>
  <si>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</si>
  <si>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</si>
  <si>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</si>
  <si>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</si>
  <si>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</si>
  <si>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</si>
  <si>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</si>
  <si>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</si>
  <si>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</si>
  <si>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</si>
  <si>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</si>
  <si>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</si>
  <si>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</si>
  <si>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</si>
  <si>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</si>
  <si>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</si>
  <si>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</si>
  <si>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</si>
  <si>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</si>
  <si>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</si>
  <si>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</si>
  <si>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</si>
  <si>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</si>
  <si>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</si>
  <si>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</si>
  <si>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</si>
  <si>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</si>
  <si>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</si>
  <si>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</si>
  <si>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</si>
  <si>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</si>
  <si>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</si>
  <si>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</si>
  <si>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</si>
  <si>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</si>
  <si>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</si>
  <si>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</si>
  <si>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</si>
  <si>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</si>
  <si>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</si>
  <si>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</si>
  <si>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</si>
  <si>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</si>
  <si>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</si>
  <si>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</si>
  <si>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</si>
  <si>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</si>
  <si>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</si>
  <si>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</si>
  <si>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</si>
  <si>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</si>
  <si>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</si>
  <si>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</si>
  <si>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</si>
  <si>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</si>
  <si>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</si>
  <si>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</si>
  <si>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</si>
  <si>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</si>
  <si>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</si>
  <si>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</si>
  <si>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</si>
  <si>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</si>
  <si>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</si>
  <si>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</si>
  <si>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</si>
  <si>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</si>
  <si>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</si>
  <si>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</si>
  <si>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</si>
  <si>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</si>
  <si>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</si>
  <si>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</si>
  <si>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</si>
  <si>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</si>
  <si>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</si>
  <si>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</si>
  <si>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</si>
  <si>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</si>
  <si>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</si>
  <si>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</si>
  <si>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</si>
  <si>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</si>
  <si>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</si>
  <si>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</si>
  <si>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</si>
  <si>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</si>
  <si>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</si>
  <si>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</si>
  <si>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</si>
  <si>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</si>
  <si>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</si>
  <si>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</si>
  <si>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</si>
  <si>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</si>
  <si>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</si>
  <si>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</si>
  <si>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</si>
  <si>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</si>
  <si>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</si>
  <si>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</si>
  <si>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</si>
  <si>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</si>
  <si>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</si>
  <si>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</si>
  <si>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</si>
  <si>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</si>
  <si>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</si>
  <si>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</si>
  <si>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</si>
  <si>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</si>
  <si>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</si>
  <si>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</si>
  <si>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</si>
  <si>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</si>
  <si>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</si>
  <si>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</si>
  <si>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</si>
  <si>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</si>
  <si>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</si>
  <si>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</si>
  <si>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</si>
  <si>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</si>
  <si>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</si>
  <si>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</si>
  <si>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</si>
  <si>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</si>
  <si>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</si>
  <si>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</si>
  <si>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</si>
  <si>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</si>
  <si>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</si>
  <si>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</si>
  <si>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</si>
  <si>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</si>
  <si>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</si>
  <si>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</si>
  <si>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</si>
  <si>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</si>
  <si>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</si>
  <si>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</si>
  <si>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</si>
  <si>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</si>
  <si>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</si>
  <si>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</si>
  <si>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</si>
  <si>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</si>
  <si>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</si>
  <si>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</si>
  <si>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</si>
  <si>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</si>
  <si>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</si>
  <si>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</si>
  <si>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</si>
  <si>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</si>
  <si>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</si>
  <si>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</si>
  <si>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</si>
  <si>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</si>
  <si>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</si>
  <si>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</si>
  <si>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</si>
  <si>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</si>
  <si>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</si>
  <si>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</si>
  <si>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</si>
  <si>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</si>
  <si>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</si>
  <si>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</si>
  <si>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</si>
  <si>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</si>
  <si>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</si>
  <si>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</si>
  <si>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</si>
  <si>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</si>
  <si>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</si>
  <si>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</si>
  <si>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</si>
  <si>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</si>
  <si>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</si>
  <si>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</si>
  <si>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</si>
  <si>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</si>
  <si>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</si>
  <si>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</si>
  <si>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</si>
  <si>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</si>
  <si>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</si>
  <si>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</si>
  <si>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</si>
  <si>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</si>
  <si>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</si>
  <si>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</si>
  <si>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</si>
  <si>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</si>
  <si>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</si>
  <si>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</si>
  <si>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</si>
  <si>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</si>
  <si>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</si>
  <si>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</si>
  <si>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</si>
  <si>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</si>
  <si>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</si>
  <si>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</si>
  <si>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</si>
  <si>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</si>
  <si>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</si>
  <si>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</si>
  <si>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</si>
  <si>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</si>
  <si>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</si>
  <si>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</si>
  <si>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</si>
  <si>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</si>
  <si>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</si>
  <si>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</si>
  <si>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</si>
  <si>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</si>
  <si>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</si>
  <si>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</si>
  <si>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</si>
  <si>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</si>
  <si>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</si>
  <si>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</si>
  <si>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</si>
  <si>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</si>
  <si>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</si>
  <si>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</si>
  <si>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</si>
  <si>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</si>
  <si>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</si>
  <si>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</si>
  <si>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</si>
  <si>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</si>
  <si>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</si>
  <si>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</si>
  <si>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</si>
  <si>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</si>
  <si>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</si>
  <si>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</si>
  <si>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</si>
  <si>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</si>
  <si>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</si>
  <si>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</si>
  <si>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</si>
  <si>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</si>
  <si>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</si>
  <si>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</si>
  <si>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</si>
  <si>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</si>
  <si>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</si>
  <si>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</si>
  <si>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</si>
  <si>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</si>
  <si>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</si>
  <si>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</si>
  <si>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</si>
  <si>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</si>
  <si>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</si>
  <si>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</si>
  <si>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</si>
  <si>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</si>
  <si>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</si>
  <si>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</si>
  <si>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</si>
  <si>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</si>
  <si>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</si>
  <si>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</si>
  <si>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</si>
  <si>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</si>
  <si>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</si>
  <si>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</si>
  <si>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</si>
  <si>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</si>
  <si>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</si>
  <si>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</si>
  <si>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</si>
  <si>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</si>
  <si>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</si>
  <si>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</si>
  <si>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</si>
  <si>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</si>
  <si>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</si>
  <si>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</si>
  <si>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</si>
  <si>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</si>
  <si>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</si>
  <si>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</si>
  <si>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</si>
  <si>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</si>
  <si>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</si>
  <si>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</si>
  <si>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</si>
  <si>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</si>
  <si>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</si>
  <si>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</si>
  <si>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</si>
  <si>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</si>
  <si>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BUREAU</t>
  </si>
  <si>
    <t>800 W ERIE STREET</t>
  </si>
  <si>
    <t>SPRING VALLEY</t>
  </si>
  <si>
    <t>JBRANDT@HALLHIGHSCHOOL502.COM</t>
  </si>
  <si>
    <t>JESSE BRANDT</t>
  </si>
  <si>
    <t>815-664-2100</t>
  </si>
  <si>
    <t>815-664-2300</t>
  </si>
  <si>
    <t>HOPKINS &amp; ASSOCIATES, CPAS</t>
  </si>
  <si>
    <t>KIM BIRD</t>
  </si>
  <si>
    <t>314 S MCCOY ST</t>
  </si>
  <si>
    <t>GRANVILLE</t>
  </si>
  <si>
    <t>IL</t>
  </si>
  <si>
    <t>815-339-6630</t>
  </si>
  <si>
    <t>815-339-6643</t>
  </si>
  <si>
    <t>066-004501</t>
  </si>
  <si>
    <t>KIM@HOPKINSOFFICE.COM</t>
  </si>
  <si>
    <t>Hopkins &amp; Associates, CPAs</t>
  </si>
  <si>
    <t>REFUNDING BONDS</t>
  </si>
  <si>
    <t>GO BONDS</t>
  </si>
  <si>
    <t>BUS LEASE</t>
  </si>
  <si>
    <t>WC BONDS</t>
  </si>
  <si>
    <t>Lease</t>
  </si>
  <si>
    <t>GO ADV REFUND 2019</t>
  </si>
  <si>
    <t>Kendrick Pest Control</t>
  </si>
  <si>
    <t>O&amp;M-Plant Maint - Purch Services</t>
  </si>
  <si>
    <t>Alpha Controls &amp; Services</t>
  </si>
  <si>
    <t>Chapmans Mechanical Co</t>
  </si>
  <si>
    <t>BMP Special Ed Coop</t>
  </si>
  <si>
    <t>Spring Valley Elementary</t>
  </si>
  <si>
    <t>LP High School</t>
  </si>
  <si>
    <t>Putnam County (wrestling), DePue (soccer)</t>
  </si>
  <si>
    <t>Debt - 7990 - Contingency excess money from debt refunding.</t>
  </si>
  <si>
    <t>O&amp;M - 4090 - E-rate</t>
  </si>
  <si>
    <t>Ed - 4190 - $6,174 City of Spring Valley for Resource Officer</t>
  </si>
  <si>
    <t>Debt - 5400 - $2,000 - finance fees related to bonds.</t>
  </si>
  <si>
    <t>Bonds were advanced refunded.  See footnotes.</t>
  </si>
  <si>
    <t>Hall High SD 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</si>
</sst>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904875</xdr:colOff>
          <xdr:row>4</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401</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2002</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520</v>
      </c>
      <c r="J4" s="2117"/>
      <c r="K4" s="2117"/>
      <c r="L4" s="2117"/>
      <c r="M4" s="2117"/>
      <c r="N4" s="2117"/>
      <c r="O4" s="2117"/>
      <c r="P4" s="2117"/>
      <c r="Q4" s="2117"/>
      <c r="R4" s="2117"/>
      <c r="S4" s="2117"/>
    </row>
    <row r="5" spans="1:32" ht="14.1" customHeight="1" x14ac:dyDescent="0.2">
      <c r="B5" s="101" t="s">
        <v>2050</v>
      </c>
      <c r="C5" s="26" t="s">
        <v>903</v>
      </c>
      <c r="D5" s="81"/>
      <c r="E5" s="81"/>
      <c r="H5" s="38"/>
      <c r="I5" s="2125" t="s">
        <v>674</v>
      </c>
      <c r="J5" s="2070"/>
      <c r="K5" s="2070"/>
      <c r="L5" s="2070"/>
      <c r="M5" s="2070"/>
      <c r="N5" s="2070"/>
      <c r="O5" s="2070"/>
      <c r="P5" s="2070"/>
      <c r="Q5" s="2070"/>
      <c r="R5" s="2070"/>
      <c r="S5" s="2070"/>
      <c r="AF5" s="1827"/>
    </row>
    <row r="6" spans="1:32" ht="14.1" customHeight="1" x14ac:dyDescent="0.2">
      <c r="B6" s="101"/>
      <c r="C6" s="26" t="s">
        <v>904</v>
      </c>
      <c r="D6" s="81"/>
      <c r="E6" s="81"/>
      <c r="I6" s="2124" t="s">
        <v>876</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668</v>
      </c>
      <c r="J9" s="2122"/>
      <c r="K9" s="2122"/>
      <c r="L9" s="2122"/>
      <c r="M9" s="2122"/>
      <c r="N9" s="2122"/>
      <c r="O9" s="2122"/>
      <c r="P9" s="2122"/>
      <c r="Q9" s="2122"/>
      <c r="R9" s="2122"/>
      <c r="S9" s="2123"/>
      <c r="T9" s="2066" t="s">
        <v>529</v>
      </c>
      <c r="U9" s="2067"/>
      <c r="V9" s="2067"/>
      <c r="W9" s="2067"/>
      <c r="X9" s="2067"/>
      <c r="Y9" s="2067"/>
      <c r="Z9" s="2067"/>
      <c r="AA9" s="2068"/>
    </row>
    <row r="10" spans="1:32" ht="13.5" customHeight="1" x14ac:dyDescent="0.2">
      <c r="A10" s="2075" t="s">
        <v>669</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948</v>
      </c>
      <c r="B11" s="2079"/>
      <c r="C11" s="2079"/>
      <c r="D11" s="2079"/>
      <c r="E11" s="2079"/>
      <c r="F11" s="2079"/>
      <c r="G11" s="2079"/>
      <c r="H11" s="2080"/>
      <c r="I11" s="27"/>
      <c r="J11" s="71"/>
      <c r="K11" s="27"/>
      <c r="O11" s="144" t="s">
        <v>2050</v>
      </c>
      <c r="P11" s="97" t="s">
        <v>199</v>
      </c>
      <c r="Q11" s="30"/>
      <c r="R11" s="28"/>
      <c r="S11" s="27"/>
      <c r="T11" s="2072"/>
      <c r="U11" s="2073"/>
      <c r="V11" s="2073"/>
      <c r="W11" s="2073"/>
      <c r="X11" s="2073"/>
      <c r="Y11" s="2073"/>
      <c r="Z11" s="2073"/>
      <c r="AA11" s="207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6">
        <v>28006502017</v>
      </c>
      <c r="B13" s="2087"/>
      <c r="C13" s="2087"/>
      <c r="D13" s="2087"/>
      <c r="E13" s="2087"/>
      <c r="F13" s="2087"/>
      <c r="G13" s="2087"/>
      <c r="H13" s="2088"/>
      <c r="I13" s="31"/>
      <c r="J13" s="30"/>
      <c r="K13" s="28"/>
      <c r="L13" s="30"/>
      <c r="M13" s="30"/>
      <c r="N13" s="30"/>
      <c r="O13" s="30"/>
      <c r="P13" s="30"/>
      <c r="Q13" s="30"/>
      <c r="R13" s="30"/>
      <c r="S13" s="30"/>
      <c r="T13" s="2091" t="s">
        <v>2058</v>
      </c>
      <c r="U13" s="2092"/>
      <c r="V13" s="2092"/>
      <c r="W13" s="2092"/>
      <c r="X13" s="2092"/>
      <c r="Y13" s="2093"/>
      <c r="Z13" s="2093"/>
      <c r="AA13" s="209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4" t="s">
        <v>2051</v>
      </c>
      <c r="B15" s="2089"/>
      <c r="C15" s="2089"/>
      <c r="D15" s="2089"/>
      <c r="E15" s="2089"/>
      <c r="F15" s="2089"/>
      <c r="G15" s="2089"/>
      <c r="H15" s="2090"/>
      <c r="T15" s="2052" t="s">
        <v>2059</v>
      </c>
      <c r="U15" s="2053"/>
      <c r="V15" s="2053"/>
      <c r="W15" s="2053"/>
      <c r="X15" s="2053"/>
      <c r="Y15" s="2095"/>
      <c r="Z15" s="2095"/>
      <c r="AA15" s="209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4" t="s">
        <v>2087</v>
      </c>
      <c r="B17" s="2114"/>
      <c r="C17" s="2114"/>
      <c r="D17" s="2114"/>
      <c r="E17" s="2114"/>
      <c r="F17" s="2114"/>
      <c r="G17" s="2114"/>
      <c r="H17" s="2115"/>
      <c r="T17" s="2101" t="s">
        <v>2060</v>
      </c>
      <c r="U17" s="2102"/>
      <c r="V17" s="2102"/>
      <c r="W17" s="2102"/>
      <c r="X17" s="2102"/>
      <c r="Y17" s="2102"/>
      <c r="Z17" s="2102"/>
      <c r="AA17" s="2103"/>
    </row>
    <row r="18" spans="1:27" ht="13.5" customHeight="1" x14ac:dyDescent="0.2">
      <c r="A18" s="82" t="s">
        <v>526</v>
      </c>
      <c r="B18" s="73"/>
      <c r="C18" s="69"/>
      <c r="D18" s="73"/>
      <c r="E18" s="73"/>
      <c r="F18" s="73"/>
      <c r="G18" s="73"/>
      <c r="H18" s="53"/>
      <c r="I18" s="2111" t="s">
        <v>670</v>
      </c>
      <c r="J18" s="2112"/>
      <c r="K18" s="2112"/>
      <c r="L18" s="2112"/>
      <c r="M18" s="2112"/>
      <c r="N18" s="2112"/>
      <c r="O18" s="2112"/>
      <c r="P18" s="2112"/>
      <c r="Q18" s="2112"/>
      <c r="R18" s="2112"/>
      <c r="S18" s="2113"/>
      <c r="T18" s="82" t="s">
        <v>705</v>
      </c>
      <c r="U18" s="48"/>
      <c r="V18" s="69"/>
      <c r="W18" s="47"/>
      <c r="X18" s="82" t="s">
        <v>263</v>
      </c>
      <c r="Y18" s="78"/>
      <c r="Z18" s="154" t="s">
        <v>671</v>
      </c>
      <c r="AA18" s="44"/>
    </row>
    <row r="19" spans="1:27" ht="13.5" customHeight="1" x14ac:dyDescent="0.2">
      <c r="A19" s="2084" t="s">
        <v>2052</v>
      </c>
      <c r="B19" s="2085"/>
      <c r="C19" s="2085"/>
      <c r="D19" s="2085"/>
      <c r="E19" s="2085"/>
      <c r="F19" s="2085"/>
      <c r="G19" s="2085"/>
      <c r="H19" s="2083"/>
      <c r="I19" s="30"/>
      <c r="J19" s="96"/>
      <c r="K19" s="40"/>
      <c r="L19" s="38"/>
      <c r="M19" s="109" t="s">
        <v>311</v>
      </c>
      <c r="P19" s="27"/>
      <c r="Q19" s="27"/>
      <c r="R19" s="27"/>
      <c r="S19" s="31"/>
      <c r="T19" s="2084" t="s">
        <v>2061</v>
      </c>
      <c r="U19" s="2082"/>
      <c r="V19" s="2082"/>
      <c r="W19" s="2083"/>
      <c r="X19" s="2099" t="s">
        <v>2062</v>
      </c>
      <c r="Y19" s="2100"/>
      <c r="Z19" s="2097">
        <v>61326</v>
      </c>
      <c r="AA19" s="209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81" t="s">
        <v>2053</v>
      </c>
      <c r="B21" s="2082"/>
      <c r="C21" s="2082"/>
      <c r="D21" s="2082"/>
      <c r="E21" s="2082"/>
      <c r="F21" s="2082"/>
      <c r="G21" s="2082"/>
      <c r="H21" s="2083"/>
      <c r="I21" s="2107" t="s">
        <v>672</v>
      </c>
      <c r="J21" s="2070"/>
      <c r="K21" s="2070"/>
      <c r="L21" s="2070"/>
      <c r="M21" s="2070"/>
      <c r="N21" s="2070"/>
      <c r="O21" s="2070"/>
      <c r="P21" s="2070"/>
      <c r="Q21" s="2070"/>
      <c r="R21" s="2070"/>
      <c r="S21" s="2071"/>
      <c r="T21" s="2049" t="s">
        <v>2063</v>
      </c>
      <c r="U21" s="2050"/>
      <c r="V21" s="2050"/>
      <c r="W21" s="2050"/>
      <c r="X21" s="2063" t="s">
        <v>2064</v>
      </c>
      <c r="Y21" s="2064"/>
      <c r="Z21" s="2064"/>
      <c r="AA21" s="2065"/>
    </row>
    <row r="22" spans="1:27" ht="13.5" customHeight="1" x14ac:dyDescent="0.2">
      <c r="A22" s="84" t="s">
        <v>527</v>
      </c>
      <c r="B22" s="56"/>
      <c r="C22" s="56"/>
      <c r="D22" s="56"/>
      <c r="E22" s="56"/>
      <c r="F22" s="56"/>
      <c r="G22" s="56"/>
      <c r="H22" s="57"/>
      <c r="I22" s="2108" t="s">
        <v>1411</v>
      </c>
      <c r="J22" s="2109"/>
      <c r="K22" s="2109"/>
      <c r="L22" s="2109"/>
      <c r="M22" s="2109"/>
      <c r="N22" s="2109"/>
      <c r="O22" s="2109"/>
      <c r="P22" s="2109"/>
      <c r="Q22" s="2109"/>
      <c r="R22" s="2109"/>
      <c r="S22" s="2110"/>
      <c r="T22" s="82" t="s">
        <v>1498</v>
      </c>
      <c r="U22" s="48"/>
      <c r="V22" s="69"/>
      <c r="W22" s="48"/>
      <c r="X22" s="155" t="s">
        <v>1306</v>
      </c>
      <c r="Z22" s="43"/>
      <c r="AA22" s="44"/>
    </row>
    <row r="23" spans="1:27" ht="13.5" customHeight="1" x14ac:dyDescent="0.2">
      <c r="A23" s="2104" t="s">
        <v>2054</v>
      </c>
      <c r="B23" s="2105"/>
      <c r="C23" s="2105"/>
      <c r="D23" s="2105"/>
      <c r="E23" s="2105"/>
      <c r="F23" s="2105"/>
      <c r="G23" s="2105"/>
      <c r="H23" s="2106"/>
      <c r="T23" s="2044" t="s">
        <v>2065</v>
      </c>
      <c r="U23" s="2045"/>
      <c r="V23" s="2045"/>
      <c r="W23" s="2045"/>
      <c r="X23" s="2060">
        <v>44530</v>
      </c>
      <c r="Y23" s="2061"/>
      <c r="Z23" s="2061"/>
      <c r="AA23" s="2062"/>
    </row>
    <row r="24" spans="1:27" ht="14.1" customHeight="1" x14ac:dyDescent="0.2">
      <c r="A24" s="85" t="s">
        <v>671</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527</v>
      </c>
      <c r="U24" s="103"/>
      <c r="V24" s="103"/>
      <c r="W24" s="103"/>
      <c r="X24" s="104"/>
      <c r="Y24" s="104"/>
      <c r="Z24" s="104"/>
      <c r="AA24" s="105"/>
    </row>
    <row r="25" spans="1:27" ht="14.1" customHeight="1" x14ac:dyDescent="0.2">
      <c r="A25" s="2081">
        <v>61362</v>
      </c>
      <c r="B25" s="2082"/>
      <c r="C25" s="2082"/>
      <c r="D25" s="2082"/>
      <c r="E25" s="2082"/>
      <c r="F25" s="2082"/>
      <c r="G25" s="2082"/>
      <c r="H25" s="2083"/>
      <c r="I25" s="110"/>
      <c r="J25" s="2148"/>
      <c r="K25" s="2148"/>
      <c r="L25" s="2148"/>
      <c r="M25" s="2148"/>
      <c r="N25" s="2148"/>
      <c r="O25" s="2148"/>
      <c r="P25" s="2148"/>
      <c r="Q25" s="2148"/>
      <c r="R25" s="2148"/>
      <c r="S25" s="2149"/>
      <c r="T25" s="2041" t="s">
        <v>2066</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39" t="s">
        <v>1493</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2050</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44" t="s">
        <v>2055</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527</v>
      </c>
      <c r="B39" s="2138"/>
      <c r="C39" s="69"/>
      <c r="D39" s="66"/>
      <c r="E39" s="66"/>
      <c r="F39" s="76"/>
      <c r="G39" s="66"/>
      <c r="H39" s="53"/>
      <c r="I39" s="2137" t="s">
        <v>527</v>
      </c>
      <c r="J39" s="2138"/>
      <c r="K39" s="2138"/>
      <c r="L39" s="2138"/>
      <c r="M39" s="2138"/>
      <c r="N39" s="64"/>
      <c r="O39" s="69"/>
      <c r="P39" s="69"/>
      <c r="Q39" s="75"/>
      <c r="R39" s="69"/>
      <c r="S39" s="53"/>
      <c r="T39" s="69" t="s">
        <v>527</v>
      </c>
      <c r="U39" s="48"/>
      <c r="V39" s="69"/>
      <c r="W39" s="47"/>
      <c r="X39" s="75"/>
      <c r="Y39" s="43"/>
      <c r="Z39" s="43"/>
      <c r="AA39" s="44"/>
    </row>
    <row r="40" spans="1:27" ht="13.5" customHeight="1" x14ac:dyDescent="0.2">
      <c r="A40" s="2140" t="s">
        <v>2054</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0" t="s">
        <v>2056</v>
      </c>
      <c r="B42" s="2131"/>
      <c r="C42" s="2132"/>
      <c r="D42" s="2145" t="s">
        <v>2057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1144</v>
      </c>
      <c r="B4" s="1721">
        <f>'Revenues 9-14'!C5</f>
        <v>2006436</v>
      </c>
      <c r="C4" s="1722"/>
      <c r="D4" s="1723">
        <f>B4-C4</f>
        <v>2006436</v>
      </c>
      <c r="E4" s="1722">
        <v>2100007</v>
      </c>
      <c r="F4" s="1723">
        <f>E4-C4</f>
        <v>2100007</v>
      </c>
    </row>
    <row r="5" spans="1:8" ht="13.7" customHeight="1" x14ac:dyDescent="0.2">
      <c r="A5" s="579" t="s">
        <v>864</v>
      </c>
      <c r="B5" s="1724">
        <f>'Revenues 9-14'!D5</f>
        <v>311557</v>
      </c>
      <c r="C5" s="1664"/>
      <c r="D5" s="1725">
        <f t="shared" ref="D5:D18" si="0">B5-C5</f>
        <v>311557</v>
      </c>
      <c r="E5" s="1664">
        <v>326011</v>
      </c>
      <c r="F5" s="1725">
        <f>E5-C5</f>
        <v>326011</v>
      </c>
    </row>
    <row r="6" spans="1:8" ht="13.7" customHeight="1" x14ac:dyDescent="0.2">
      <c r="A6" s="579" t="s">
        <v>407</v>
      </c>
      <c r="B6" s="1724">
        <f>'Revenues 9-14'!E5</f>
        <v>2630606</v>
      </c>
      <c r="C6" s="1664"/>
      <c r="D6" s="1725">
        <f t="shared" si="0"/>
        <v>2630606</v>
      </c>
      <c r="E6" s="1664">
        <f>524020+2165510</f>
        <v>2689530</v>
      </c>
      <c r="F6" s="1725">
        <f t="shared" ref="F6:F18" si="1">E6-C6</f>
        <v>2689530</v>
      </c>
    </row>
    <row r="7" spans="1:8" ht="13.7" customHeight="1" x14ac:dyDescent="0.2">
      <c r="A7" s="579" t="s">
        <v>154</v>
      </c>
      <c r="B7" s="1724">
        <f>'Revenues 9-14'!F5</f>
        <v>149548</v>
      </c>
      <c r="C7" s="1664"/>
      <c r="D7" s="1725">
        <f t="shared" si="0"/>
        <v>149548</v>
      </c>
      <c r="E7" s="1664">
        <v>156642</v>
      </c>
      <c r="F7" s="1725">
        <f t="shared" si="1"/>
        <v>156642</v>
      </c>
    </row>
    <row r="8" spans="1:8" ht="13.7" customHeight="1" x14ac:dyDescent="0.2">
      <c r="A8" s="579" t="s">
        <v>1168</v>
      </c>
      <c r="B8" s="1724">
        <f>'Revenues 9-14'!G5</f>
        <v>59608</v>
      </c>
      <c r="C8" s="1664"/>
      <c r="D8" s="1725">
        <f t="shared" si="0"/>
        <v>59608</v>
      </c>
      <c r="E8" s="1664">
        <v>70006</v>
      </c>
      <c r="F8" s="1725">
        <f t="shared" si="1"/>
        <v>70006</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62310</v>
      </c>
      <c r="C10" s="1664"/>
      <c r="D10" s="1725">
        <f t="shared" si="0"/>
        <v>62310</v>
      </c>
      <c r="E10" s="1664">
        <v>13014</v>
      </c>
      <c r="F10" s="1725">
        <f t="shared" si="1"/>
        <v>13014</v>
      </c>
    </row>
    <row r="11" spans="1:8" x14ac:dyDescent="0.2">
      <c r="A11" s="579" t="s">
        <v>405</v>
      </c>
      <c r="B11" s="1724">
        <f>'Revenues 9-14'!J5</f>
        <v>387454</v>
      </c>
      <c r="C11" s="1664"/>
      <c r="D11" s="1725">
        <f t="shared" si="0"/>
        <v>387454</v>
      </c>
      <c r="E11" s="1664">
        <v>375001</v>
      </c>
      <c r="F11" s="1725">
        <f t="shared" si="1"/>
        <v>375001</v>
      </c>
    </row>
    <row r="12" spans="1:8" ht="13.7" customHeight="1" x14ac:dyDescent="0.2">
      <c r="A12" s="579" t="s">
        <v>156</v>
      </c>
      <c r="B12" s="1724">
        <f>'Revenues 9-14'!K5</f>
        <v>0</v>
      </c>
      <c r="C12" s="1664"/>
      <c r="D12" s="1725">
        <f t="shared" si="0"/>
        <v>0</v>
      </c>
      <c r="E12" s="1664">
        <v>52031</v>
      </c>
      <c r="F12" s="1725">
        <f t="shared" si="1"/>
        <v>52031</v>
      </c>
    </row>
    <row r="13" spans="1:8" ht="13.7" customHeight="1" x14ac:dyDescent="0.2">
      <c r="A13" s="579" t="s">
        <v>929</v>
      </c>
      <c r="B13" s="1724">
        <f>SUM('Revenues 9-14'!C6:D6)</f>
        <v>62310</v>
      </c>
      <c r="C13" s="1664"/>
      <c r="D13" s="1725">
        <f t="shared" si="0"/>
        <v>62310</v>
      </c>
      <c r="E13" s="1664">
        <v>65032</v>
      </c>
      <c r="F13" s="1725">
        <f t="shared" si="1"/>
        <v>65032</v>
      </c>
    </row>
    <row r="14" spans="1:8" ht="13.7" customHeight="1" x14ac:dyDescent="0.2">
      <c r="A14" s="579" t="s">
        <v>406</v>
      </c>
      <c r="B14" s="1724">
        <f>SUM('Revenues 9-14'!C7:D7,'Revenues 9-14'!F7:H7)</f>
        <v>24923</v>
      </c>
      <c r="C14" s="1664"/>
      <c r="D14" s="1725">
        <f t="shared" si="0"/>
        <v>24923</v>
      </c>
      <c r="E14" s="1664">
        <v>26107</v>
      </c>
      <c r="F14" s="1725">
        <f t="shared" si="1"/>
        <v>26107</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90413</v>
      </c>
      <c r="C16" s="1664"/>
      <c r="D16" s="1725">
        <f t="shared" si="0"/>
        <v>90413</v>
      </c>
      <c r="E16" s="1664">
        <v>92001</v>
      </c>
      <c r="F16" s="1725">
        <f t="shared" si="1"/>
        <v>92001</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5785165</v>
      </c>
      <c r="C19" s="1726">
        <f>SUM(C4:C18)</f>
        <v>0</v>
      </c>
      <c r="D19" s="1726">
        <f>SUM(D4:D18)</f>
        <v>5785165</v>
      </c>
      <c r="E19" s="1726">
        <f>SUM(E4:E18)</f>
        <v>5965382</v>
      </c>
      <c r="F19" s="1726">
        <f>SUM(F4:F18)</f>
        <v>5965382</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F28" colorId="8" zoomScale="110" zoomScaleNormal="110" workbookViewId="0">
      <selection activeCell="G55" sqref="G5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624</v>
      </c>
      <c r="B1" s="2295"/>
      <c r="C1" s="585"/>
    </row>
    <row r="2" spans="1:7" ht="33.75" x14ac:dyDescent="0.2">
      <c r="A2" s="2303" t="s">
        <v>1778</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1103</v>
      </c>
      <c r="B3" s="2308"/>
      <c r="C3" s="2296"/>
      <c r="D3" s="2297"/>
      <c r="E3" s="2297"/>
      <c r="F3" s="2298"/>
    </row>
    <row r="4" spans="1:7" ht="12.75" customHeight="1" thickBot="1" x14ac:dyDescent="0.25">
      <c r="A4" s="2305" t="s">
        <v>625</v>
      </c>
      <c r="B4" s="2306"/>
      <c r="C4" s="1656"/>
      <c r="D4" s="1656"/>
      <c r="E4" s="1656"/>
      <c r="F4" s="1732">
        <f>SUM(C4+D4)-E4</f>
        <v>0</v>
      </c>
    </row>
    <row r="5" spans="1:7" ht="15.75" customHeight="1" thickTop="1" x14ac:dyDescent="0.2">
      <c r="A5" s="2290" t="s">
        <v>1100</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292" t="s">
        <v>626</v>
      </c>
      <c r="B15" s="2293"/>
      <c r="C15" s="1732">
        <f>SUM(C6:C14)</f>
        <v>0</v>
      </c>
      <c r="D15" s="1732">
        <f>SUM(D6:D14)</f>
        <v>0</v>
      </c>
      <c r="E15" s="1732">
        <f>SUM(E6:E14)</f>
        <v>0</v>
      </c>
      <c r="F15" s="1732">
        <f>SUM(F6:F14)</f>
        <v>0</v>
      </c>
      <c r="G15" s="473"/>
    </row>
    <row r="16" spans="1:7" s="197" customFormat="1" ht="15.75" customHeight="1" thickTop="1" x14ac:dyDescent="0.2">
      <c r="A16" s="2302" t="s">
        <v>1101</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384</v>
      </c>
      <c r="B19" s="2316"/>
      <c r="C19" s="1733"/>
      <c r="D19" s="1664"/>
      <c r="E19" s="1733"/>
      <c r="F19" s="1732">
        <f>SUM(C19+D19)-E19</f>
        <v>0</v>
      </c>
    </row>
    <row r="20" spans="1:11" ht="12.75" customHeight="1" thickTop="1" thickBot="1" x14ac:dyDescent="0.25">
      <c r="A20" s="2315" t="s">
        <v>444</v>
      </c>
      <c r="B20" s="2316"/>
      <c r="C20" s="1733"/>
      <c r="D20" s="1664"/>
      <c r="E20" s="1733"/>
      <c r="F20" s="1732">
        <f>SUM(C20+D20)-E20</f>
        <v>0</v>
      </c>
    </row>
    <row r="21" spans="1:11" ht="14.25" thickTop="1" thickBot="1" x14ac:dyDescent="0.25">
      <c r="A21" s="2292" t="s">
        <v>627</v>
      </c>
      <c r="B21" s="2293"/>
      <c r="C21" s="1732">
        <f>SUM(C17:C20)</f>
        <v>0</v>
      </c>
      <c r="D21" s="1732">
        <f>SUM(D17:D20)</f>
        <v>0</v>
      </c>
      <c r="E21" s="1732">
        <f>SUM(E17:E20)</f>
        <v>0</v>
      </c>
      <c r="F21" s="1732">
        <f>SUM(F17:F20)</f>
        <v>0</v>
      </c>
      <c r="G21" s="473"/>
    </row>
    <row r="22" spans="1:11" ht="15.75" customHeight="1" thickTop="1" x14ac:dyDescent="0.2">
      <c r="A22" s="2317" t="s">
        <v>1102</v>
      </c>
      <c r="B22" s="2291"/>
      <c r="C22" s="2299"/>
      <c r="D22" s="2300"/>
      <c r="E22" s="2300"/>
      <c r="F22" s="2301"/>
    </row>
    <row r="23" spans="1:11" ht="13.5" thickBot="1" x14ac:dyDescent="0.25">
      <c r="A23" s="2305" t="s">
        <v>628</v>
      </c>
      <c r="B23" s="2306"/>
      <c r="C23" s="1656"/>
      <c r="D23" s="1656"/>
      <c r="E23" s="1656"/>
      <c r="F23" s="1732">
        <f>SUM(C23+D23)-E23</f>
        <v>0</v>
      </c>
      <c r="G23" s="473"/>
    </row>
    <row r="24" spans="1:11" ht="15.75" customHeight="1" thickTop="1" x14ac:dyDescent="0.2">
      <c r="A24" s="2317" t="s">
        <v>2005</v>
      </c>
      <c r="B24" s="2291"/>
      <c r="C24" s="2299"/>
      <c r="D24" s="2300"/>
      <c r="E24" s="2300"/>
      <c r="F24" s="2301"/>
    </row>
    <row r="25" spans="1:11" ht="13.5" thickBot="1" x14ac:dyDescent="0.25">
      <c r="A25" s="2305" t="s">
        <v>2006</v>
      </c>
      <c r="B25" s="2306"/>
      <c r="C25" s="1656"/>
      <c r="D25" s="1656"/>
      <c r="E25" s="1656"/>
      <c r="F25" s="1732">
        <f>SUM(C25+D25)-E25</f>
        <v>0</v>
      </c>
      <c r="G25" s="473"/>
    </row>
    <row r="26" spans="1:11" ht="15.75" customHeight="1" thickTop="1" x14ac:dyDescent="0.2">
      <c r="A26" s="2290" t="s">
        <v>651</v>
      </c>
      <c r="B26" s="2291"/>
      <c r="C26" s="589"/>
      <c r="D26" s="589"/>
      <c r="E26" s="589"/>
      <c r="F26" s="590"/>
    </row>
    <row r="27" spans="1:11" ht="13.5" thickBot="1" x14ac:dyDescent="0.25">
      <c r="A27" s="2292" t="s">
        <v>1060</v>
      </c>
      <c r="B27" s="2293"/>
      <c r="C27" s="1664"/>
      <c r="D27" s="1664"/>
      <c r="E27" s="1664"/>
      <c r="F27" s="1732">
        <f>SUM(C27+D27)-E27</f>
        <v>0</v>
      </c>
      <c r="G27" s="473"/>
    </row>
    <row r="28" spans="1:11" ht="7.5" customHeight="1" thickTop="1" x14ac:dyDescent="0.2">
      <c r="A28" s="489"/>
    </row>
    <row r="29" spans="1:11" ht="23.25" customHeight="1" x14ac:dyDescent="0.2">
      <c r="A29" s="2318" t="s">
        <v>577</v>
      </c>
      <c r="B29" s="2295"/>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41548</v>
      </c>
      <c r="C31" s="1734">
        <v>3500000</v>
      </c>
      <c r="D31" s="1735">
        <v>3</v>
      </c>
      <c r="E31" s="1734">
        <v>3480000</v>
      </c>
      <c r="F31" s="1734"/>
      <c r="G31" s="1734">
        <v>-2935000</v>
      </c>
      <c r="H31" s="1734">
        <v>45000</v>
      </c>
      <c r="I31" s="1736">
        <f>((E31+F31)-H31)+G31</f>
        <v>500000</v>
      </c>
      <c r="J31" s="1734"/>
      <c r="K31" s="596"/>
    </row>
    <row r="32" spans="1:11" ht="12" customHeight="1" x14ac:dyDescent="0.2">
      <c r="A32" s="594" t="s">
        <v>2069</v>
      </c>
      <c r="B32" s="595">
        <v>43006</v>
      </c>
      <c r="C32" s="1734">
        <v>40440000</v>
      </c>
      <c r="D32" s="1735">
        <v>3</v>
      </c>
      <c r="E32" s="1734">
        <v>39210000</v>
      </c>
      <c r="F32" s="1734"/>
      <c r="G32" s="1734"/>
      <c r="H32" s="1734">
        <v>270000</v>
      </c>
      <c r="I32" s="1736">
        <f>((E32+F32)-H32)+G32</f>
        <v>38940000</v>
      </c>
      <c r="J32" s="1734">
        <f>38940000-47982</f>
        <v>38892018</v>
      </c>
      <c r="K32" s="596"/>
    </row>
    <row r="33" spans="1:11" ht="12" customHeight="1" x14ac:dyDescent="0.2">
      <c r="A33" s="594" t="s">
        <v>2070</v>
      </c>
      <c r="B33" s="595">
        <v>42571</v>
      </c>
      <c r="C33" s="1734">
        <v>52006</v>
      </c>
      <c r="D33" s="1735">
        <v>7</v>
      </c>
      <c r="E33" s="1734">
        <v>30276</v>
      </c>
      <c r="F33" s="1734"/>
      <c r="G33" s="1734">
        <v>-30276</v>
      </c>
      <c r="H33" s="1734"/>
      <c r="I33" s="1736">
        <f t="shared" ref="I33:I48" si="1">((E33+F33)-H33)+G33</f>
        <v>0</v>
      </c>
      <c r="J33" s="1734"/>
      <c r="K33" s="596"/>
    </row>
    <row r="34" spans="1:11" ht="12" customHeight="1" x14ac:dyDescent="0.2">
      <c r="A34" s="594" t="s">
        <v>2070</v>
      </c>
      <c r="B34" s="595">
        <v>42927</v>
      </c>
      <c r="C34" s="1734">
        <v>52006</v>
      </c>
      <c r="D34" s="1735">
        <v>7</v>
      </c>
      <c r="E34" s="1734">
        <v>38981</v>
      </c>
      <c r="F34" s="1734"/>
      <c r="G34" s="1734"/>
      <c r="H34" s="1734">
        <v>5999</v>
      </c>
      <c r="I34" s="1736">
        <f t="shared" si="1"/>
        <v>32982</v>
      </c>
      <c r="J34" s="1734">
        <v>32982</v>
      </c>
      <c r="K34" s="597"/>
    </row>
    <row r="35" spans="1:11" ht="12" customHeight="1" x14ac:dyDescent="0.2">
      <c r="A35" s="594" t="s">
        <v>2071</v>
      </c>
      <c r="B35" s="595">
        <v>43447</v>
      </c>
      <c r="C35" s="1737">
        <v>1000000</v>
      </c>
      <c r="D35" s="1735">
        <v>1</v>
      </c>
      <c r="E35" s="1737">
        <v>1000000</v>
      </c>
      <c r="F35" s="1737"/>
      <c r="G35" s="1737"/>
      <c r="H35" s="1737">
        <v>485000</v>
      </c>
      <c r="I35" s="1736">
        <f t="shared" si="1"/>
        <v>515000</v>
      </c>
      <c r="J35" s="1737">
        <v>515000</v>
      </c>
      <c r="K35" s="597"/>
    </row>
    <row r="36" spans="1:11" ht="12" customHeight="1" x14ac:dyDescent="0.2">
      <c r="A36" s="594" t="s">
        <v>2073</v>
      </c>
      <c r="B36" s="595">
        <v>43727</v>
      </c>
      <c r="C36" s="1734">
        <v>3320000</v>
      </c>
      <c r="D36" s="1735">
        <v>3</v>
      </c>
      <c r="E36" s="1734"/>
      <c r="F36" s="1734"/>
      <c r="G36" s="1734">
        <v>3320000</v>
      </c>
      <c r="H36" s="1734">
        <v>80000</v>
      </c>
      <c r="I36" s="1736">
        <f t="shared" si="1"/>
        <v>3240000</v>
      </c>
      <c r="J36" s="1734">
        <v>3240000</v>
      </c>
      <c r="K36" s="598"/>
    </row>
    <row r="37" spans="1:11" ht="12" customHeight="1" x14ac:dyDescent="0.2">
      <c r="A37" s="594" t="s">
        <v>2070</v>
      </c>
      <c r="B37" s="595">
        <v>43920</v>
      </c>
      <c r="C37" s="1574">
        <v>28569</v>
      </c>
      <c r="D37" s="1738">
        <v>7</v>
      </c>
      <c r="E37" s="1574"/>
      <c r="F37" s="1574">
        <v>28569</v>
      </c>
      <c r="G37" s="1574"/>
      <c r="H37" s="1574">
        <v>9523</v>
      </c>
      <c r="I37" s="1736">
        <f t="shared" si="1"/>
        <v>19046</v>
      </c>
      <c r="J37" s="1574">
        <v>19046</v>
      </c>
      <c r="K37" s="597"/>
    </row>
    <row r="38" spans="1:11" ht="12" customHeight="1" x14ac:dyDescent="0.2">
      <c r="A38" s="594"/>
      <c r="B38" s="595"/>
      <c r="C38" s="1734"/>
      <c r="D38" s="1739"/>
      <c r="E38" s="1740"/>
      <c r="F38" s="1740"/>
      <c r="G38" s="1740"/>
      <c r="H38" s="1740"/>
      <c r="I38" s="1736">
        <f t="shared" si="1"/>
        <v>0</v>
      </c>
      <c r="J38" s="1741"/>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48392581</v>
      </c>
      <c r="D49" s="1742"/>
      <c r="E49" s="1736">
        <f t="shared" ref="E49:J49" si="2">SUM(E31:E48)</f>
        <v>43759257</v>
      </c>
      <c r="F49" s="1736">
        <f t="shared" si="2"/>
        <v>28569</v>
      </c>
      <c r="G49" s="1736">
        <f t="shared" si="2"/>
        <v>354724</v>
      </c>
      <c r="H49" s="1736">
        <f t="shared" si="2"/>
        <v>895522</v>
      </c>
      <c r="I49" s="1736">
        <f t="shared" si="2"/>
        <v>43247028</v>
      </c>
      <c r="J49" s="1736">
        <f t="shared" si="2"/>
        <v>42699046</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09" t="s">
        <v>579</v>
      </c>
      <c r="C52" s="2310"/>
      <c r="D52" s="2310"/>
      <c r="E52" s="603" t="s">
        <v>839</v>
      </c>
      <c r="F52" s="2311" t="s">
        <v>2072</v>
      </c>
      <c r="G52" s="2312"/>
      <c r="H52" s="596"/>
      <c r="I52" s="596"/>
      <c r="J52" s="600"/>
    </row>
    <row r="53" spans="1:11" ht="11.25" customHeight="1" x14ac:dyDescent="0.2">
      <c r="A53" s="604" t="s">
        <v>906</v>
      </c>
      <c r="B53" s="605" t="s">
        <v>944</v>
      </c>
      <c r="C53" s="600"/>
      <c r="D53" s="597"/>
      <c r="E53" s="603" t="s">
        <v>493</v>
      </c>
      <c r="F53" s="2313"/>
      <c r="G53" s="2314"/>
      <c r="H53" s="596"/>
      <c r="I53" s="596"/>
      <c r="J53" s="600"/>
    </row>
    <row r="54" spans="1:11" ht="11.25" customHeight="1" x14ac:dyDescent="0.2">
      <c r="A54" s="606" t="s">
        <v>907</v>
      </c>
      <c r="B54" s="601" t="s">
        <v>945</v>
      </c>
      <c r="C54" s="600"/>
      <c r="D54" s="597"/>
      <c r="E54" s="603" t="s">
        <v>494</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850</v>
      </c>
      <c r="B1" s="2346"/>
      <c r="C1" s="2346"/>
      <c r="D1" s="2346"/>
      <c r="E1" s="2346"/>
      <c r="F1" s="2346"/>
      <c r="G1" s="2347"/>
      <c r="H1" s="1298"/>
      <c r="I1" s="614"/>
      <c r="J1" s="400"/>
    </row>
    <row r="2" spans="1:11" ht="26.25" x14ac:dyDescent="0.2">
      <c r="A2" s="2322" t="s">
        <v>1657</v>
      </c>
      <c r="B2" s="2323"/>
      <c r="C2" s="2323"/>
      <c r="D2" s="2323"/>
      <c r="E2" s="2324"/>
      <c r="F2" s="615" t="s">
        <v>897</v>
      </c>
      <c r="G2" s="616" t="s">
        <v>1654</v>
      </c>
      <c r="H2" s="616" t="s">
        <v>406</v>
      </c>
      <c r="I2" s="616" t="s">
        <v>1147</v>
      </c>
      <c r="J2" s="616" t="s">
        <v>1788</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365</v>
      </c>
      <c r="B4" s="2329"/>
      <c r="C4" s="2329"/>
      <c r="D4" s="2329"/>
      <c r="E4" s="2310"/>
      <c r="F4" s="620"/>
      <c r="G4" s="1746"/>
      <c r="H4" s="1747"/>
      <c r="I4" s="1746"/>
      <c r="J4" s="1748"/>
      <c r="K4" s="1748"/>
    </row>
    <row r="5" spans="1:11" x14ac:dyDescent="0.2">
      <c r="A5" s="2348" t="s">
        <v>1059</v>
      </c>
      <c r="B5" s="2319"/>
      <c r="C5" s="2319"/>
      <c r="D5" s="2319"/>
      <c r="E5" s="2349"/>
      <c r="F5" s="622" t="s">
        <v>842</v>
      </c>
      <c r="G5" s="1749"/>
      <c r="H5" s="1744">
        <v>24923</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v>25823</v>
      </c>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v>17171</v>
      </c>
    </row>
    <row r="10" spans="1:11" x14ac:dyDescent="0.2">
      <c r="A10" s="2348" t="s">
        <v>1789</v>
      </c>
      <c r="B10" s="2319"/>
      <c r="C10" s="2319"/>
      <c r="D10" s="2319"/>
      <c r="E10" s="2350"/>
      <c r="F10" s="633" t="s">
        <v>856</v>
      </c>
      <c r="G10" s="1753"/>
      <c r="H10" s="1754"/>
      <c r="I10" s="1744"/>
      <c r="J10" s="1745"/>
      <c r="K10" s="1745"/>
    </row>
    <row r="11" spans="1:11" x14ac:dyDescent="0.2">
      <c r="A11" s="2348" t="s">
        <v>159</v>
      </c>
      <c r="B11" s="2319"/>
      <c r="C11" s="2319"/>
      <c r="D11" s="2319"/>
      <c r="E11" s="2349"/>
      <c r="F11" s="622" t="s">
        <v>846</v>
      </c>
      <c r="G11" s="1749"/>
      <c r="H11" s="1744"/>
      <c r="I11" s="1744"/>
      <c r="J11" s="1745"/>
      <c r="K11" s="1751"/>
    </row>
    <row r="12" spans="1:11" ht="13.5" thickBot="1" x14ac:dyDescent="0.25">
      <c r="A12" s="2336" t="s">
        <v>898</v>
      </c>
      <c r="B12" s="2337"/>
      <c r="C12" s="2337"/>
      <c r="D12" s="2337"/>
      <c r="E12" s="2338"/>
      <c r="F12" s="1433"/>
      <c r="G12" s="1755">
        <f>SUM(G5:G11)</f>
        <v>0</v>
      </c>
      <c r="H12" s="1755">
        <f>SUM(H5:H11)</f>
        <v>24923</v>
      </c>
      <c r="I12" s="1755">
        <f>SUM(I5:I11)</f>
        <v>0</v>
      </c>
      <c r="J12" s="1755">
        <f>SUM(J5:J11)</f>
        <v>0</v>
      </c>
      <c r="K12" s="1755">
        <f>SUM(K5:K11)</f>
        <v>42994</v>
      </c>
    </row>
    <row r="13" spans="1:11" ht="13.5" thickTop="1" x14ac:dyDescent="0.2">
      <c r="A13" s="2330" t="s">
        <v>366</v>
      </c>
      <c r="B13" s="2331"/>
      <c r="C13" s="2331"/>
      <c r="D13" s="2331"/>
      <c r="E13" s="2332"/>
      <c r="F13" s="634"/>
      <c r="G13" s="1756"/>
      <c r="H13" s="1757"/>
      <c r="I13" s="1758"/>
      <c r="J13" s="1758"/>
      <c r="K13" s="1758"/>
    </row>
    <row r="14" spans="1:11" x14ac:dyDescent="0.2">
      <c r="A14" s="2354" t="s">
        <v>452</v>
      </c>
      <c r="B14" s="2354"/>
      <c r="C14" s="2354"/>
      <c r="D14" s="2354"/>
      <c r="E14" s="2355"/>
      <c r="F14" s="635" t="s">
        <v>848</v>
      </c>
      <c r="G14" s="1753"/>
      <c r="H14" s="1744">
        <v>24923</v>
      </c>
      <c r="I14" s="1749"/>
      <c r="J14" s="1751"/>
      <c r="K14" s="1745">
        <v>42994</v>
      </c>
    </row>
    <row r="15" spans="1:11" x14ac:dyDescent="0.2">
      <c r="A15" s="2319" t="s">
        <v>4</v>
      </c>
      <c r="B15" s="2319"/>
      <c r="C15" s="2319"/>
      <c r="D15" s="2319"/>
      <c r="E15" s="2349"/>
      <c r="F15" s="635" t="s">
        <v>849</v>
      </c>
      <c r="G15" s="1749"/>
      <c r="H15" s="1744"/>
      <c r="I15" s="1744"/>
      <c r="J15" s="1745"/>
      <c r="K15" s="1745"/>
    </row>
    <row r="16" spans="1:11" x14ac:dyDescent="0.2">
      <c r="A16" s="2319" t="s">
        <v>294</v>
      </c>
      <c r="B16" s="2319"/>
      <c r="C16" s="2319"/>
      <c r="D16" s="2319"/>
      <c r="E16" s="2349"/>
      <c r="F16" s="635" t="s">
        <v>916</v>
      </c>
      <c r="G16" s="1750"/>
      <c r="H16" s="1746"/>
      <c r="I16" s="1746"/>
      <c r="J16" s="1748"/>
      <c r="K16" s="1748"/>
    </row>
    <row r="17" spans="1:15" x14ac:dyDescent="0.2">
      <c r="A17" s="2343" t="s">
        <v>928</v>
      </c>
      <c r="B17" s="2343"/>
      <c r="C17" s="2343"/>
      <c r="D17" s="2343"/>
      <c r="E17" s="2344"/>
      <c r="F17" s="636"/>
      <c r="G17" s="1759"/>
      <c r="H17" s="1760"/>
      <c r="I17" s="1760"/>
      <c r="J17" s="1761"/>
      <c r="K17" s="1762"/>
    </row>
    <row r="18" spans="1:15" x14ac:dyDescent="0.2">
      <c r="A18" s="2333" t="s">
        <v>364</v>
      </c>
      <c r="B18" s="2334"/>
      <c r="C18" s="2334"/>
      <c r="D18" s="2334"/>
      <c r="E18" s="2335"/>
      <c r="F18" s="635" t="s">
        <v>925</v>
      </c>
      <c r="G18" s="1753"/>
      <c r="H18" s="1753"/>
      <c r="I18" s="1753"/>
      <c r="J18" s="1745"/>
      <c r="K18" s="1763"/>
    </row>
    <row r="19" spans="1:15" ht="21.75" customHeight="1" x14ac:dyDescent="0.2">
      <c r="A19" s="2356" t="s">
        <v>1785</v>
      </c>
      <c r="B19" s="2356"/>
      <c r="C19" s="2356"/>
      <c r="D19" s="2356"/>
      <c r="E19" s="2357"/>
      <c r="F19" s="635" t="s">
        <v>926</v>
      </c>
      <c r="G19" s="1753"/>
      <c r="H19" s="1753"/>
      <c r="I19" s="1753"/>
      <c r="J19" s="1745"/>
      <c r="K19" s="1763"/>
    </row>
    <row r="20" spans="1:15" x14ac:dyDescent="0.2">
      <c r="A20" s="2333" t="s">
        <v>1790</v>
      </c>
      <c r="B20" s="2334"/>
      <c r="C20" s="2334"/>
      <c r="D20" s="2334"/>
      <c r="E20" s="2335"/>
      <c r="F20" s="635" t="s">
        <v>927</v>
      </c>
      <c r="G20" s="1753"/>
      <c r="H20" s="1753"/>
      <c r="I20" s="1753"/>
      <c r="J20" s="1745"/>
      <c r="K20" s="1763"/>
    </row>
    <row r="21" spans="1:15" ht="13.5" thickBot="1" x14ac:dyDescent="0.25">
      <c r="A21" s="2339" t="s">
        <v>632</v>
      </c>
      <c r="B21" s="2339"/>
      <c r="C21" s="2339"/>
      <c r="D21" s="2339"/>
      <c r="E21" s="2339"/>
      <c r="F21" s="1434"/>
      <c r="G21" s="1760"/>
      <c r="H21" s="1764"/>
      <c r="I21" s="1764"/>
      <c r="J21" s="1765">
        <f>SUM(J18:J20)</f>
        <v>0</v>
      </c>
      <c r="K21" s="1761"/>
    </row>
    <row r="22" spans="1:15" ht="13.5" thickTop="1" x14ac:dyDescent="0.2">
      <c r="A22" s="2319" t="s">
        <v>1791</v>
      </c>
      <c r="B22" s="2319"/>
      <c r="C22" s="2319"/>
      <c r="D22" s="2319"/>
      <c r="E22" s="2349"/>
      <c r="F22" s="635" t="s">
        <v>856</v>
      </c>
      <c r="G22" s="1753"/>
      <c r="H22" s="1744"/>
      <c r="I22" s="1744"/>
      <c r="J22" s="1766"/>
      <c r="K22" s="1745"/>
    </row>
    <row r="23" spans="1:15" ht="13.5" thickBot="1" x14ac:dyDescent="0.25">
      <c r="A23" s="2340" t="s">
        <v>899</v>
      </c>
      <c r="B23" s="2339"/>
      <c r="C23" s="2339"/>
      <c r="D23" s="2339"/>
      <c r="E23" s="2339"/>
      <c r="F23" s="1436"/>
      <c r="G23" s="1755">
        <f>SUM(G14:G16,G21,G22)</f>
        <v>0</v>
      </c>
      <c r="H23" s="1755">
        <f>SUM(H14:H16,H21,H22)</f>
        <v>24923</v>
      </c>
      <c r="I23" s="1755">
        <f>SUM(I14:I16,I21,I22)</f>
        <v>0</v>
      </c>
      <c r="J23" s="1755">
        <f>SUM(J14:J16,J21,J22)</f>
        <v>0</v>
      </c>
      <c r="K23" s="1755">
        <f>SUM(K14:K16,K21,K22)</f>
        <v>42994</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1"/>
      <c r="I31" s="2352"/>
      <c r="J31" s="2352"/>
      <c r="K31" s="2352"/>
    </row>
    <row r="32" spans="1:15" x14ac:dyDescent="0.2">
      <c r="A32" s="649"/>
      <c r="B32" s="232"/>
      <c r="C32" s="232"/>
      <c r="D32" s="232"/>
      <c r="E32" s="645"/>
      <c r="F32" s="651" t="s">
        <v>536</v>
      </c>
      <c r="G32" s="618"/>
      <c r="H32" s="2353"/>
      <c r="I32" s="2352"/>
      <c r="J32" s="2352"/>
      <c r="K32" s="2352"/>
    </row>
    <row r="33" spans="1:11" ht="1.5" customHeight="1" x14ac:dyDescent="0.2">
      <c r="A33" s="652" t="s">
        <v>1158</v>
      </c>
      <c r="B33" s="341"/>
      <c r="C33" s="341"/>
      <c r="D33" s="341"/>
      <c r="E33" s="341"/>
      <c r="F33" s="341"/>
      <c r="G33" s="653"/>
      <c r="H33" s="2353"/>
      <c r="I33" s="2352"/>
      <c r="J33" s="2352"/>
      <c r="K33" s="2352"/>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9" t="s">
        <v>537</v>
      </c>
      <c r="B41" s="2320"/>
      <c r="C41" s="2320"/>
      <c r="D41" s="2320"/>
      <c r="E41" s="2320"/>
      <c r="F41" s="232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51157</v>
      </c>
      <c r="D5" s="1770"/>
      <c r="E5" s="1770"/>
      <c r="F5" s="1765">
        <f>(C5+D5)-E5</f>
        <v>51157</v>
      </c>
      <c r="G5" s="676"/>
      <c r="H5" s="680"/>
      <c r="I5" s="680"/>
      <c r="J5" s="680"/>
      <c r="K5" s="637"/>
      <c r="L5" s="1442">
        <f>F5-K5</f>
        <v>51157</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31985115</v>
      </c>
      <c r="D8" s="1771"/>
      <c r="E8" s="1771"/>
      <c r="F8" s="1765">
        <f>(C8+D8)-E8</f>
        <v>31985115</v>
      </c>
      <c r="G8" s="681">
        <v>50</v>
      </c>
      <c r="H8" s="619">
        <v>2555534</v>
      </c>
      <c r="I8" s="619">
        <v>639702</v>
      </c>
      <c r="J8" s="619"/>
      <c r="K8" s="1442">
        <f>(H8+I8)-J8</f>
        <v>3195236</v>
      </c>
      <c r="L8" s="1442">
        <f>F8-K8</f>
        <v>28789879</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173052</v>
      </c>
      <c r="D10" s="1772">
        <f>40986+21521</f>
        <v>62507</v>
      </c>
      <c r="E10" s="1772"/>
      <c r="F10" s="1773">
        <f>(C10+D10)-E10</f>
        <v>235559</v>
      </c>
      <c r="G10" s="681">
        <v>20</v>
      </c>
      <c r="H10" s="683">
        <v>48911</v>
      </c>
      <c r="I10" s="683">
        <v>11778</v>
      </c>
      <c r="J10" s="683"/>
      <c r="K10" s="1442">
        <f>(H10+I10)-J10</f>
        <v>60689</v>
      </c>
      <c r="L10" s="1442">
        <f>F10-K10</f>
        <v>174870</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463418</v>
      </c>
      <c r="D12" s="1771"/>
      <c r="E12" s="1771"/>
      <c r="F12" s="1765">
        <f>(C12+D12)-E12</f>
        <v>463418</v>
      </c>
      <c r="G12" s="681">
        <v>10</v>
      </c>
      <c r="H12" s="619">
        <v>280200</v>
      </c>
      <c r="I12" s="619">
        <v>41536</v>
      </c>
      <c r="J12" s="619"/>
      <c r="K12" s="1442">
        <f>(H12+I12)-J12</f>
        <v>321736</v>
      </c>
      <c r="L12" s="1442">
        <f>F12-K12</f>
        <v>141682</v>
      </c>
    </row>
    <row r="13" spans="1:14" ht="14.25" thickTop="1" thickBot="1" x14ac:dyDescent="0.25">
      <c r="A13" s="684" t="s">
        <v>1111</v>
      </c>
      <c r="B13" s="679">
        <v>252</v>
      </c>
      <c r="C13" s="1771">
        <v>296630</v>
      </c>
      <c r="D13" s="1771"/>
      <c r="E13" s="1771"/>
      <c r="F13" s="1765">
        <f>(C13+D13)-E13</f>
        <v>296630</v>
      </c>
      <c r="G13" s="681">
        <v>5</v>
      </c>
      <c r="H13" s="619">
        <v>242873</v>
      </c>
      <c r="I13" s="619">
        <v>24853</v>
      </c>
      <c r="J13" s="619"/>
      <c r="K13" s="1442">
        <f>(H13+I13)-J13</f>
        <v>267726</v>
      </c>
      <c r="L13" s="1442">
        <f>F13-K13</f>
        <v>28904</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32969372</v>
      </c>
      <c r="D16" s="1765">
        <f>SUM(D3,D5:D6,D8:D10,D12:D15)</f>
        <v>62507</v>
      </c>
      <c r="E16" s="1765">
        <f>SUM(E3,E5:E6,E8:E10,E12:E15)</f>
        <v>0</v>
      </c>
      <c r="F16" s="1765">
        <f>SUM(F3,F5:F6,F8:F10,F12:F15)</f>
        <v>33031879</v>
      </c>
      <c r="G16" s="681"/>
      <c r="H16" s="1435">
        <f>SUM(H3,H6,H8:H10,H12:H14,)</f>
        <v>3127518</v>
      </c>
      <c r="I16" s="1435">
        <f>SUM(I3,I6,I8:I10,I12:I14,)</f>
        <v>717869</v>
      </c>
      <c r="J16" s="1435">
        <f>SUM(J3,J6,J8:J10,J12:J14,)</f>
        <v>0</v>
      </c>
      <c r="K16" s="1435">
        <f>(H16+I16)-J16</f>
        <v>3845387</v>
      </c>
      <c r="L16" s="1435">
        <f>F16-K16</f>
        <v>29186492</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717869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topLeftCell="C158" colorId="8" zoomScale="6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473</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2"/>
      <c r="B5" s="2373"/>
      <c r="C5" s="2373"/>
      <c r="D5" s="2373"/>
      <c r="E5" s="2373"/>
      <c r="F5" s="2373"/>
    </row>
    <row r="6" spans="1:9" ht="13.5" customHeight="1" thickBot="1" x14ac:dyDescent="0.25">
      <c r="A6" s="2363" t="s">
        <v>1094</v>
      </c>
      <c r="B6" s="2364"/>
      <c r="C6" s="2364"/>
      <c r="D6" s="2364"/>
      <c r="E6" s="2364"/>
      <c r="F6" s="236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3838557</v>
      </c>
      <c r="G8" s="701"/>
    </row>
    <row r="9" spans="1:9" x14ac:dyDescent="0.2">
      <c r="A9" s="705" t="s">
        <v>456</v>
      </c>
      <c r="B9" s="706" t="s">
        <v>1847</v>
      </c>
      <c r="C9" s="707"/>
      <c r="D9" s="705" t="s">
        <v>497</v>
      </c>
      <c r="E9" s="704"/>
      <c r="F9" s="1775">
        <f>'Expenditures 15-22'!K151</f>
        <v>505502</v>
      </c>
      <c r="G9" s="708"/>
    </row>
    <row r="10" spans="1:9" x14ac:dyDescent="0.2">
      <c r="A10" s="705" t="s">
        <v>495</v>
      </c>
      <c r="B10" s="706" t="s">
        <v>1848</v>
      </c>
      <c r="C10" s="707"/>
      <c r="D10" s="705" t="s">
        <v>497</v>
      </c>
      <c r="E10" s="704"/>
      <c r="F10" s="1775">
        <f>'Expenditures 15-22'!K174</f>
        <v>2648149</v>
      </c>
      <c r="G10" s="708"/>
    </row>
    <row r="11" spans="1:9" x14ac:dyDescent="0.2">
      <c r="A11" s="705" t="s">
        <v>457</v>
      </c>
      <c r="B11" s="706" t="s">
        <v>1849</v>
      </c>
      <c r="C11" s="707"/>
      <c r="D11" s="705" t="s">
        <v>497</v>
      </c>
      <c r="E11" s="704"/>
      <c r="F11" s="1775">
        <f>'Expenditures 15-22'!K210</f>
        <v>135544</v>
      </c>
      <c r="G11" s="708"/>
    </row>
    <row r="12" spans="1:9" x14ac:dyDescent="0.2">
      <c r="A12" s="705" t="s">
        <v>458</v>
      </c>
      <c r="B12" s="706" t="s">
        <v>1850</v>
      </c>
      <c r="C12" s="707"/>
      <c r="D12" s="705" t="s">
        <v>497</v>
      </c>
      <c r="E12" s="704"/>
      <c r="F12" s="1775">
        <f>'Expenditures 15-22'!K295</f>
        <v>149321</v>
      </c>
      <c r="G12" s="708"/>
    </row>
    <row r="13" spans="1:9" x14ac:dyDescent="0.2">
      <c r="A13" s="705" t="s">
        <v>106</v>
      </c>
      <c r="B13" s="706" t="s">
        <v>1851</v>
      </c>
      <c r="C13" s="707"/>
      <c r="D13" s="705" t="s">
        <v>497</v>
      </c>
      <c r="E13" s="704"/>
      <c r="F13" s="1775">
        <f>'Expenditures 15-22'!K342</f>
        <v>457323</v>
      </c>
      <c r="G13" s="709"/>
    </row>
    <row r="14" spans="1:9" ht="12" customHeight="1" thickBot="1" x14ac:dyDescent="0.25">
      <c r="A14" s="1443"/>
      <c r="B14" s="1444"/>
      <c r="C14" s="1445"/>
      <c r="D14" s="1446" t="s">
        <v>497</v>
      </c>
      <c r="E14" s="1447" t="s">
        <v>951</v>
      </c>
      <c r="F14" s="1776">
        <f>SUM(F8:F13)</f>
        <v>7734396</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3">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1908</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16862</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11906</v>
      </c>
      <c r="G52" s="701"/>
    </row>
    <row r="53" spans="1:7" x14ac:dyDescent="0.2">
      <c r="A53" s="705" t="s">
        <v>455</v>
      </c>
      <c r="B53" s="705" t="s">
        <v>1457</v>
      </c>
      <c r="C53" s="724">
        <f>'Expenditures 15-22'!B102</f>
        <v>4000</v>
      </c>
      <c r="D53" s="723" t="str">
        <f>'Expenditures 15-22'!A102</f>
        <v>Total Payments to Other Govt Units</v>
      </c>
      <c r="E53" s="704"/>
      <c r="F53" s="1782">
        <f>'Expenditures 15-22'!K102</f>
        <v>118887</v>
      </c>
      <c r="G53" s="701"/>
    </row>
    <row r="54" spans="1:7" x14ac:dyDescent="0.2">
      <c r="A54" s="705" t="s">
        <v>455</v>
      </c>
      <c r="B54" s="705" t="s">
        <v>1458</v>
      </c>
      <c r="C54" s="724" t="s">
        <v>974</v>
      </c>
      <c r="D54" s="720" t="s">
        <v>1085</v>
      </c>
      <c r="E54" s="704"/>
      <c r="F54" s="1782">
        <f>'Expenditures 15-22'!G114</f>
        <v>0</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2">
        <f>'Expenditures 15-22'!K139</f>
        <v>0</v>
      </c>
      <c r="G57" s="701"/>
    </row>
    <row r="58" spans="1:7" x14ac:dyDescent="0.2">
      <c r="A58" s="705" t="s">
        <v>456</v>
      </c>
      <c r="B58" s="705" t="s">
        <v>1853</v>
      </c>
      <c r="C58" s="721" t="s">
        <v>974</v>
      </c>
      <c r="D58" s="720" t="s">
        <v>1085</v>
      </c>
      <c r="E58" s="704"/>
      <c r="F58" s="1784">
        <f>'Expenditures 15-22'!G151</f>
        <v>62507</v>
      </c>
      <c r="G58" s="701"/>
    </row>
    <row r="59" spans="1:7" x14ac:dyDescent="0.2">
      <c r="A59" s="728" t="s">
        <v>456</v>
      </c>
      <c r="B59" s="692" t="s">
        <v>1854</v>
      </c>
      <c r="C59" s="729" t="s">
        <v>974</v>
      </c>
      <c r="D59" s="692" t="s">
        <v>287</v>
      </c>
      <c r="F59" s="1785">
        <f>'Expenditures 15-22'!I151</f>
        <v>0</v>
      </c>
      <c r="G59" s="701"/>
    </row>
    <row r="60" spans="1:7" x14ac:dyDescent="0.2">
      <c r="A60" s="728" t="s">
        <v>495</v>
      </c>
      <c r="B60" s="692" t="s">
        <v>1855</v>
      </c>
      <c r="C60" s="729">
        <v>4000</v>
      </c>
      <c r="D60" s="692" t="s">
        <v>308</v>
      </c>
      <c r="F60" s="1783">
        <f>'Expenditures 15-22'!K160</f>
        <v>0</v>
      </c>
      <c r="G60" s="701"/>
    </row>
    <row r="61" spans="1:7" x14ac:dyDescent="0.2">
      <c r="A61" s="730" t="s">
        <v>495</v>
      </c>
      <c r="B61" s="730" t="s">
        <v>1856</v>
      </c>
      <c r="C61" s="731" t="str">
        <f>'Expenditures 15-22'!B170</f>
        <v>5300</v>
      </c>
      <c r="D61" s="732" t="s">
        <v>307</v>
      </c>
      <c r="E61" s="715"/>
      <c r="F61" s="1782">
        <f>'Expenditures 15-22'!K170</f>
        <v>880000</v>
      </c>
      <c r="G61" s="701"/>
    </row>
    <row r="62" spans="1:7" x14ac:dyDescent="0.2">
      <c r="A62" s="705" t="s">
        <v>457</v>
      </c>
      <c r="B62" s="705" t="s">
        <v>1857</v>
      </c>
      <c r="C62" s="721">
        <f>'Expenditures 15-22'!B185</f>
        <v>3000</v>
      </c>
      <c r="D62" s="712" t="s">
        <v>445</v>
      </c>
      <c r="E62" s="704"/>
      <c r="F62" s="178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1859</v>
      </c>
      <c r="C64" s="731" t="str">
        <f>'Expenditures 15-22'!B206</f>
        <v>5300</v>
      </c>
      <c r="D64" s="727" t="s">
        <v>307</v>
      </c>
      <c r="E64" s="704"/>
      <c r="F64" s="1782">
        <f>'Expenditures 15-22'!K206</f>
        <v>15522</v>
      </c>
      <c r="G64" s="701"/>
    </row>
    <row r="65" spans="1:9" x14ac:dyDescent="0.2">
      <c r="A65" s="705" t="s">
        <v>457</v>
      </c>
      <c r="B65" s="705" t="s">
        <v>1860</v>
      </c>
      <c r="C65" s="721" t="s">
        <v>974</v>
      </c>
      <c r="D65" s="720" t="s">
        <v>1085</v>
      </c>
      <c r="E65" s="704"/>
      <c r="F65" s="1782">
        <f>'Expenditures 15-22'!G210</f>
        <v>0</v>
      </c>
      <c r="G65" s="701"/>
    </row>
    <row r="66" spans="1:9" x14ac:dyDescent="0.2">
      <c r="A66" s="705" t="s">
        <v>457</v>
      </c>
      <c r="B66" s="705" t="s">
        <v>1861</v>
      </c>
      <c r="C66" s="721" t="s">
        <v>974</v>
      </c>
      <c r="D66" s="720" t="s">
        <v>287</v>
      </c>
      <c r="E66" s="704"/>
      <c r="F66" s="1782">
        <f>'Expenditures 15-22'!I210</f>
        <v>0</v>
      </c>
      <c r="G66" s="701"/>
    </row>
    <row r="67" spans="1:9" x14ac:dyDescent="0.2">
      <c r="A67" s="705" t="s">
        <v>458</v>
      </c>
      <c r="B67" s="705" t="s">
        <v>1862</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1864</v>
      </c>
      <c r="C70" s="721">
        <f>'Expenditures 15-22'!B221</f>
        <v>1300</v>
      </c>
      <c r="D70" s="722" t="str">
        <f>'Expenditures 15-22'!A221</f>
        <v>Adult/Continuing Education Programs</v>
      </c>
      <c r="E70" s="704"/>
      <c r="F70" s="1782">
        <f>'Expenditures 15-22'!K221</f>
        <v>0</v>
      </c>
      <c r="G70" s="701"/>
    </row>
    <row r="71" spans="1:9" x14ac:dyDescent="0.2">
      <c r="A71" s="705" t="s">
        <v>458</v>
      </c>
      <c r="B71" s="705" t="s">
        <v>1865</v>
      </c>
      <c r="C71" s="721">
        <f>'Expenditures 15-22'!B224</f>
        <v>1600</v>
      </c>
      <c r="D71" s="722" t="str">
        <f>'Expenditures 15-22'!A224</f>
        <v>Summer School Programs</v>
      </c>
      <c r="E71" s="704"/>
      <c r="F71" s="1782">
        <f>'Expenditures 15-22'!K224</f>
        <v>0</v>
      </c>
      <c r="G71" s="701"/>
    </row>
    <row r="72" spans="1:9" x14ac:dyDescent="0.2">
      <c r="A72" s="705" t="s">
        <v>458</v>
      </c>
      <c r="B72" s="705" t="s">
        <v>1866</v>
      </c>
      <c r="C72" s="721">
        <f>'Expenditures 15-22'!B280</f>
        <v>3000</v>
      </c>
      <c r="D72" s="712" t="s">
        <v>445</v>
      </c>
      <c r="E72" s="704"/>
      <c r="F72" s="1782">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1868</v>
      </c>
      <c r="C74" s="721" t="s">
        <v>854</v>
      </c>
      <c r="D74" s="722" t="s">
        <v>1469</v>
      </c>
      <c r="E74" s="704"/>
      <c r="F74" s="1786">
        <f>'Expenditures 15-22'!K334</f>
        <v>0</v>
      </c>
      <c r="G74" s="701"/>
    </row>
    <row r="75" spans="1:9" x14ac:dyDescent="0.2">
      <c r="A75" s="705" t="s">
        <v>2007</v>
      </c>
      <c r="B75" s="705" t="s">
        <v>2008</v>
      </c>
      <c r="C75" s="721" t="s">
        <v>974</v>
      </c>
      <c r="D75" s="722" t="s">
        <v>1085</v>
      </c>
      <c r="E75" s="704"/>
      <c r="F75" s="1786">
        <f>'Expenditures 15-22'!G342</f>
        <v>0</v>
      </c>
      <c r="G75" s="701"/>
    </row>
    <row r="76" spans="1:9" ht="10.5" customHeight="1" x14ac:dyDescent="0.2">
      <c r="A76" s="701" t="s">
        <v>432</v>
      </c>
      <c r="B76" s="705" t="s">
        <v>2009</v>
      </c>
      <c r="C76" s="711" t="s">
        <v>974</v>
      </c>
      <c r="D76" s="701" t="s">
        <v>287</v>
      </c>
      <c r="E76" s="704"/>
      <c r="F76" s="1786">
        <f>'Expenditures 15-22'!I342</f>
        <v>0</v>
      </c>
      <c r="G76" s="703"/>
    </row>
    <row r="77" spans="1:9" ht="12" thickBot="1" x14ac:dyDescent="0.25">
      <c r="A77" s="1443"/>
      <c r="B77" s="1448"/>
      <c r="C77" s="1445"/>
      <c r="D77" s="1449" t="s">
        <v>2010</v>
      </c>
      <c r="E77" s="1447" t="s">
        <v>951</v>
      </c>
      <c r="F77" s="1787">
        <f>SUM(F18:F76)</f>
        <v>1105684</v>
      </c>
      <c r="G77" s="701"/>
    </row>
    <row r="78" spans="1:9" s="728" customFormat="1" ht="12" customHeight="1" thickTop="1" thickBot="1" x14ac:dyDescent="0.25">
      <c r="A78" s="1450"/>
      <c r="B78" s="1448"/>
      <c r="C78" s="1445"/>
      <c r="D78" s="1449" t="s">
        <v>2011</v>
      </c>
      <c r="E78" s="1447"/>
      <c r="F78" s="1788">
        <f>(F14-F77)</f>
        <v>6628712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383.5</v>
      </c>
      <c r="G79" s="733"/>
      <c r="H79" s="705"/>
      <c r="I79" s="705"/>
    </row>
    <row r="80" spans="1:9" s="728" customFormat="1" ht="12" customHeight="1" thickBot="1" x14ac:dyDescent="0.25">
      <c r="A80" s="1452"/>
      <c r="B80" s="1448"/>
      <c r="C80" s="1445"/>
      <c r="D80" s="1449" t="s">
        <v>2012</v>
      </c>
      <c r="E80" s="1447" t="s">
        <v>951</v>
      </c>
      <c r="F80" s="1790">
        <f>IF(F79&gt;0,F78/F79," Complete Line 79")</f>
        <v>17284.777053455018</v>
      </c>
      <c r="G80" s="705"/>
    </row>
    <row r="81" spans="1:7" s="728" customFormat="1" ht="8.25" customHeight="1" thickTop="1" x14ac:dyDescent="0.2">
      <c r="A81" s="734"/>
      <c r="B81" s="705"/>
      <c r="C81" s="707"/>
      <c r="D81" s="735"/>
      <c r="E81" s="704"/>
      <c r="F81" s="1791"/>
      <c r="G81" s="705"/>
    </row>
    <row r="82" spans="1:7" s="728" customFormat="1" ht="12" thickBot="1" x14ac:dyDescent="0.25">
      <c r="A82" s="2363" t="s">
        <v>1095</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97586</v>
      </c>
      <c r="G95" s="745"/>
    </row>
    <row r="96" spans="1:7" x14ac:dyDescent="0.2">
      <c r="A96" s="741" t="s">
        <v>139</v>
      </c>
      <c r="B96" s="741" t="s">
        <v>174</v>
      </c>
      <c r="C96" s="743">
        <v>1700</v>
      </c>
      <c r="D96" s="751" t="str">
        <f>'Revenues 9-14'!A82</f>
        <v>Total District/School Activity Income</v>
      </c>
      <c r="E96" s="739"/>
      <c r="F96" s="1793">
        <f>SUM('Revenues 9-14'!C82,'Revenues 9-14'!D82)</f>
        <v>63273</v>
      </c>
      <c r="G96" s="745"/>
    </row>
    <row r="97" spans="1:7" x14ac:dyDescent="0.2">
      <c r="A97" s="741" t="s">
        <v>455</v>
      </c>
      <c r="B97" s="741" t="s">
        <v>175</v>
      </c>
      <c r="C97" s="743">
        <f>'Revenues 9-14'!B84</f>
        <v>1811</v>
      </c>
      <c r="D97" s="744" t="str">
        <f>'Revenues 9-14'!A84</f>
        <v>Rentals - Regular Textbooks</v>
      </c>
      <c r="E97" s="739"/>
      <c r="F97" s="1793">
        <f>'Revenues 9-14'!C84</f>
        <v>33250</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15355</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8932</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1909</v>
      </c>
      <c r="C106" s="746">
        <v>3100</v>
      </c>
      <c r="D106" s="752" t="str">
        <f>'Revenues 9-14'!A132</f>
        <v>Total Special Education</v>
      </c>
      <c r="E106" s="739"/>
      <c r="F106" s="1793">
        <f>SUM('Revenues 9-14'!C132:D132,'Revenues 9-14'!F132)</f>
        <v>9177</v>
      </c>
      <c r="G106" s="745"/>
    </row>
    <row r="107" spans="1:7" x14ac:dyDescent="0.2">
      <c r="A107" s="741" t="s">
        <v>667</v>
      </c>
      <c r="B107" s="741" t="s">
        <v>1910</v>
      </c>
      <c r="C107" s="753">
        <v>3200</v>
      </c>
      <c r="D107" s="744" t="str">
        <f>'Revenues 9-14'!A141</f>
        <v>Total Career and Technical Education</v>
      </c>
      <c r="E107" s="739"/>
      <c r="F107" s="1793">
        <f>SUM('Revenues 9-14'!C141,'Revenues 9-14'!D141,'Revenues 9-14'!G141)</f>
        <v>13745</v>
      </c>
      <c r="G107" s="745"/>
    </row>
    <row r="108" spans="1:7" x14ac:dyDescent="0.2">
      <c r="A108" s="754" t="s">
        <v>658</v>
      </c>
      <c r="B108" s="741" t="s">
        <v>1911</v>
      </c>
      <c r="C108" s="753">
        <v>3300</v>
      </c>
      <c r="D108" s="744" t="str">
        <f>'Revenues 9-14'!A145</f>
        <v>Total Bilingual Ed</v>
      </c>
      <c r="E108" s="739"/>
      <c r="F108" s="179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3">
        <f>'Revenues 9-14'!C146</f>
        <v>1177</v>
      </c>
      <c r="G109" s="745"/>
    </row>
    <row r="110" spans="1:7" x14ac:dyDescent="0.2">
      <c r="A110" s="741" t="s">
        <v>667</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17171</v>
      </c>
      <c r="G111" s="745"/>
    </row>
    <row r="112" spans="1:7" x14ac:dyDescent="0.2">
      <c r="A112" s="741" t="s">
        <v>662</v>
      </c>
      <c r="B112" s="741" t="s">
        <v>1915</v>
      </c>
      <c r="C112" s="755">
        <v>3500</v>
      </c>
      <c r="D112" s="744" t="str">
        <f>'Revenues 9-14'!A155</f>
        <v>Total Transportation</v>
      </c>
      <c r="E112" s="739"/>
      <c r="F112" s="1793">
        <f>SUM('Revenues 9-14'!C155,'Revenues 9-14'!D155,'Revenues 9-14'!F155,'Revenues 9-14'!G155)</f>
        <v>40227</v>
      </c>
      <c r="G112" s="745"/>
    </row>
    <row r="113" spans="1:7" x14ac:dyDescent="0.2">
      <c r="A113" s="741" t="s">
        <v>455</v>
      </c>
      <c r="B113" s="741" t="s">
        <v>1916</v>
      </c>
      <c r="C113" s="753">
        <f>'Revenues 9-14'!B156</f>
        <v>3610</v>
      </c>
      <c r="D113" s="744" t="str">
        <f>'Revenues 9-14'!A156</f>
        <v>Learning Improvement - Change Grants</v>
      </c>
      <c r="E113" s="739"/>
      <c r="F113" s="1793">
        <f>'Revenues 9-14'!C156</f>
        <v>0</v>
      </c>
      <c r="G113" s="745"/>
    </row>
    <row r="114" spans="1:7" x14ac:dyDescent="0.2">
      <c r="A114" s="741" t="s">
        <v>662</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2">
        <f>SUM('Revenues 9-14'!C163:G163)</f>
        <v>0</v>
      </c>
      <c r="G119" s="745"/>
    </row>
    <row r="120" spans="1:7" x14ac:dyDescent="0.2">
      <c r="A120" s="756" t="s">
        <v>500</v>
      </c>
      <c r="B120" s="756" t="s">
        <v>1923</v>
      </c>
      <c r="C120" s="757">
        <f>'Revenues 9-14'!B164</f>
        <v>3815</v>
      </c>
      <c r="D120" s="758" t="str">
        <f>'Revenues 9-14'!A164</f>
        <v>State Charter Schools</v>
      </c>
      <c r="E120" s="739"/>
      <c r="F120" s="179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3">
        <f>'Revenues 9-14'!D167</f>
        <v>0</v>
      </c>
      <c r="G121" s="763"/>
    </row>
    <row r="122" spans="1:7" x14ac:dyDescent="0.2">
      <c r="A122" s="760" t="s">
        <v>496</v>
      </c>
      <c r="B122" s="760" t="s">
        <v>1925</v>
      </c>
      <c r="C122" s="761">
        <f>'Revenues 9-14'!B168</f>
        <v>3999</v>
      </c>
      <c r="D122" s="762" t="s">
        <v>539</v>
      </c>
      <c r="E122" s="764"/>
      <c r="F122" s="1793">
        <f>SUM('Revenues 9-14'!C168:G168,'Revenues 9-14'!J168)</f>
        <v>0</v>
      </c>
      <c r="G122" s="763"/>
    </row>
    <row r="123" spans="1:7" x14ac:dyDescent="0.2">
      <c r="A123" s="760" t="s">
        <v>455</v>
      </c>
      <c r="B123" s="760" t="s">
        <v>1926</v>
      </c>
      <c r="C123" s="765">
        <f>'Revenues 9-14'!B177</f>
        <v>4045</v>
      </c>
      <c r="D123" s="762" t="str">
        <f>'Revenues 9-14'!A177 &amp; " (Subtract)"</f>
        <v>Head Start (Subtract)</v>
      </c>
      <c r="E123" s="739"/>
      <c r="F123" s="179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3">
        <f>SUM('Revenues 9-14'!C181,'Revenues 9-14'!D181,'Revenues 9-14'!F181,'Revenues 9-14'!G181)</f>
        <v>6803</v>
      </c>
      <c r="G124" s="763"/>
    </row>
    <row r="125" spans="1:7" x14ac:dyDescent="0.2">
      <c r="A125" s="760" t="s">
        <v>662</v>
      </c>
      <c r="B125" s="760" t="s">
        <v>1928</v>
      </c>
      <c r="C125" s="765">
        <v>4100</v>
      </c>
      <c r="D125" s="766" t="str">
        <f>'Revenues 9-14'!A188</f>
        <v>Total Title V</v>
      </c>
      <c r="E125" s="739"/>
      <c r="F125" s="179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3">
        <f>SUM('Revenues 9-14'!C198,'Revenues 9-14'!G198)</f>
        <v>126275</v>
      </c>
      <c r="G126" s="763"/>
    </row>
    <row r="127" spans="1:7" x14ac:dyDescent="0.2">
      <c r="A127" s="760" t="s">
        <v>662</v>
      </c>
      <c r="B127" s="760" t="s">
        <v>1930</v>
      </c>
      <c r="C127" s="765">
        <v>4300</v>
      </c>
      <c r="D127" s="766" t="str">
        <f>'Revenues 9-14'!A204</f>
        <v>Total Title I</v>
      </c>
      <c r="E127" s="739"/>
      <c r="F127" s="1793">
        <f>SUM('Revenues 9-14'!C204,'Revenues 9-14'!D204,'Revenues 9-14'!F204,'Revenues 9-14'!G204)</f>
        <v>120856</v>
      </c>
      <c r="G127" s="763"/>
    </row>
    <row r="128" spans="1:7" x14ac:dyDescent="0.2">
      <c r="A128" s="760" t="s">
        <v>662</v>
      </c>
      <c r="B128" s="760" t="s">
        <v>1931</v>
      </c>
      <c r="C128" s="765">
        <v>4400</v>
      </c>
      <c r="D128" s="766" t="str">
        <f>'Revenues 9-14'!A209</f>
        <v>Total Title IV</v>
      </c>
      <c r="E128" s="739"/>
      <c r="F128" s="1793">
        <f>SUM('Revenues 9-14'!C209,'Revenues 9-14'!D209,'Revenues 9-14'!F209,'Revenues 9-14'!G209)</f>
        <v>26021</v>
      </c>
      <c r="G128" s="763"/>
    </row>
    <row r="129" spans="1:7" x14ac:dyDescent="0.2">
      <c r="A129" s="760" t="s">
        <v>662</v>
      </c>
      <c r="B129" s="760" t="s">
        <v>1932</v>
      </c>
      <c r="C129" s="765">
        <f>'Revenues 9-14'!B213</f>
        <v>4620</v>
      </c>
      <c r="D129" s="766" t="str">
        <f>'Revenues 9-14'!A213</f>
        <v>Fed - Spec Education - IDEA - Flow Through</v>
      </c>
      <c r="E129" s="739"/>
      <c r="F129" s="1793">
        <f>SUM('Revenues 9-14'!C213:D213,'Revenues 9-14'!F213:G213)</f>
        <v>12893</v>
      </c>
      <c r="G129" s="763"/>
    </row>
    <row r="130" spans="1:7" x14ac:dyDescent="0.2">
      <c r="A130" s="760" t="s">
        <v>662</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1950</v>
      </c>
      <c r="C158" s="773" t="s">
        <v>835</v>
      </c>
      <c r="D158" s="774" t="s">
        <v>771</v>
      </c>
      <c r="E158" s="775"/>
      <c r="F158" s="1793">
        <f>SUM(F134:F157)</f>
        <v>0</v>
      </c>
      <c r="G158" s="738"/>
    </row>
    <row r="159" spans="1:7" s="703" customFormat="1" x14ac:dyDescent="0.2">
      <c r="A159" s="771" t="s">
        <v>455</v>
      </c>
      <c r="B159" s="772" t="s">
        <v>1951</v>
      </c>
      <c r="C159" s="773" t="s">
        <v>1409</v>
      </c>
      <c r="D159" s="774" t="s">
        <v>1410</v>
      </c>
      <c r="E159" s="775"/>
      <c r="F159" s="1793">
        <f>SUM('Revenues 9-14'!C253)</f>
        <v>0</v>
      </c>
      <c r="G159" s="738"/>
    </row>
    <row r="160" spans="1:7" s="703" customFormat="1" x14ac:dyDescent="0.2">
      <c r="A160" s="771" t="s">
        <v>496</v>
      </c>
      <c r="B160" s="772" t="s">
        <v>1952</v>
      </c>
      <c r="C160" s="773" t="s">
        <v>1448</v>
      </c>
      <c r="D160" s="774" t="s">
        <v>1449</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2">
        <f>SUM('Revenues 9-14'!C259,'Revenues 9-14'!D259,'Revenues 9-14'!F259,'Revenues 9-14'!G259)</f>
        <v>9348</v>
      </c>
      <c r="G165" s="763"/>
    </row>
    <row r="166" spans="1:7" x14ac:dyDescent="0.2">
      <c r="A166" s="760" t="s">
        <v>662</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3">
        <f>SUM('Revenues 9-14'!C263:D263,'Revenues 9-14'!F263:G263)</f>
        <v>6657</v>
      </c>
      <c r="G169" s="780">
        <v>6320</v>
      </c>
    </row>
    <row r="170" spans="1:7" x14ac:dyDescent="0.2">
      <c r="A170" s="760" t="s">
        <v>662</v>
      </c>
      <c r="B170" s="760" t="s">
        <v>1960</v>
      </c>
      <c r="C170" s="765">
        <f>'Revenues 9-14'!B264</f>
        <v>4992</v>
      </c>
      <c r="D170" s="766" t="str">
        <f>'Revenues 9-14'!A264</f>
        <v>Medicaid Matching Funds - Fee-for-Service Program</v>
      </c>
      <c r="E170" s="739"/>
      <c r="F170" s="1793">
        <f>SUM('Revenues 9-14'!C264:D264,'Revenues 9-14'!F264:G264)</f>
        <v>35082</v>
      </c>
      <c r="G170" s="780"/>
    </row>
    <row r="171" spans="1:7" x14ac:dyDescent="0.2">
      <c r="A171" s="781" t="s">
        <v>662</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177554</v>
      </c>
      <c r="G172" s="760"/>
    </row>
    <row r="173" spans="1:7" x14ac:dyDescent="0.2">
      <c r="A173" s="1529" t="s">
        <v>658</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951</v>
      </c>
      <c r="F175" s="1796">
        <f>SUM(F85:F133,F158:F173)</f>
        <v>821382</v>
      </c>
    </row>
    <row r="176" spans="1:7" ht="12" customHeight="1" x14ac:dyDescent="0.2">
      <c r="A176" s="1443"/>
      <c r="B176" s="1453"/>
      <c r="C176" s="1454"/>
      <c r="D176" s="1455" t="s">
        <v>2013</v>
      </c>
      <c r="E176" s="1456"/>
      <c r="F176" s="1793">
        <f>'PCTC-OEPP 27-28'!F78-F175</f>
        <v>5807330</v>
      </c>
    </row>
    <row r="177" spans="1:9" ht="12" customHeight="1" x14ac:dyDescent="0.2">
      <c r="A177" s="1443"/>
      <c r="B177" s="1453"/>
      <c r="C177" s="1454"/>
      <c r="D177" s="1455" t="s">
        <v>1793</v>
      </c>
      <c r="E177" s="1456"/>
      <c r="F177" s="1793">
        <f>'Cap Outlay Deprec 26'!I18</f>
        <v>717869</v>
      </c>
    </row>
    <row r="178" spans="1:9" ht="12" customHeight="1" x14ac:dyDescent="0.2">
      <c r="A178" s="1443"/>
      <c r="B178" s="1453"/>
      <c r="C178" s="1454"/>
      <c r="D178" s="1455" t="s">
        <v>2014</v>
      </c>
      <c r="E178" s="1456"/>
      <c r="F178" s="1793">
        <f>F176+F177</f>
        <v>6525199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383.5</v>
      </c>
      <c r="G179" s="763"/>
      <c r="I179" s="701"/>
    </row>
    <row r="180" spans="1:9" ht="12" customHeight="1" thickBot="1" x14ac:dyDescent="0.25">
      <c r="A180" s="1443"/>
      <c r="B180" s="1457"/>
      <c r="C180" s="1454"/>
      <c r="D180" s="1455" t="s">
        <v>2016</v>
      </c>
      <c r="E180" s="1456" t="s">
        <v>1527</v>
      </c>
      <c r="F180" s="1798">
        <f>F178/F179</f>
        <v>17014.860495436766</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6" zoomScaleNormal="100" workbookViewId="0">
      <selection activeCell="C130" sqref="C13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7" t="s">
        <v>1795</v>
      </c>
      <c r="B6" s="1868"/>
      <c r="C6" s="1869"/>
      <c r="D6" s="1869"/>
      <c r="E6" s="1869"/>
      <c r="F6" s="1870"/>
    </row>
    <row r="7" spans="1:6" ht="47.25" customHeight="1" x14ac:dyDescent="0.25">
      <c r="A7" s="2383" t="s">
        <v>1984</v>
      </c>
      <c r="B7" s="2384"/>
      <c r="C7" s="2384"/>
      <c r="D7" s="2384"/>
      <c r="E7" s="2384"/>
      <c r="F7" s="2385"/>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3" t="s">
        <v>1981</v>
      </c>
      <c r="B12" s="1874"/>
      <c r="C12" s="1875"/>
      <c r="D12" s="1875"/>
      <c r="E12" s="1875"/>
      <c r="F12" s="1876"/>
    </row>
    <row r="13" spans="1:6" ht="17.25" customHeight="1" x14ac:dyDescent="0.25">
      <c r="A13" s="2383" t="s">
        <v>1982</v>
      </c>
      <c r="B13" s="2384"/>
      <c r="C13" s="2384"/>
      <c r="D13" s="2384"/>
      <c r="E13" s="2384"/>
      <c r="F13" s="2385"/>
    </row>
    <row r="14" spans="1:6" ht="15" customHeight="1" x14ac:dyDescent="0.25">
      <c r="A14" s="1873" t="s">
        <v>1799</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6" t="s">
        <v>2075</v>
      </c>
      <c r="B18" s="1908">
        <v>202540300</v>
      </c>
      <c r="C18" s="2035" t="s">
        <v>2074</v>
      </c>
      <c r="D18" s="1886">
        <f>60*11</f>
        <v>660</v>
      </c>
      <c r="E18" s="1906">
        <f t="shared" ref="E18:E81" si="0">IF(D18&lt;25000,D18,"25,000")</f>
        <v>660</v>
      </c>
      <c r="F18" s="1906" t="str">
        <f t="shared" ref="F18:F81" si="1">IF(D18&gt;=25000,(D18-E18),"0")</f>
        <v>0</v>
      </c>
      <c r="G18" s="1887"/>
    </row>
    <row r="19" spans="1:7" x14ac:dyDescent="0.25">
      <c r="A19" s="2036" t="s">
        <v>2075</v>
      </c>
      <c r="B19" s="1908">
        <v>202540300</v>
      </c>
      <c r="C19" s="2035" t="s">
        <v>2076</v>
      </c>
      <c r="D19" s="1886">
        <f>648.75*5</f>
        <v>3243.75</v>
      </c>
      <c r="E19" s="1906">
        <f t="shared" si="0"/>
        <v>3243.75</v>
      </c>
      <c r="F19" s="1906" t="str">
        <f t="shared" si="1"/>
        <v>0</v>
      </c>
    </row>
    <row r="20" spans="1:7" x14ac:dyDescent="0.25">
      <c r="A20" s="2036" t="s">
        <v>2075</v>
      </c>
      <c r="B20" s="1908">
        <v>202540300</v>
      </c>
      <c r="C20" s="2035" t="s">
        <v>2077</v>
      </c>
      <c r="D20" s="1886">
        <v>2529</v>
      </c>
      <c r="E20" s="1906">
        <f t="shared" si="0"/>
        <v>2529</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6432.75</v>
      </c>
      <c r="E142" s="1893">
        <f>SUM(E18:E141)</f>
        <v>6432.75</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9" t="s">
        <v>1659</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23817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2855889</v>
      </c>
      <c r="F19" s="1802"/>
      <c r="G19" s="1804">
        <f>'Expenditures 15-22'!K33-SUM('Expenditures 15-22'!G33,'Expenditures 15-22'!I33)+'Expenditures 15-22'!D229</f>
        <v>2855889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264410</v>
      </c>
      <c r="F21" s="1805"/>
      <c r="G21" s="1808">
        <f>'Expenditures 15-22'!K42-SUM('Expenditures 15-22'!G42,'Expenditures 15-22'!I42)+'Expenditures 15-22'!K120-SUM('Expenditures 15-22'!G120,'Expenditures 15-22'!I120)+'Expenditures 15-22'!K180-SUM('Expenditures 15-22'!G180,'Expenditures 15-22'!I180)+'Expenditures 15-22'!D238</f>
        <v>264410</v>
      </c>
      <c r="H21" s="817"/>
      <c r="I21" s="157"/>
    </row>
    <row r="22" spans="1:9" s="542" customFormat="1" ht="12" customHeight="1" x14ac:dyDescent="0.2">
      <c r="A22" s="824" t="s">
        <v>559</v>
      </c>
      <c r="B22" s="825"/>
      <c r="C22" s="823">
        <v>2200</v>
      </c>
      <c r="D22" s="1805"/>
      <c r="E22" s="1807">
        <f>'Expenditures 15-22'!K47-SUM('Expenditures 15-22'!G47,'Expenditures 15-22'!I47)+'Expenditures 15-22'!D243</f>
        <v>90209</v>
      </c>
      <c r="F22" s="1805"/>
      <c r="G22" s="1808">
        <f>'Expenditures 15-22'!K47-SUM('Expenditures 15-22'!G47,'Expenditures 15-22'!I47)+'Expenditures 15-22'!D243</f>
        <v>90209</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602683</v>
      </c>
      <c r="F23" s="1805"/>
      <c r="G23" s="1807">
        <f>'Expenditures 15-22'!K53-SUM('Expenditures 15-22'!G53,'Expenditures 15-22'!I53)+'Expenditures 15-22'!D257+'Expenditures 15-22'!K330-SUM('Expenditures 15-22'!G330,'Expenditures 15-22'!I330)</f>
        <v>602683</v>
      </c>
      <c r="H23" s="817"/>
      <c r="I23" s="157"/>
    </row>
    <row r="24" spans="1:9" s="542" customFormat="1" ht="12" customHeight="1" x14ac:dyDescent="0.2">
      <c r="A24" s="824" t="s">
        <v>561</v>
      </c>
      <c r="B24" s="825"/>
      <c r="C24" s="823">
        <v>2400</v>
      </c>
      <c r="D24" s="1805"/>
      <c r="E24" s="1807">
        <f>'Expenditures 15-22'!K57-SUM('Expenditures 15-22'!G57,'Expenditures 15-22'!I57)+'Expenditures 15-22'!D261</f>
        <v>216118</v>
      </c>
      <c r="F24" s="1805"/>
      <c r="G24" s="1808">
        <f>'Expenditures 15-22'!K57-SUM('Expenditures 15-22'!G57,'Expenditures 15-22'!I57)+'Expenditures 15-22'!D261</f>
        <v>216118</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65244</v>
      </c>
      <c r="E27" s="1807">
        <f>E8</f>
        <v>0</v>
      </c>
      <c r="F27" s="1807">
        <f>'Expenditures 15-22'!K60-SUM('Expenditures 15-22'!G60,'Expenditures 15-22'!I60)+'Expenditures 15-22'!D264-E8</f>
        <v>65244</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482425</v>
      </c>
      <c r="F28" s="1809">
        <f>'Expenditures 15-22'!K61-SUM('Expenditures 15-22'!G61,'Expenditures 15-22'!I61)+'Expenditures 15-22'!K124-SUM('Expenditures 15-22'!G124,'Expenditures 15-22'!I124)+'Expenditures 15-22'!D266-E9</f>
        <v>482425</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118837</v>
      </c>
      <c r="F29" s="1805"/>
      <c r="G29" s="1808">
        <f>'Expenditures 15-22'!K62-SUM('Expenditures 15-22'!G62,'Expenditures 15-22'!I62)+'Expenditures 15-22'!K125-SUM('Expenditures 15-22'!G125,'Expenditures 15-22'!I125)+'Expenditures 15-22'!K182-SUM('Expenditures 15-22'!G182,'Expenditures 15-22'!I182)+'Expenditures 15-22'!D267</f>
        <v>118837</v>
      </c>
      <c r="H29" s="815"/>
    </row>
    <row r="30" spans="1:9" ht="12" customHeight="1" x14ac:dyDescent="0.2">
      <c r="A30" s="824" t="s">
        <v>100</v>
      </c>
      <c r="B30" s="827"/>
      <c r="C30" s="823">
        <v>2560</v>
      </c>
      <c r="D30" s="1805"/>
      <c r="E30" s="1807">
        <f>'Expenditures 15-22'!K63-SUM('Expenditures 15-22'!G63,'Expenditures 15-22'!I63)+'Expenditures 15-22'!D268-E10</f>
        <v>179797</v>
      </c>
      <c r="F30" s="1805"/>
      <c r="G30" s="1807">
        <f>'Expenditures 15-22'!K63-SUM('Expenditures 15-22'!G63,'Expenditures 15-22'!I63)+'Expenditures 15-22'!D268-E10</f>
        <v>179797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605</v>
      </c>
      <c r="F35" s="1805"/>
      <c r="G35" s="1807">
        <f>'Expenditures 15-22'!K69-SUM('Expenditures 15-22'!G69,'Expenditures 15-22'!I69)+'Expenditures 15-22'!D274</f>
        <v>605</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11906</v>
      </c>
      <c r="F39" s="1805"/>
      <c r="G39" s="1807">
        <f>'Expenditures 15-22'!K75-SUM('Expenditures 15-22'!G75,'Expenditures 15-22'!I75)+'Expenditures 15-22'!K130-SUM('Expenditures 15-22'!G130,'Expenditures 15-22'!I130)+'Expenditures 15-22'!K185-SUM('Expenditures 15-22'!G185,'Expenditures 15-22'!I185)+'Expenditures 15-22'!D280</f>
        <v>11906</v>
      </c>
    </row>
    <row r="40" spans="1:7" ht="12" customHeight="1" x14ac:dyDescent="0.2">
      <c r="A40" s="820" t="s">
        <v>1797</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65244</v>
      </c>
      <c r="E41" s="1809">
        <f>SUM(E19:E40)</f>
        <v>4822879</v>
      </c>
      <c r="F41" s="1809">
        <f>SUM(F19:F39)</f>
        <v>547669</v>
      </c>
      <c r="G41" s="1809">
        <f>SUM(G19:G40)</f>
        <v>4340454</v>
      </c>
    </row>
    <row r="42" spans="1:7" x14ac:dyDescent="0.2">
      <c r="A42" s="817"/>
      <c r="B42" s="157"/>
      <c r="C42" s="831"/>
      <c r="D42" s="2392" t="s">
        <v>518</v>
      </c>
      <c r="E42" s="2393"/>
      <c r="F42" s="832" t="s">
        <v>519</v>
      </c>
      <c r="G42" s="833"/>
    </row>
    <row r="43" spans="1:7" ht="12" customHeight="1" x14ac:dyDescent="0.2">
      <c r="A43" s="817"/>
      <c r="B43" s="157"/>
      <c r="C43" s="831"/>
      <c r="D43" s="1458" t="s">
        <v>469</v>
      </c>
      <c r="E43" s="1810">
        <f>D41</f>
        <v>65244</v>
      </c>
      <c r="F43" s="1458" t="s">
        <v>469</v>
      </c>
      <c r="G43" s="1810">
        <f>F41</f>
        <v>547669</v>
      </c>
    </row>
    <row r="44" spans="1:7" ht="12" customHeight="1" x14ac:dyDescent="0.2">
      <c r="A44" s="817"/>
      <c r="B44" s="157"/>
      <c r="C44" s="831"/>
      <c r="D44" s="1458" t="s">
        <v>470</v>
      </c>
      <c r="E44" s="1810">
        <f>E41</f>
        <v>4822879</v>
      </c>
      <c r="F44" s="1458" t="s">
        <v>470</v>
      </c>
      <c r="G44" s="1810">
        <f>G41</f>
        <v>4340454</v>
      </c>
    </row>
    <row r="45" spans="1:7" ht="12" customHeight="1" x14ac:dyDescent="0.2">
      <c r="A45" s="817"/>
      <c r="B45" s="157"/>
      <c r="C45" s="157"/>
      <c r="D45" s="1459" t="s">
        <v>998</v>
      </c>
      <c r="E45" s="1811">
        <f>(E43/E44)</f>
        <v>1.3528019259865321E-2</v>
      </c>
      <c r="F45" s="1459" t="s">
        <v>998</v>
      </c>
      <c r="G45" s="1811">
        <f>(G43/G44)</f>
        <v>0.12617781457884358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D10" zoomScale="110" zoomScaleNormal="110" workbookViewId="0">
      <selection activeCell="F34" sqref="F3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00" t="s">
        <v>1362</v>
      </c>
      <c r="B1" s="2400"/>
      <c r="C1" s="2400"/>
      <c r="D1" s="2400"/>
      <c r="E1" s="2400"/>
      <c r="F1" s="240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1528</v>
      </c>
      <c r="B5" s="2402"/>
      <c r="C5" s="2403"/>
      <c r="D5" s="2403"/>
      <c r="E5" s="2403"/>
      <c r="F5" s="2403"/>
      <c r="G5" s="1507"/>
      <c r="L5" s="1507"/>
      <c r="M5" s="1855"/>
      <c r="N5" s="1855"/>
      <c r="O5" s="1855"/>
    </row>
    <row r="6" spans="1:15" ht="12" customHeight="1" x14ac:dyDescent="0.25">
      <c r="A6" s="1480"/>
      <c r="B6" s="1481"/>
      <c r="C6" s="2404" t="str">
        <f>COVER!A17</f>
        <v>Hall High SD 502</v>
      </c>
      <c r="D6" s="2404"/>
      <c r="E6" s="2404"/>
      <c r="F6" s="1482"/>
      <c r="G6" s="1507"/>
      <c r="L6" s="1507"/>
      <c r="M6" s="1855"/>
      <c r="N6" s="1855"/>
      <c r="O6" s="1855"/>
    </row>
    <row r="7" spans="1:15" ht="11.25" customHeight="1" thickBot="1" x14ac:dyDescent="0.3">
      <c r="A7" s="1480"/>
      <c r="B7" s="1481"/>
      <c r="C7" s="2405">
        <f>COVER!A13</f>
        <v>28006502017</v>
      </c>
      <c r="D7" s="2405"/>
      <c r="E7" s="2405"/>
      <c r="F7" s="1482"/>
      <c r="G7" s="1507"/>
      <c r="L7" s="1507"/>
      <c r="M7" s="1855"/>
      <c r="N7" s="1855"/>
      <c r="O7" s="1855"/>
    </row>
    <row r="8" spans="1:15" ht="25.5" customHeight="1" thickBot="1" x14ac:dyDescent="0.25">
      <c r="A8" s="1519" t="s">
        <v>1873</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2050</v>
      </c>
      <c r="D26" s="1495" t="s">
        <v>2050</v>
      </c>
      <c r="E26" s="1498"/>
      <c r="F26" s="1497" t="s">
        <v>2078</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t="s">
        <v>2050</v>
      </c>
      <c r="D30" s="1495" t="s">
        <v>2050</v>
      </c>
      <c r="E30" s="1498"/>
      <c r="F30" s="1497" t="s">
        <v>2079</v>
      </c>
      <c r="G30" s="1507"/>
      <c r="H30" s="1507">
        <f t="shared" si="0"/>
        <v>5</v>
      </c>
      <c r="I30" s="1507">
        <f t="shared" si="1"/>
        <v>5</v>
      </c>
      <c r="J30" s="1507">
        <f t="shared" si="2"/>
        <v>0</v>
      </c>
      <c r="L30" s="1507"/>
      <c r="M30" s="1855"/>
      <c r="N30" s="1855"/>
      <c r="O30" s="1855"/>
    </row>
    <row r="31" spans="1:15" ht="12" customHeight="1" x14ac:dyDescent="0.2">
      <c r="A31" s="1493" t="s">
        <v>1521</v>
      </c>
      <c r="B31" s="1494"/>
      <c r="C31" s="1495" t="s">
        <v>2050</v>
      </c>
      <c r="D31" s="1495" t="s">
        <v>2050</v>
      </c>
      <c r="E31" s="1498"/>
      <c r="F31" s="1497" t="s">
        <v>2080</v>
      </c>
      <c r="G31" s="1507"/>
      <c r="H31" s="1507">
        <f t="shared" si="0"/>
        <v>5</v>
      </c>
      <c r="I31" s="1507">
        <f t="shared" si="1"/>
        <v>5</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t="s">
        <v>2050</v>
      </c>
      <c r="D33" s="1495" t="s">
        <v>2050</v>
      </c>
      <c r="E33" s="1498"/>
      <c r="F33" s="1497" t="s">
        <v>2081</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1375</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1374</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4" zoomScale="60" zoomScaleNormal="100" workbookViewId="0">
      <selection activeCell="I13" sqref="I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20" t="str">
        <f>COVER!A17</f>
        <v>Hall High SD 502</v>
      </c>
      <c r="K6" s="2420"/>
      <c r="L6" s="2421"/>
      <c r="M6" s="838"/>
      <c r="N6" s="1998"/>
    </row>
    <row r="7" spans="1:14" x14ac:dyDescent="0.2">
      <c r="A7" s="2422" t="s">
        <v>863</v>
      </c>
      <c r="B7" s="2423"/>
      <c r="C7" s="2423"/>
      <c r="D7" s="2423"/>
      <c r="E7" s="2424"/>
      <c r="F7" s="839"/>
      <c r="G7" s="838"/>
      <c r="H7" s="838"/>
      <c r="I7" s="1924" t="s">
        <v>368</v>
      </c>
      <c r="J7" s="2425">
        <f>COVER!A13</f>
        <v>28006502017</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26" t="s">
        <v>477</v>
      </c>
      <c r="B11" s="2427"/>
      <c r="C11" s="2428"/>
      <c r="D11" s="1937" t="s">
        <v>865</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812</v>
      </c>
      <c r="C12" s="842"/>
      <c r="D12" s="1941">
        <v>2320</v>
      </c>
      <c r="E12" s="1944">
        <f>'Expenditures 15-22'!K50</f>
        <v>108106</v>
      </c>
      <c r="F12" s="1942"/>
      <c r="G12" s="1968">
        <f>G68</f>
        <v>51672</v>
      </c>
      <c r="H12" s="1944">
        <f t="shared" ref="H12:H18" si="0">SUM(E12:G12)</f>
        <v>159778</v>
      </c>
      <c r="I12" s="1943">
        <v>115349</v>
      </c>
      <c r="J12" s="1942"/>
      <c r="K12" s="1943">
        <f>43697+4505</f>
        <v>48202</v>
      </c>
      <c r="L12" s="1944">
        <f t="shared" ref="L12:L18" si="1">SUM(I12:K12)</f>
        <v>163551</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1058</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108106</v>
      </c>
      <c r="F19" s="1950">
        <f t="shared" si="2"/>
        <v>0</v>
      </c>
      <c r="G19" s="1950">
        <f t="shared" ref="G19" si="3">SUM(G12:G17)-G18</f>
        <v>51672</v>
      </c>
      <c r="H19" s="1950">
        <f t="shared" si="2"/>
        <v>159778</v>
      </c>
      <c r="I19" s="1950">
        <f t="shared" si="2"/>
        <v>115349</v>
      </c>
      <c r="J19" s="1950">
        <f t="shared" si="2"/>
        <v>0</v>
      </c>
      <c r="K19" s="1950">
        <f t="shared" si="2"/>
        <v>48202</v>
      </c>
      <c r="L19" s="1950">
        <f t="shared" si="2"/>
        <v>163551</v>
      </c>
      <c r="M19" s="838"/>
      <c r="N19" s="1998"/>
    </row>
    <row r="20" spans="1:14" ht="13.5" thickTop="1" x14ac:dyDescent="0.2">
      <c r="A20" s="2003">
        <v>9</v>
      </c>
      <c r="B20" s="2432" t="s">
        <v>2020</v>
      </c>
      <c r="C20" s="2432"/>
      <c r="D20" s="2433"/>
      <c r="E20" s="1951"/>
      <c r="F20" s="1951"/>
      <c r="G20" s="1951"/>
      <c r="H20" s="1951"/>
      <c r="I20" s="1951"/>
      <c r="J20" s="1951"/>
      <c r="K20" s="1951"/>
      <c r="L20" s="1952">
        <f>IF(AND(H19&gt;0,L19&gt;0),(((L19-H19)/H19)),"Enter Budget Data")</f>
        <v>2.3614014445042495E-2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1025</v>
      </c>
      <c r="D28" s="844"/>
      <c r="E28" s="1958"/>
      <c r="F28" s="2436" t="s">
        <v>1491</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1543</v>
      </c>
      <c r="D30" s="838"/>
      <c r="E30" s="1959"/>
      <c r="F30" s="2419" t="s">
        <v>1492</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2023</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2024</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2025</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2026</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47" t="s">
        <v>2028</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20" t="str">
        <f>J6</f>
        <v>Hall High SD 502</v>
      </c>
      <c r="M52" s="2420"/>
      <c r="N52" s="2450"/>
    </row>
    <row r="53" spans="1:14" x14ac:dyDescent="0.2">
      <c r="A53" s="1982"/>
      <c r="B53" s="1983"/>
      <c r="C53" s="1983"/>
      <c r="D53" s="1983"/>
      <c r="E53" s="1983"/>
      <c r="F53" s="1983"/>
      <c r="G53" s="1983"/>
      <c r="H53" s="1983"/>
      <c r="I53" s="1983"/>
      <c r="J53" s="1983"/>
      <c r="K53" s="1924" t="s">
        <v>368</v>
      </c>
      <c r="L53" s="2425">
        <f>J7</f>
        <v>28006502017</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2029</v>
      </c>
      <c r="H55" s="2454"/>
      <c r="I55" s="2454"/>
      <c r="J55" s="2454"/>
      <c r="K55" s="2454"/>
      <c r="L55" s="2454"/>
      <c r="M55" s="2454"/>
      <c r="N55" s="2455"/>
    </row>
    <row r="56" spans="1:14" ht="63.75" x14ac:dyDescent="0.2">
      <c r="A56" s="2456" t="s">
        <v>2030</v>
      </c>
      <c r="B56" s="2457"/>
      <c r="C56" s="2458"/>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59" t="s">
        <v>295</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2040</v>
      </c>
      <c r="B58" s="2439"/>
      <c r="C58" s="2439"/>
      <c r="D58" s="1967">
        <v>2362</v>
      </c>
      <c r="E58" s="1977">
        <f>'Expenditures 15-22'!K320</f>
        <v>19785</v>
      </c>
      <c r="F58" s="1972"/>
      <c r="G58" s="2031"/>
      <c r="H58" s="2032"/>
      <c r="I58" s="2032"/>
      <c r="J58" s="2032"/>
      <c r="K58" s="2032"/>
      <c r="L58" s="2032"/>
      <c r="M58" s="2032">
        <v>19785</v>
      </c>
      <c r="N58" s="1975">
        <f>IF((SUM(G58:M58))=E58,SUM(G58:M58),"Column N does not agree with Column E")</f>
        <v>19785</v>
      </c>
    </row>
    <row r="59" spans="1:14" ht="24.75" customHeight="1" x14ac:dyDescent="0.2">
      <c r="A59" s="2461" t="s">
        <v>296</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696</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1021</v>
      </c>
      <c r="B63" s="2439"/>
      <c r="C63" s="2439"/>
      <c r="D63" s="1967">
        <v>2367</v>
      </c>
      <c r="E63" s="1977">
        <f>'Expenditures 15-22'!K325</f>
        <v>388178</v>
      </c>
      <c r="F63" s="1972"/>
      <c r="G63" s="2031">
        <f>42840+8832</f>
        <v>51672</v>
      </c>
      <c r="H63" s="2032"/>
      <c r="I63" s="2032"/>
      <c r="J63" s="2032"/>
      <c r="K63" s="2032"/>
      <c r="L63" s="2032"/>
      <c r="M63" s="2032">
        <f>388178-51672</f>
        <v>336506</v>
      </c>
      <c r="N63" s="1975">
        <f t="shared" si="4"/>
        <v>388178</v>
      </c>
    </row>
    <row r="64" spans="1:14" ht="24" customHeight="1" x14ac:dyDescent="0.2">
      <c r="A64" s="2461" t="s">
        <v>1022</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964</v>
      </c>
      <c r="B65" s="2462"/>
      <c r="C65" s="2462"/>
      <c r="D65" s="1967">
        <v>2369</v>
      </c>
      <c r="E65" s="1977">
        <f>'Expenditures 15-22'!K327</f>
        <v>12076</v>
      </c>
      <c r="F65" s="1972"/>
      <c r="G65" s="2031"/>
      <c r="H65" s="2032"/>
      <c r="I65" s="2032"/>
      <c r="J65" s="2032"/>
      <c r="K65" s="2032"/>
      <c r="L65" s="2032"/>
      <c r="M65" s="2032">
        <v>12076</v>
      </c>
      <c r="N65" s="1975">
        <f t="shared" si="4"/>
        <v>12076</v>
      </c>
    </row>
    <row r="66" spans="1:14" ht="24" customHeight="1" x14ac:dyDescent="0.2">
      <c r="A66" s="2461" t="s">
        <v>468</v>
      </c>
      <c r="B66" s="2462"/>
      <c r="C66" s="2462"/>
      <c r="D66" s="1967">
        <v>2371</v>
      </c>
      <c r="E66" s="1977">
        <f>'Expenditures 15-22'!K328</f>
        <v>37284</v>
      </c>
      <c r="F66" s="1972"/>
      <c r="G66" s="2031"/>
      <c r="H66" s="2032"/>
      <c r="I66" s="2032"/>
      <c r="J66" s="2032"/>
      <c r="K66" s="2032"/>
      <c r="L66" s="2032"/>
      <c r="M66" s="2032">
        <v>37284</v>
      </c>
      <c r="N66" s="1975">
        <f t="shared" si="4"/>
        <v>37284</v>
      </c>
    </row>
    <row r="67" spans="1:14" ht="24.75" customHeight="1" x14ac:dyDescent="0.2">
      <c r="A67" s="2463" t="s">
        <v>2041</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1150</v>
      </c>
      <c r="B68" s="2466"/>
      <c r="C68" s="2466"/>
      <c r="D68" s="1970"/>
      <c r="E68" s="1974">
        <f>SUM(E57:E67)</f>
        <v>457323</v>
      </c>
      <c r="F68" s="1973"/>
      <c r="G68" s="1974">
        <f t="shared" ref="G68:N68" si="5">SUM(G57:G67)</f>
        <v>51672</v>
      </c>
      <c r="H68" s="1974">
        <f t="shared" si="5"/>
        <v>0</v>
      </c>
      <c r="I68" s="1974">
        <f t="shared" si="5"/>
        <v>0</v>
      </c>
      <c r="J68" s="1974">
        <f t="shared" si="5"/>
        <v>0</v>
      </c>
      <c r="K68" s="1974">
        <f t="shared" si="5"/>
        <v>0</v>
      </c>
      <c r="L68" s="1974">
        <f t="shared" si="5"/>
        <v>0</v>
      </c>
      <c r="M68" s="1974">
        <f t="shared" si="5"/>
        <v>405651</v>
      </c>
      <c r="N68" s="1988">
        <f t="shared" si="5"/>
        <v>457323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8" sqref="B2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2082</v>
      </c>
    </row>
    <row r="6" spans="1:2" x14ac:dyDescent="0.2">
      <c r="A6" s="847">
        <v>2</v>
      </c>
      <c r="B6" s="307" t="s">
        <v>2083</v>
      </c>
    </row>
    <row r="7" spans="1:2" x14ac:dyDescent="0.2">
      <c r="A7" s="847">
        <v>3</v>
      </c>
      <c r="B7" s="307" t="s">
        <v>2084</v>
      </c>
    </row>
    <row r="8" spans="1:2" x14ac:dyDescent="0.2">
      <c r="A8" s="847">
        <v>4</v>
      </c>
      <c r="B8" s="307" t="s">
        <v>2085</v>
      </c>
    </row>
    <row r="9" spans="1:2" x14ac:dyDescent="0.2">
      <c r="A9" s="848">
        <v>5</v>
      </c>
      <c r="B9" s="307" t="s">
        <v>2086</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Hall High SD 502</v>
      </c>
    </row>
    <row r="65" spans="2:2" x14ac:dyDescent="0.2">
      <c r="B65" s="849">
        <f>COVER!A13</f>
        <v>28006502017</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8"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3" t="s">
        <v>1055</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685</v>
      </c>
      <c r="B40" s="2150"/>
      <c r="C40" s="2150"/>
      <c r="D40" s="2150"/>
      <c r="E40" s="2150"/>
    </row>
    <row r="41" spans="1:5" x14ac:dyDescent="0.2">
      <c r="A41" s="2151" t="s">
        <v>1590</v>
      </c>
      <c r="B41" s="2151"/>
      <c r="C41" s="2151"/>
      <c r="D41" s="2151"/>
      <c r="E41" s="2151"/>
    </row>
    <row r="42" spans="1:5" ht="12.75" customHeight="1" x14ac:dyDescent="0.2">
      <c r="A42" s="2152" t="s">
        <v>1014</v>
      </c>
      <c r="B42" s="2152"/>
      <c r="C42" s="2152"/>
      <c r="D42" s="2152"/>
      <c r="E42" s="215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67" t="s">
        <v>1664</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10" r:id="rId4">
          <objectPr defaultSize="0" r:id="rId5">
            <anchor moveWithCells="1">
              <from>
                <xdr:col>1</xdr:col>
                <xdr:colOff>0</xdr:colOff>
                <xdr:row>1</xdr:row>
                <xdr:rowOff>0</xdr:rowOff>
              </from>
              <to>
                <xdr:col>1</xdr:col>
                <xdr:colOff>904875</xdr:colOff>
                <xdr:row>4</xdr:row>
                <xdr:rowOff>28575</xdr:rowOff>
              </to>
            </anchor>
          </objectPr>
        </oleObject>
      </mc:Choice>
      <mc:Fallback>
        <oleObject progId="Packager Shell Objec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1668</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1669</v>
      </c>
      <c r="B6" s="2485"/>
      <c r="C6" s="2485"/>
      <c r="D6" s="2485"/>
      <c r="E6" s="2485"/>
      <c r="F6" s="248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4527205</v>
      </c>
      <c r="C8" s="1813">
        <f>'Acct Summary 7-8'!D8</f>
        <v>771738</v>
      </c>
      <c r="D8" s="1813">
        <f>'Acct Summary 7-8'!F8</f>
        <v>190083</v>
      </c>
      <c r="E8" s="1813">
        <f>'Acct Summary 7-8'!I8</f>
        <v>86027</v>
      </c>
      <c r="F8" s="1813">
        <f>SUM(B8:E8)</f>
        <v>5575053</v>
      </c>
    </row>
    <row r="9" spans="1:8" s="858" customFormat="1" ht="14.25" customHeight="1" thickBot="1" x14ac:dyDescent="0.25">
      <c r="A9" s="857" t="s">
        <v>1352</v>
      </c>
      <c r="B9" s="1814">
        <f>'Acct Summary 7-8'!C17</f>
        <v>3838557</v>
      </c>
      <c r="C9" s="1814">
        <f>'Acct Summary 7-8'!D17</f>
        <v>505502</v>
      </c>
      <c r="D9" s="1814">
        <f>'Acct Summary 7-8'!F17</f>
        <v>135544</v>
      </c>
      <c r="E9" s="1813"/>
      <c r="F9" s="1813">
        <f>SUM(B9:E9)</f>
        <v>4479603</v>
      </c>
    </row>
    <row r="10" spans="1:8" s="858" customFormat="1" ht="14.25" thickTop="1" thickBot="1" x14ac:dyDescent="0.25">
      <c r="A10" s="859" t="s">
        <v>1353</v>
      </c>
      <c r="B10" s="1815">
        <f>(B8-B9)</f>
        <v>688648</v>
      </c>
      <c r="C10" s="1815">
        <f>(C8-C9)</f>
        <v>266236</v>
      </c>
      <c r="D10" s="1815">
        <f>(D8-D9)</f>
        <v>54539</v>
      </c>
      <c r="E10" s="1814">
        <f>(E8-E9)</f>
        <v>86027</v>
      </c>
      <c r="F10" s="1816">
        <f>SUM(F8-F9)</f>
        <v>1095450</v>
      </c>
    </row>
    <row r="11" spans="1:8" s="858" customFormat="1" ht="14.25" thickTop="1" thickBot="1" x14ac:dyDescent="0.25">
      <c r="A11" s="860" t="s">
        <v>1902</v>
      </c>
      <c r="B11" s="1817">
        <f>'Acct Summary 7-8'!C81</f>
        <v>1769320</v>
      </c>
      <c r="C11" s="1817">
        <f>'Acct Summary 7-8'!D81</f>
        <v>939518</v>
      </c>
      <c r="D11" s="1817">
        <f>'Acct Summary 7-8'!F81</f>
        <v>124851</v>
      </c>
      <c r="E11" s="1817">
        <f>'Acct Summary 7-8'!I81</f>
        <v>1983985</v>
      </c>
      <c r="F11" s="1818">
        <f>SUM(B11:E11)</f>
        <v>4817674</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1665</v>
      </c>
      <c r="B16" s="2471"/>
      <c r="C16" s="2471"/>
      <c r="D16" s="2471"/>
      <c r="E16" s="247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55" sqref="D5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659</v>
      </c>
      <c r="B3" s="2494"/>
      <c r="C3" s="2494"/>
      <c r="D3" s="2495"/>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4" t="s">
        <v>1486</v>
      </c>
      <c r="D7" s="2505"/>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6" t="s">
        <v>1000</v>
      </c>
      <c r="B15" s="2497"/>
      <c r="C15" s="2497"/>
      <c r="D15" s="2498"/>
    </row>
    <row r="16" spans="1:4" s="542" customFormat="1" ht="24" customHeight="1" x14ac:dyDescent="0.2">
      <c r="A16" s="2499" t="s">
        <v>657</v>
      </c>
      <c r="B16" s="2500"/>
      <c r="C16" s="2500"/>
      <c r="D16" s="2501"/>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8" t="s">
        <v>310</v>
      </c>
      <c r="D21" s="2509"/>
    </row>
    <row r="22" spans="1:10" ht="12.75" x14ac:dyDescent="0.2">
      <c r="A22" s="918"/>
      <c r="B22" s="919">
        <v>2</v>
      </c>
      <c r="C22" s="2506" t="s">
        <v>1506</v>
      </c>
      <c r="D22" s="2507"/>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0" t="s">
        <v>532</v>
      </c>
      <c r="D43" s="251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ERROR!</v>
      </c>
    </row>
    <row r="56" spans="1:4" x14ac:dyDescent="0.2">
      <c r="A56" s="879"/>
      <c r="B56" s="899">
        <f>B43+1</f>
        <v>6</v>
      </c>
      <c r="C56" s="2502" t="s">
        <v>778</v>
      </c>
      <c r="D56" s="250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ERROR!</v>
      </c>
    </row>
    <row r="69" spans="1:4" x14ac:dyDescent="0.2">
      <c r="A69" s="879"/>
      <c r="B69" s="889"/>
      <c r="C69" s="881" t="s">
        <v>1881</v>
      </c>
      <c r="D69" s="903" t="str">
        <f>IF('Expenditures 15-22'!H170&lt;&gt;'Short-Term Long-Term Debt 24'!H49,"ERROR!","OK")</f>
        <v>ERROR!</v>
      </c>
    </row>
    <row r="70" spans="1:4" x14ac:dyDescent="0.2">
      <c r="A70" s="877"/>
      <c r="B70" s="899">
        <f>B66+1</f>
        <v>9</v>
      </c>
      <c r="C70" s="2502" t="s">
        <v>1673</v>
      </c>
      <c r="D70" s="250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900" t="s">
        <v>1977</v>
      </c>
    </row>
    <row r="2" spans="1:7" ht="15.75" x14ac:dyDescent="0.25">
      <c r="A2" t="s">
        <v>260</v>
      </c>
      <c r="B2" s="135">
        <f>COVER!A13</f>
        <v>28006502017</v>
      </c>
      <c r="E2" s="1542">
        <v>2020</v>
      </c>
      <c r="F2" s="1542">
        <v>1</v>
      </c>
      <c r="G2" s="1899">
        <v>101000300</v>
      </c>
    </row>
    <row r="3" spans="1:7" ht="15" x14ac:dyDescent="0.25">
      <c r="A3" t="s">
        <v>949</v>
      </c>
      <c r="B3" s="135" t="str">
        <f>COVER!A15</f>
        <v>BUREAU</v>
      </c>
      <c r="E3" s="1830" t="s">
        <v>1970</v>
      </c>
      <c r="F3" s="1830" t="s">
        <v>1969</v>
      </c>
      <c r="G3" s="1899">
        <v>101000400</v>
      </c>
    </row>
    <row r="4" spans="1:7" ht="15" x14ac:dyDescent="0.25">
      <c r="A4" t="s">
        <v>999</v>
      </c>
      <c r="B4" s="135" t="str">
        <f>COVER!A17</f>
        <v>Hall High SD 502</v>
      </c>
      <c r="E4" s="1828">
        <v>44119</v>
      </c>
      <c r="F4" s="1829">
        <v>44151</v>
      </c>
      <c r="G4" s="1899">
        <v>101000600</v>
      </c>
    </row>
    <row r="5" spans="1:7" ht="15" x14ac:dyDescent="0.25">
      <c r="A5" t="s">
        <v>698</v>
      </c>
      <c r="B5" s="135" t="str">
        <f>COVER!A38</f>
        <v>JESSE BRANDT</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No</v>
      </c>
      <c r="G12" s="1899">
        <v>202100600</v>
      </c>
    </row>
    <row r="13" spans="1:7" ht="15" x14ac:dyDescent="0.25">
      <c r="A13" s="1" t="s">
        <v>1526</v>
      </c>
      <c r="B13" s="135" t="str">
        <f>IF(COVER!J30="x","Yes",IF(COVER!L30="x","No",0))</f>
        <v>No</v>
      </c>
      <c r="G13" s="1899">
        <v>202100800</v>
      </c>
    </row>
    <row r="14" spans="1:7" ht="15" x14ac:dyDescent="0.25">
      <c r="A14" t="s">
        <v>472</v>
      </c>
      <c r="B14" s="135" t="str">
        <f>IF(COVER!J31="x","Yes",IF(COVER!L31="x","No",0))</f>
        <v>No</v>
      </c>
      <c r="G14" s="1899">
        <v>402100300</v>
      </c>
    </row>
    <row r="15" spans="1:7" ht="15" x14ac:dyDescent="0.25">
      <c r="A15" t="s">
        <v>572</v>
      </c>
      <c r="B15" s="135" t="str">
        <f>COVER!T23</f>
        <v>066-004501</v>
      </c>
      <c r="G15" s="1899">
        <v>402100400</v>
      </c>
    </row>
    <row r="16" spans="1:7" ht="15" x14ac:dyDescent="0.25">
      <c r="A16" t="s">
        <v>418</v>
      </c>
      <c r="B16" s="135" t="str">
        <f>COVER!T13</f>
        <v>HOPKINS &amp; ASSOCIATES, CPAS</v>
      </c>
      <c r="G16" s="1899">
        <v>402100600</v>
      </c>
    </row>
    <row r="17" spans="1:7" ht="15" x14ac:dyDescent="0.25">
      <c r="A17" t="s">
        <v>877</v>
      </c>
      <c r="B17" s="135" t="str">
        <f>COVER!T15</f>
        <v>KIM BIRD</v>
      </c>
      <c r="G17" s="1899">
        <v>402100800</v>
      </c>
    </row>
    <row r="18" spans="1:7" ht="15" x14ac:dyDescent="0.25">
      <c r="A18" t="s">
        <v>1139</v>
      </c>
      <c r="B18" s="135" t="str">
        <f>COVER!T17</f>
        <v>314 S MCCOY ST</v>
      </c>
      <c r="G18" s="1899">
        <v>102200300</v>
      </c>
    </row>
    <row r="19" spans="1:7" ht="15" x14ac:dyDescent="0.25">
      <c r="A19" t="s">
        <v>879</v>
      </c>
      <c r="B19" s="135" t="str">
        <f>COVER!T25</f>
        <v>KIM@HOPKINSOFFICE.COM</v>
      </c>
      <c r="G19" s="1899">
        <v>102200400</v>
      </c>
    </row>
    <row r="20" spans="1:7" ht="15" x14ac:dyDescent="0.25">
      <c r="A20" t="s">
        <v>880</v>
      </c>
      <c r="B20" s="135" t="str">
        <f>COVER!T19</f>
        <v>GRANVILLE</v>
      </c>
      <c r="G20" s="1899">
        <v>102200600</v>
      </c>
    </row>
    <row r="21" spans="1:7" ht="15" x14ac:dyDescent="0.25">
      <c r="A21" t="s">
        <v>475</v>
      </c>
      <c r="B21" s="135" t="str">
        <f>COVER!X19</f>
        <v>IL</v>
      </c>
      <c r="G21" s="1899">
        <v>102200800</v>
      </c>
    </row>
    <row r="22" spans="1:7" ht="15" x14ac:dyDescent="0.25">
      <c r="A22" t="s">
        <v>881</v>
      </c>
      <c r="B22" s="135">
        <f>COVER!Z19</f>
        <v>61326</v>
      </c>
      <c r="G22" s="1899">
        <v>102300300</v>
      </c>
    </row>
    <row r="23" spans="1:7" ht="15" x14ac:dyDescent="0.25">
      <c r="A23" t="s">
        <v>1141</v>
      </c>
      <c r="B23" s="135" t="str">
        <f>COVER!T21</f>
        <v>815-339-6630</v>
      </c>
      <c r="G23" s="1899">
        <v>102300400</v>
      </c>
    </row>
    <row r="24" spans="1:7" ht="15" x14ac:dyDescent="0.25">
      <c r="A24" t="s">
        <v>1140</v>
      </c>
      <c r="B24" s="135">
        <f>COVER!Y21</f>
        <v>0</v>
      </c>
      <c r="G24" s="1899">
        <v>102300600</v>
      </c>
    </row>
    <row r="25" spans="1:7" ht="15" x14ac:dyDescent="0.25">
      <c r="A25" t="s">
        <v>755</v>
      </c>
      <c r="B25" s="135" t="str">
        <f>COVER!B34</f>
        <v>x</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0</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128579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1800820</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31500</v>
      </c>
      <c r="C91" s="2" t="s">
        <v>568</v>
      </c>
      <c r="D91" s="2" t="str">
        <f t="shared" si="0"/>
        <v>Error?</v>
      </c>
      <c r="G91" s="1899">
        <v>102640400</v>
      </c>
    </row>
    <row r="92" spans="1:7" ht="15" x14ac:dyDescent="0.25">
      <c r="A92" s="5">
        <v>31</v>
      </c>
      <c r="B92" s="1832">
        <f>'Assets-Liab 5-6'!C39</f>
        <v>1658184</v>
      </c>
      <c r="D92" s="2" t="str">
        <f t="shared" si="0"/>
        <v>Error?</v>
      </c>
      <c r="G92" s="1899">
        <v>102640600</v>
      </c>
    </row>
    <row r="93" spans="1:7" ht="15" x14ac:dyDescent="0.25">
      <c r="A93" s="5">
        <v>32</v>
      </c>
      <c r="B93" s="1832">
        <f>'Assets-Liab 5-6'!C41</f>
        <v>1800820</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128579</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939518</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939518</v>
      </c>
      <c r="D123" s="2" t="str">
        <f t="shared" si="0"/>
        <v>Error?</v>
      </c>
      <c r="G123" s="1899">
        <v>203000400</v>
      </c>
    </row>
    <row r="124" spans="1:7" ht="15" x14ac:dyDescent="0.25">
      <c r="A124" s="5">
        <v>63</v>
      </c>
      <c r="B124" s="1832">
        <f>'Assets-Liab 5-6'!D41</f>
        <v>939518</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47982</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47982</v>
      </c>
      <c r="D140" s="2" t="str">
        <f t="shared" si="1"/>
        <v>Error?</v>
      </c>
    </row>
    <row r="141" spans="1:7" x14ac:dyDescent="0.2">
      <c r="A141" s="5">
        <v>80</v>
      </c>
      <c r="B141" s="1832">
        <f>'Assets-Liab 5-6'!E41</f>
        <v>47982</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124851</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124851</v>
      </c>
      <c r="D170" s="2" t="str">
        <f t="shared" si="1"/>
        <v>Error?</v>
      </c>
    </row>
    <row r="171" spans="1:4" x14ac:dyDescent="0.2">
      <c r="A171" s="5">
        <v>110</v>
      </c>
      <c r="B171" s="1832">
        <f>'Assets-Liab 5-6'!F41</f>
        <v>124851</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116950</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98419</v>
      </c>
      <c r="D189" s="2" t="str">
        <f t="shared" si="1"/>
        <v>Error?</v>
      </c>
    </row>
    <row r="190" spans="1:4" x14ac:dyDescent="0.2">
      <c r="A190" s="5">
        <v>129</v>
      </c>
      <c r="B190" s="1832">
        <f>'Assets-Liab 5-6'!G41</f>
        <v>116950</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51157</v>
      </c>
      <c r="D273" s="2" t="str">
        <f t="shared" si="3"/>
        <v>Error?</v>
      </c>
    </row>
    <row r="274" spans="1:4" x14ac:dyDescent="0.2">
      <c r="A274" s="5">
        <v>213</v>
      </c>
      <c r="B274" s="1832">
        <f>'Assets-Liab 5-6'!M17</f>
        <v>31985115</v>
      </c>
      <c r="D274" s="2" t="str">
        <f t="shared" si="3"/>
        <v>Error?</v>
      </c>
    </row>
    <row r="275" spans="1:4" x14ac:dyDescent="0.2">
      <c r="A275" s="5">
        <v>214</v>
      </c>
      <c r="B275" s="1832">
        <f>'Assets-Liab 5-6'!M18</f>
        <v>235559</v>
      </c>
      <c r="D275" s="2" t="str">
        <f t="shared" si="3"/>
        <v>Error?</v>
      </c>
    </row>
    <row r="276" spans="1:4" x14ac:dyDescent="0.2">
      <c r="A276" s="5">
        <v>215</v>
      </c>
      <c r="B276" s="1832">
        <f>'Assets-Liab 5-6'!M19</f>
        <v>760048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33031879</v>
      </c>
      <c r="C279" s="2" t="s">
        <v>568</v>
      </c>
      <c r="D279" s="2" t="str">
        <f t="shared" si="3"/>
        <v>Error?</v>
      </c>
    </row>
    <row r="280" spans="1:4" x14ac:dyDescent="0.2">
      <c r="A280" s="5">
        <v>219</v>
      </c>
      <c r="B280" s="1832">
        <f>'Assets-Liab 5-6'!M40</f>
        <v>33031879</v>
      </c>
      <c r="D280" s="2" t="str">
        <f t="shared" si="3"/>
        <v>Error?</v>
      </c>
    </row>
    <row r="281" spans="1:4" x14ac:dyDescent="0.2">
      <c r="A281" s="5">
        <v>220</v>
      </c>
      <c r="B281" s="1832">
        <f>'Assets-Liab 5-6'!M41</f>
        <v>33031879</v>
      </c>
      <c r="C281" s="2" t="s">
        <v>568</v>
      </c>
      <c r="D281" s="2" t="str">
        <f t="shared" si="3"/>
        <v>Error?</v>
      </c>
    </row>
    <row r="282" spans="1:4" x14ac:dyDescent="0.2">
      <c r="A282" s="5">
        <v>221</v>
      </c>
      <c r="B282" s="1832">
        <f>'Assets-Liab 5-6'!N21</f>
        <v>47982</v>
      </c>
      <c r="D282" s="2" t="str">
        <f t="shared" si="3"/>
        <v>Error?</v>
      </c>
    </row>
    <row r="283" spans="1:4" x14ac:dyDescent="0.2">
      <c r="A283" s="5">
        <v>222</v>
      </c>
      <c r="B283" s="1832">
        <f>'Assets-Liab 5-6'!N22</f>
        <v>42699046</v>
      </c>
      <c r="D283" s="2" t="str">
        <f t="shared" si="3"/>
        <v>Error?</v>
      </c>
    </row>
    <row r="284" spans="1:4" x14ac:dyDescent="0.2">
      <c r="A284" s="5">
        <v>223</v>
      </c>
      <c r="B284" s="1832">
        <f>'Assets-Liab 5-6'!N23</f>
        <v>42747028</v>
      </c>
      <c r="C284" s="2" t="s">
        <v>568</v>
      </c>
      <c r="D284" s="2" t="str">
        <f t="shared" si="3"/>
        <v>Error?</v>
      </c>
    </row>
    <row r="285" spans="1:4" x14ac:dyDescent="0.2">
      <c r="A285" s="5">
        <v>224</v>
      </c>
      <c r="B285" s="1832">
        <f>'Assets-Liab 5-6'!N36</f>
        <v>43247028</v>
      </c>
      <c r="D285" s="2" t="str">
        <f t="shared" si="3"/>
        <v>Error?</v>
      </c>
    </row>
    <row r="286" spans="1:4" x14ac:dyDescent="0.2">
      <c r="A286" s="10">
        <v>225</v>
      </c>
      <c r="B286" s="1832"/>
      <c r="D286" s="2" t="str">
        <f t="shared" si="3"/>
        <v>OK</v>
      </c>
    </row>
    <row r="287" spans="1:4" x14ac:dyDescent="0.2">
      <c r="A287" s="5">
        <v>226</v>
      </c>
      <c r="B287" s="1832">
        <f>'Assets-Liab 5-6'!N37</f>
        <v>43247028</v>
      </c>
      <c r="C287" s="2" t="s">
        <v>568</v>
      </c>
      <c r="D287" s="2" t="str">
        <f t="shared" si="3"/>
        <v>Error?</v>
      </c>
    </row>
    <row r="288" spans="1:4" x14ac:dyDescent="0.2">
      <c r="A288" s="5">
        <v>227</v>
      </c>
      <c r="B288" s="1832">
        <f>'Assets-Liab 5-6'!N41</f>
        <v>43247028</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1082904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221921</v>
      </c>
      <c r="D717" s="2" t="str">
        <f t="shared" si="10"/>
        <v>Error?</v>
      </c>
    </row>
    <row r="718" spans="1:4" x14ac:dyDescent="0.2">
      <c r="A718" s="5">
        <v>657</v>
      </c>
      <c r="B718" s="1832">
        <f>'Expenditures 15-22'!C14</f>
        <v>182929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2063312</v>
      </c>
      <c r="C720" s="2" t="s">
        <v>568</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171034</v>
      </c>
      <c r="D722" s="2" t="str">
        <f t="shared" si="10"/>
        <v>Error?</v>
      </c>
    </row>
    <row r="723" spans="1:4" x14ac:dyDescent="0.2">
      <c r="A723" s="5">
        <v>662</v>
      </c>
      <c r="B723" s="1832">
        <f>'Expenditures 15-22'!C38</f>
        <v>23293</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194327</v>
      </c>
      <c r="C727" s="2" t="s">
        <v>568</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36461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36461</v>
      </c>
      <c r="C731" s="2" t="s">
        <v>568</v>
      </c>
      <c r="D731" s="2" t="str">
        <f t="shared" si="10"/>
        <v>Error?</v>
      </c>
    </row>
    <row r="732" spans="1:4" x14ac:dyDescent="0.2">
      <c r="A732" s="5">
        <v>671</v>
      </c>
      <c r="B732" s="1832">
        <f>'Expenditures 15-22'!C49</f>
        <v>3211</v>
      </c>
      <c r="D732" s="2" t="str">
        <f t="shared" si="10"/>
        <v>Error?</v>
      </c>
    </row>
    <row r="733" spans="1:4" x14ac:dyDescent="0.2">
      <c r="A733" s="5">
        <v>672</v>
      </c>
      <c r="B733" s="1832">
        <f>'Expenditures 15-22'!C50</f>
        <v>69083</v>
      </c>
      <c r="D733" s="2" t="str">
        <f t="shared" si="10"/>
        <v>Error?</v>
      </c>
    </row>
    <row r="734" spans="1:4" x14ac:dyDescent="0.2">
      <c r="A734" s="5">
        <v>673</v>
      </c>
      <c r="B734" s="1832">
        <f>'Expenditures 15-22'!C53</f>
        <v>72294</v>
      </c>
      <c r="C734" s="2" t="s">
        <v>568</v>
      </c>
      <c r="D734" s="2" t="str">
        <f t="shared" si="10"/>
        <v>Error?</v>
      </c>
    </row>
    <row r="735" spans="1:4" x14ac:dyDescent="0.2">
      <c r="A735" s="5">
        <v>674</v>
      </c>
      <c r="B735" s="1832">
        <f>'Expenditures 15-22'!C55</f>
        <v>130020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130020</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40612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54487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95099</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528201</v>
      </c>
      <c r="C755" s="2" t="s">
        <v>568</v>
      </c>
      <c r="D755" s="2" t="str">
        <f t="shared" si="10"/>
        <v>Error?</v>
      </c>
    </row>
    <row r="756" spans="1:4" x14ac:dyDescent="0.2">
      <c r="A756" s="5">
        <v>695</v>
      </c>
      <c r="B756" s="1832">
        <f>'Expenditures 15-22'!C75</f>
        <v>3750</v>
      </c>
      <c r="D756" s="2" t="str">
        <f t="shared" si="10"/>
        <v>Error?</v>
      </c>
    </row>
    <row r="757" spans="1:4" x14ac:dyDescent="0.2">
      <c r="A757" s="5">
        <v>696</v>
      </c>
      <c r="B757" s="1832">
        <f>'Expenditures 15-22'!C114</f>
        <v>2595263</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327237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48122</v>
      </c>
      <c r="D775" s="2" t="str">
        <f t="shared" si="11"/>
        <v>Error?</v>
      </c>
    </row>
    <row r="776" spans="1:4" x14ac:dyDescent="0.2">
      <c r="A776" s="5">
        <v>715</v>
      </c>
      <c r="B776" s="1832">
        <f>'Expenditures 15-22'!D14</f>
        <v>22580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581216</v>
      </c>
      <c r="C778" s="2" t="s">
        <v>568</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40672</v>
      </c>
      <c r="D780" s="2" t="str">
        <f t="shared" si="11"/>
        <v>Error?</v>
      </c>
    </row>
    <row r="781" spans="1:4" x14ac:dyDescent="0.2">
      <c r="A781" s="5">
        <v>720</v>
      </c>
      <c r="B781" s="1832">
        <f>'Expenditures 15-22'!D38</f>
        <v>35</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40707</v>
      </c>
      <c r="C785" s="2" t="s">
        <v>568</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8402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8402</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38555</v>
      </c>
      <c r="D791" s="2" t="str">
        <f t="shared" si="11"/>
        <v>Error?</v>
      </c>
    </row>
    <row r="792" spans="1:4" x14ac:dyDescent="0.2">
      <c r="A792" s="5">
        <v>731</v>
      </c>
      <c r="B792" s="1832">
        <f>'Expenditures 15-22'!D53</f>
        <v>38555</v>
      </c>
      <c r="C792" s="2" t="s">
        <v>568</v>
      </c>
      <c r="D792" s="2" t="str">
        <f t="shared" si="11"/>
        <v>Error?</v>
      </c>
    </row>
    <row r="793" spans="1:4" x14ac:dyDescent="0.2">
      <c r="A793" s="5">
        <v>732</v>
      </c>
      <c r="B793" s="1832">
        <f>'Expenditures 15-22'!D55</f>
        <v>72685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72685</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8402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18323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26725</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187074</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768290</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29621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192</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22714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55252</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163</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10351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10514</v>
      </c>
      <c r="C843" s="2" t="s">
        <v>568</v>
      </c>
      <c r="D843" s="2" t="str">
        <f t="shared" si="12"/>
        <v>Error?</v>
      </c>
    </row>
    <row r="844" spans="1:4" x14ac:dyDescent="0.2">
      <c r="A844" s="5">
        <v>783</v>
      </c>
      <c r="B844" s="1832">
        <f>'Expenditures 15-22'!E44</f>
        <v>7998</v>
      </c>
      <c r="D844" s="2" t="str">
        <f t="shared" si="12"/>
        <v>Error?</v>
      </c>
    </row>
    <row r="845" spans="1:4" x14ac:dyDescent="0.2">
      <c r="A845" s="5">
        <v>784</v>
      </c>
      <c r="B845" s="1832">
        <f>'Expenditures 15-22'!E45</f>
        <v>8153</v>
      </c>
      <c r="D845" s="2" t="str">
        <f t="shared" si="12"/>
        <v>Error?</v>
      </c>
    </row>
    <row r="846" spans="1:4" x14ac:dyDescent="0.2">
      <c r="A846" s="5">
        <v>785</v>
      </c>
      <c r="B846" s="1832">
        <f>'Expenditures 15-22'!E46</f>
        <v>350</v>
      </c>
      <c r="D846" s="2" t="str">
        <f t="shared" si="12"/>
        <v>Error?</v>
      </c>
    </row>
    <row r="847" spans="1:4" x14ac:dyDescent="0.2">
      <c r="A847" s="5">
        <v>786</v>
      </c>
      <c r="B847" s="1832">
        <f>'Expenditures 15-22'!E47</f>
        <v>16501</v>
      </c>
      <c r="C847" s="2" t="s">
        <v>568</v>
      </c>
      <c r="D847" s="2" t="str">
        <f t="shared" si="12"/>
        <v>Error?</v>
      </c>
    </row>
    <row r="848" spans="1:4" x14ac:dyDescent="0.2">
      <c r="A848" s="5">
        <v>787</v>
      </c>
      <c r="B848" s="1832">
        <f>'Expenditures 15-22'!E49</f>
        <v>21559</v>
      </c>
      <c r="D848" s="2" t="str">
        <f t="shared" si="12"/>
        <v>Error?</v>
      </c>
    </row>
    <row r="849" spans="1:4" x14ac:dyDescent="0.2">
      <c r="A849" s="5">
        <v>788</v>
      </c>
      <c r="B849" s="1832">
        <f>'Expenditures 15-22'!E50</f>
        <v>381</v>
      </c>
      <c r="D849" s="2" t="str">
        <f t="shared" si="12"/>
        <v>Error?</v>
      </c>
    </row>
    <row r="850" spans="1:4" x14ac:dyDescent="0.2">
      <c r="A850" s="5">
        <v>789</v>
      </c>
      <c r="B850" s="1832">
        <f>'Expenditures 15-22'!E53</f>
        <v>21940</v>
      </c>
      <c r="C850" s="2" t="s">
        <v>568</v>
      </c>
      <c r="D850" s="2" t="str">
        <f t="shared" si="12"/>
        <v>Error?</v>
      </c>
    </row>
    <row r="851" spans="1:4" x14ac:dyDescent="0.2">
      <c r="A851" s="5">
        <v>790</v>
      </c>
      <c r="B851" s="1832">
        <f>'Expenditures 15-22'!E55</f>
        <v>502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502</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7874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155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8029</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605</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605</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58091</v>
      </c>
      <c r="C871" s="2" t="s">
        <v>568</v>
      </c>
      <c r="D871" s="2" t="str">
        <f t="shared" si="12"/>
        <v>Error?</v>
      </c>
    </row>
    <row r="872" spans="1:4" x14ac:dyDescent="0.2">
      <c r="A872" s="5">
        <v>811</v>
      </c>
      <c r="B872" s="1832">
        <f>'Expenditures 15-22'!E75</f>
        <v>8156</v>
      </c>
      <c r="D872" s="2" t="str">
        <f t="shared" si="12"/>
        <v>Error?</v>
      </c>
    </row>
    <row r="873" spans="1:4" x14ac:dyDescent="0.2">
      <c r="A873" s="5">
        <v>812</v>
      </c>
      <c r="B873" s="1832">
        <f>'Expenditures 15-22'!E114</f>
        <v>180973</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20287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12581</v>
      </c>
      <c r="D891" s="2" t="str">
        <f t="shared" si="12"/>
        <v>Error?</v>
      </c>
    </row>
    <row r="892" spans="1:4" x14ac:dyDescent="0.2">
      <c r="A892" s="5">
        <v>831</v>
      </c>
      <c r="B892" s="1832">
        <f>'Expenditures 15-22'!F14</f>
        <v>7449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64044</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3733</v>
      </c>
      <c r="D896" s="2" t="str">
        <f t="shared" si="13"/>
        <v>Error?</v>
      </c>
    </row>
    <row r="897" spans="1:4" x14ac:dyDescent="0.2">
      <c r="A897" s="5">
        <v>836</v>
      </c>
      <c r="B897" s="1832">
        <f>'Expenditures 15-22'!F38</f>
        <v>526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4259</v>
      </c>
      <c r="C901" s="2" t="s">
        <v>568</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22653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22653</v>
      </c>
      <c r="C905" s="2" t="s">
        <v>568</v>
      </c>
      <c r="D905" s="2" t="str">
        <f t="shared" si="13"/>
        <v>Error?</v>
      </c>
    </row>
    <row r="906" spans="1:4" x14ac:dyDescent="0.2">
      <c r="A906" s="5">
        <v>845</v>
      </c>
      <c r="B906" s="1832">
        <f>'Expenditures 15-22'!F49</f>
        <v>226</v>
      </c>
      <c r="D906" s="2" t="str">
        <f t="shared" si="13"/>
        <v>Error?</v>
      </c>
    </row>
    <row r="907" spans="1:4" x14ac:dyDescent="0.2">
      <c r="A907" s="5">
        <v>846</v>
      </c>
      <c r="B907" s="1832">
        <f>'Expenditures 15-22'!F50</f>
        <v>12</v>
      </c>
      <c r="D907" s="2" t="str">
        <f t="shared" si="13"/>
        <v>Error?</v>
      </c>
    </row>
    <row r="908" spans="1:4" x14ac:dyDescent="0.2">
      <c r="A908" s="5">
        <v>847</v>
      </c>
      <c r="B908" s="1832">
        <f>'Expenditures 15-22'!F53</f>
        <v>238</v>
      </c>
      <c r="C908" s="2" t="s">
        <v>568</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449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97526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97975</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125125</v>
      </c>
      <c r="C929" s="2" t="s">
        <v>568</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189169</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17002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33864</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568</v>
      </c>
      <c r="D1021" s="2" t="str">
        <f t="shared" si="14"/>
        <v>Error?</v>
      </c>
    </row>
    <row r="1022" spans="1:4" x14ac:dyDescent="0.2">
      <c r="A1022" s="5">
        <v>961</v>
      </c>
      <c r="B1022" s="1832">
        <f>'Expenditures 15-22'!H49</f>
        <v>8168</v>
      </c>
      <c r="D1022" s="2" t="str">
        <f t="shared" si="14"/>
        <v>Error?</v>
      </c>
    </row>
    <row r="1023" spans="1:4" x14ac:dyDescent="0.2">
      <c r="A1023" s="5">
        <v>962</v>
      </c>
      <c r="B1023" s="1832">
        <f>'Expenditures 15-22'!H50</f>
        <v>75</v>
      </c>
      <c r="D1023" s="2" t="str">
        <f t="shared" ref="D1023:D1086" si="15">IF(ISBLANK(B1023),"OK",IF(A1023-B1023=0,"OK","Error?"))</f>
        <v>Error?</v>
      </c>
    </row>
    <row r="1024" spans="1:4" x14ac:dyDescent="0.2">
      <c r="A1024" s="5">
        <v>963</v>
      </c>
      <c r="B1024" s="1832">
        <f>'Expenditures 15-22'!H53</f>
        <v>8243</v>
      </c>
      <c r="C1024" s="2" t="s">
        <v>568</v>
      </c>
      <c r="D1024" s="2" t="str">
        <f t="shared" si="15"/>
        <v>Error?</v>
      </c>
    </row>
    <row r="1025" spans="1:4" x14ac:dyDescent="0.2">
      <c r="A1025" s="5">
        <v>964</v>
      </c>
      <c r="B1025" s="1832">
        <f>'Expenditures 15-22'!H55</f>
        <v>3342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3342</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11585</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59413</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104862</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1996</v>
      </c>
      <c r="E1056" s="4" t="s">
        <v>1995</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1460049</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192</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282624</v>
      </c>
      <c r="C1105" s="2" t="s">
        <v>568</v>
      </c>
      <c r="D1105" s="2" t="str">
        <f t="shared" si="16"/>
        <v>Error?</v>
      </c>
    </row>
    <row r="1106" spans="1:4" x14ac:dyDescent="0.2">
      <c r="A1106" s="5">
        <v>1045</v>
      </c>
      <c r="B1106" s="1832">
        <f>'Expenditures 15-22'!K14</f>
        <v>252674</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2797688</v>
      </c>
      <c r="C1108" s="2" t="s">
        <v>568</v>
      </c>
      <c r="D1108" s="2" t="str">
        <f t="shared" si="16"/>
        <v>Error?</v>
      </c>
    </row>
    <row r="1109" spans="1:4" x14ac:dyDescent="0.2">
      <c r="A1109" s="5">
        <v>1048</v>
      </c>
      <c r="B1109" s="1832">
        <f>'Expenditures 15-22'!K36</f>
        <v>0</v>
      </c>
      <c r="C1109" s="2" t="s">
        <v>568</v>
      </c>
      <c r="D1109" s="2" t="str">
        <f t="shared" si="16"/>
        <v>Error?</v>
      </c>
    </row>
    <row r="1110" spans="1:4" x14ac:dyDescent="0.2">
      <c r="A1110" s="5">
        <v>1049</v>
      </c>
      <c r="B1110" s="1832">
        <f>'Expenditures 15-22'!K37</f>
        <v>215602</v>
      </c>
      <c r="C1110" s="2" t="s">
        <v>568</v>
      </c>
      <c r="D1110" s="2" t="str">
        <f t="shared" si="16"/>
        <v>Error?</v>
      </c>
    </row>
    <row r="1111" spans="1:4" x14ac:dyDescent="0.2">
      <c r="A1111" s="5">
        <v>1050</v>
      </c>
      <c r="B1111" s="1832">
        <f>'Expenditures 15-22'!K38</f>
        <v>23854</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10351</v>
      </c>
      <c r="C1113" s="2" t="s">
        <v>568</v>
      </c>
      <c r="D1113" s="2" t="str">
        <f t="shared" si="16"/>
        <v>Error?</v>
      </c>
    </row>
    <row r="1114" spans="1:4" x14ac:dyDescent="0.2">
      <c r="A1114" s="5">
        <v>1053</v>
      </c>
      <c r="B1114" s="1832">
        <f>'Expenditures 15-22'!K41</f>
        <v>0</v>
      </c>
      <c r="C1114" s="2" t="s">
        <v>568</v>
      </c>
      <c r="D1114" s="2" t="str">
        <f t="shared" si="16"/>
        <v>Error?</v>
      </c>
    </row>
    <row r="1115" spans="1:4" x14ac:dyDescent="0.2">
      <c r="A1115" s="5">
        <v>1054</v>
      </c>
      <c r="B1115" s="1832">
        <f>'Expenditures 15-22'!K42</f>
        <v>249807</v>
      </c>
      <c r="C1115" s="2" t="s">
        <v>568</v>
      </c>
      <c r="D1115" s="2" t="str">
        <f t="shared" si="16"/>
        <v>Error?</v>
      </c>
    </row>
    <row r="1116" spans="1:4" x14ac:dyDescent="0.2">
      <c r="A1116" s="5">
        <v>1055</v>
      </c>
      <c r="B1116" s="1832">
        <f>'Expenditures 15-22'!K44</f>
        <v>7998</v>
      </c>
      <c r="C1116" s="2" t="s">
        <v>568</v>
      </c>
      <c r="D1116" s="2" t="str">
        <f t="shared" si="16"/>
        <v>Error?</v>
      </c>
    </row>
    <row r="1117" spans="1:4" x14ac:dyDescent="0.2">
      <c r="A1117" s="5">
        <v>1056</v>
      </c>
      <c r="B1117" s="1832">
        <f>'Expenditures 15-22'!K45</f>
        <v>75669</v>
      </c>
      <c r="C1117" s="2" t="s">
        <v>568</v>
      </c>
      <c r="D1117" s="2" t="str">
        <f t="shared" si="16"/>
        <v>Error?</v>
      </c>
    </row>
    <row r="1118" spans="1:4" x14ac:dyDescent="0.2">
      <c r="A1118" s="5">
        <v>1057</v>
      </c>
      <c r="B1118" s="1832">
        <f>'Expenditures 15-22'!K46</f>
        <v>350</v>
      </c>
      <c r="C1118" s="2" t="s">
        <v>568</v>
      </c>
      <c r="D1118" s="2" t="str">
        <f t="shared" si="16"/>
        <v>Error?</v>
      </c>
    </row>
    <row r="1119" spans="1:4" x14ac:dyDescent="0.2">
      <c r="A1119" s="5">
        <v>1058</v>
      </c>
      <c r="B1119" s="1832">
        <f>'Expenditures 15-22'!K47</f>
        <v>84017</v>
      </c>
      <c r="C1119" s="2" t="s">
        <v>568</v>
      </c>
      <c r="D1119" s="2" t="str">
        <f t="shared" si="16"/>
        <v>Error?</v>
      </c>
    </row>
    <row r="1120" spans="1:4" x14ac:dyDescent="0.2">
      <c r="A1120" s="5">
        <v>1059</v>
      </c>
      <c r="B1120" s="1832">
        <f>'Expenditures 15-22'!K49</f>
        <v>33164</v>
      </c>
      <c r="C1120" s="2" t="s">
        <v>568</v>
      </c>
      <c r="D1120" s="2" t="str">
        <f t="shared" si="16"/>
        <v>Error?</v>
      </c>
    </row>
    <row r="1121" spans="1:4" x14ac:dyDescent="0.2">
      <c r="A1121" s="5">
        <v>1060</v>
      </c>
      <c r="B1121" s="1832">
        <f>'Expenditures 15-22'!K50</f>
        <v>108106</v>
      </c>
      <c r="C1121" s="2" t="s">
        <v>568</v>
      </c>
      <c r="D1121" s="2" t="str">
        <f t="shared" si="16"/>
        <v>Error?</v>
      </c>
    </row>
    <row r="1122" spans="1:4" x14ac:dyDescent="0.2">
      <c r="A1122" s="5">
        <v>1061</v>
      </c>
      <c r="B1122" s="1832">
        <f>'Expenditures 15-22'!K53</f>
        <v>141270</v>
      </c>
      <c r="C1122" s="2" t="s">
        <v>568</v>
      </c>
      <c r="D1122" s="2" t="str">
        <f t="shared" si="16"/>
        <v>Error?</v>
      </c>
    </row>
    <row r="1123" spans="1:4" x14ac:dyDescent="0.2">
      <c r="A1123" s="5">
        <v>1062</v>
      </c>
      <c r="B1123" s="1832">
        <f>'Expenditures 15-22'!K55</f>
        <v>206549</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206549</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57337</v>
      </c>
      <c r="C1127" s="2" t="s">
        <v>568</v>
      </c>
      <c r="D1127" s="2" t="str">
        <f t="shared" si="16"/>
        <v>Error?</v>
      </c>
    </row>
    <row r="1128" spans="1:4" x14ac:dyDescent="0.2">
      <c r="A1128" s="5">
        <v>1067</v>
      </c>
      <c r="B1128" s="1832">
        <f>'Expenditures 15-22'!K61</f>
        <v>0</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170491</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227828</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605</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605</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910076</v>
      </c>
      <c r="C1143" s="2" t="s">
        <v>568</v>
      </c>
      <c r="D1143" s="2" t="str">
        <f t="shared" si="16"/>
        <v>Error?</v>
      </c>
    </row>
    <row r="1144" spans="1:4" x14ac:dyDescent="0.2">
      <c r="A1144" s="5">
        <v>1083</v>
      </c>
      <c r="B1144" s="1832">
        <f>'Expenditures 15-22'!K75</f>
        <v>11906</v>
      </c>
      <c r="C1144" s="2" t="s">
        <v>568</v>
      </c>
      <c r="D1144" s="2" t="str">
        <f t="shared" si="16"/>
        <v>Error?</v>
      </c>
    </row>
    <row r="1145" spans="1:4" x14ac:dyDescent="0.2">
      <c r="A1145" s="5">
        <v>1084</v>
      </c>
      <c r="B1145" s="1832">
        <f>'Expenditures 15-22'!K102</f>
        <v>118887</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3838557</v>
      </c>
      <c r="C1152" s="2" t="s">
        <v>568</v>
      </c>
      <c r="D1152" s="2" t="str">
        <f t="shared" si="17"/>
        <v>Error?</v>
      </c>
    </row>
    <row r="1153" spans="1:4" x14ac:dyDescent="0.2">
      <c r="A1153" s="5">
        <v>1092</v>
      </c>
      <c r="B1153" s="1832">
        <f>'Expenditures 15-22'!K115</f>
        <v>688648</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211920</v>
      </c>
      <c r="D1221" s="2" t="str">
        <f t="shared" si="18"/>
        <v>Error?</v>
      </c>
    </row>
    <row r="1222" spans="1:4" x14ac:dyDescent="0.2">
      <c r="A1222" s="10">
        <v>1161</v>
      </c>
      <c r="B1222" s="1832"/>
      <c r="D1222" s="2" t="str">
        <f t="shared" si="18"/>
        <v>OK</v>
      </c>
    </row>
    <row r="1223" spans="1:4" x14ac:dyDescent="0.2">
      <c r="A1223" s="5">
        <v>1162</v>
      </c>
      <c r="B1223" s="1832">
        <f>'Expenditures 15-22'!C127</f>
        <v>211920</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211920</v>
      </c>
      <c r="C1225" s="2" t="s">
        <v>568</v>
      </c>
      <c r="D1225" s="2" t="str">
        <f t="shared" si="18"/>
        <v>Error?</v>
      </c>
    </row>
    <row r="1226" spans="1:4" x14ac:dyDescent="0.2">
      <c r="A1226" s="5">
        <v>1165</v>
      </c>
      <c r="B1226" s="1832">
        <f>'Expenditures 15-22'!C151</f>
        <v>211920</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54658</v>
      </c>
      <c r="D1229" s="2" t="str">
        <f t="shared" si="18"/>
        <v>Error?</v>
      </c>
    </row>
    <row r="1230" spans="1:4" x14ac:dyDescent="0.2">
      <c r="A1230" s="10">
        <v>1169</v>
      </c>
      <c r="B1230" s="1832"/>
      <c r="D1230" s="2" t="str">
        <f t="shared" si="18"/>
        <v>OK</v>
      </c>
    </row>
    <row r="1231" spans="1:4" x14ac:dyDescent="0.2">
      <c r="A1231" s="5">
        <v>1170</v>
      </c>
      <c r="B1231" s="1832">
        <f>'Expenditures 15-22'!D127</f>
        <v>54658</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54658</v>
      </c>
      <c r="C1233" s="2" t="s">
        <v>568</v>
      </c>
      <c r="D1233" s="2" t="str">
        <f t="shared" si="18"/>
        <v>Error?</v>
      </c>
    </row>
    <row r="1234" spans="1:4" x14ac:dyDescent="0.2">
      <c r="A1234" s="5">
        <v>1173</v>
      </c>
      <c r="B1234" s="1832">
        <f>'Expenditures 15-22'!D151</f>
        <v>54658</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52330</v>
      </c>
      <c r="D1237" s="2" t="str">
        <f t="shared" si="18"/>
        <v>Error?</v>
      </c>
    </row>
    <row r="1238" spans="1:4" x14ac:dyDescent="0.2">
      <c r="A1238" s="10">
        <v>1177</v>
      </c>
      <c r="B1238" s="1832"/>
      <c r="D1238" s="2" t="str">
        <f t="shared" si="18"/>
        <v>OK</v>
      </c>
    </row>
    <row r="1239" spans="1:4" x14ac:dyDescent="0.2">
      <c r="A1239" s="5">
        <v>1178</v>
      </c>
      <c r="B1239" s="1832">
        <f>'Expenditures 15-22'!E127</f>
        <v>52330</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52330</v>
      </c>
      <c r="C1241" s="2" t="s">
        <v>568</v>
      </c>
      <c r="D1241" s="2" t="str">
        <f t="shared" si="18"/>
        <v>Error?</v>
      </c>
    </row>
    <row r="1242" spans="1:4" x14ac:dyDescent="0.2">
      <c r="A1242" s="5">
        <v>1181</v>
      </c>
      <c r="B1242" s="1832">
        <f>'Expenditures 15-22'!E151</f>
        <v>52330</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123885</v>
      </c>
      <c r="D1245" s="2" t="str">
        <f t="shared" si="18"/>
        <v>Error?</v>
      </c>
    </row>
    <row r="1246" spans="1:4" x14ac:dyDescent="0.2">
      <c r="A1246" s="10">
        <v>1185</v>
      </c>
      <c r="B1246" s="1832"/>
      <c r="D1246" s="2" t="str">
        <f t="shared" si="18"/>
        <v>OK</v>
      </c>
    </row>
    <row r="1247" spans="1:4" x14ac:dyDescent="0.2">
      <c r="A1247" s="5">
        <v>1186</v>
      </c>
      <c r="B1247" s="1832">
        <f>'Expenditures 15-22'!F127</f>
        <v>123885</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123885</v>
      </c>
      <c r="C1249" s="2" t="s">
        <v>568</v>
      </c>
      <c r="D1249" s="2" t="str">
        <f t="shared" si="18"/>
        <v>Error?</v>
      </c>
    </row>
    <row r="1250" spans="1:4" x14ac:dyDescent="0.2">
      <c r="A1250" s="5">
        <v>1189</v>
      </c>
      <c r="B1250" s="1832">
        <f>'Expenditures 15-22'!F151</f>
        <v>123885</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62507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62507</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62507</v>
      </c>
      <c r="C1258" s="2" t="s">
        <v>568</v>
      </c>
      <c r="D1258" s="2" t="str">
        <f t="shared" si="18"/>
        <v>Error?</v>
      </c>
    </row>
    <row r="1259" spans="1:4" x14ac:dyDescent="0.2">
      <c r="A1259" s="5">
        <v>1198</v>
      </c>
      <c r="B1259" s="1832">
        <f>'Expenditures 15-22'!G151</f>
        <v>62507</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202</v>
      </c>
      <c r="D1262" s="2" t="str">
        <f t="shared" si="18"/>
        <v>Error?</v>
      </c>
    </row>
    <row r="1263" spans="1:4" x14ac:dyDescent="0.2">
      <c r="A1263" s="10">
        <v>1202</v>
      </c>
      <c r="B1263" s="1832"/>
      <c r="D1263" s="2" t="str">
        <f t="shared" si="18"/>
        <v>OK</v>
      </c>
    </row>
    <row r="1264" spans="1:4" x14ac:dyDescent="0.2">
      <c r="A1264" s="5">
        <v>1203</v>
      </c>
      <c r="B1264" s="1832">
        <f>'Expenditures 15-22'!H127</f>
        <v>202</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202</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202</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505502</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505502</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505502</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505502</v>
      </c>
      <c r="C1288" s="2" t="s">
        <v>568</v>
      </c>
      <c r="D1288" s="2" t="str">
        <f t="shared" si="19"/>
        <v>Error?</v>
      </c>
    </row>
    <row r="1289" spans="1:4" x14ac:dyDescent="0.2">
      <c r="A1289" s="5">
        <v>1228</v>
      </c>
      <c r="B1289" s="1832">
        <f>'Expenditures 15-22'!K152</f>
        <v>266236</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1766149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880000</v>
      </c>
      <c r="D1315" s="2" t="str">
        <f t="shared" si="19"/>
        <v>Error?</v>
      </c>
    </row>
    <row r="1316" spans="1:4" x14ac:dyDescent="0.2">
      <c r="A1316" s="5">
        <v>1255</v>
      </c>
      <c r="B1316" s="1832">
        <f>'Expenditures 15-22'!H171</f>
        <v>2000</v>
      </c>
      <c r="D1316" s="2" t="str">
        <f t="shared" si="19"/>
        <v>Error?</v>
      </c>
    </row>
    <row r="1317" spans="1:4" x14ac:dyDescent="0.2">
      <c r="A1317" s="5">
        <v>1256</v>
      </c>
      <c r="B1317" s="1832">
        <f>'Expenditures 15-22'!H172</f>
        <v>2648149</v>
      </c>
      <c r="C1317" s="2" t="s">
        <v>568</v>
      </c>
      <c r="D1317" s="2" t="str">
        <f t="shared" si="19"/>
        <v>Error?</v>
      </c>
    </row>
    <row r="1318" spans="1:4" x14ac:dyDescent="0.2">
      <c r="A1318" s="5">
        <v>1257</v>
      </c>
      <c r="B1318" s="1832">
        <f>'Expenditures 15-22'!H174</f>
        <v>2648149</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1766149</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880000</v>
      </c>
      <c r="C1329" s="2" t="s">
        <v>568</v>
      </c>
      <c r="D1329" s="2" t="str">
        <f t="shared" si="19"/>
        <v>Error?</v>
      </c>
    </row>
    <row r="1330" spans="1:4" x14ac:dyDescent="0.2">
      <c r="A1330" s="5">
        <v>1269</v>
      </c>
      <c r="B1330" s="1832">
        <f>'Expenditures 15-22'!K171</f>
        <v>2000</v>
      </c>
      <c r="C1330" s="2" t="s">
        <v>568</v>
      </c>
      <c r="D1330" s="2" t="str">
        <f t="shared" si="19"/>
        <v>Error?</v>
      </c>
    </row>
    <row r="1331" spans="1:4" x14ac:dyDescent="0.2">
      <c r="A1331" s="5">
        <v>1270</v>
      </c>
      <c r="B1331" s="1832">
        <f>'Expenditures 15-22'!K172</f>
        <v>2648149</v>
      </c>
      <c r="C1331" s="2" t="s">
        <v>568</v>
      </c>
      <c r="D1331" s="2" t="str">
        <f t="shared" si="19"/>
        <v>Error?</v>
      </c>
    </row>
    <row r="1332" spans="1:4" x14ac:dyDescent="0.2">
      <c r="A1332" s="5">
        <v>1271</v>
      </c>
      <c r="B1332" s="1832">
        <f>'Expenditures 15-22'!K174</f>
        <v>2648149</v>
      </c>
      <c r="C1332" s="2" t="s">
        <v>568</v>
      </c>
      <c r="D1332" s="2" t="str">
        <f t="shared" si="19"/>
        <v>Error?</v>
      </c>
    </row>
    <row r="1333" spans="1:4" x14ac:dyDescent="0.2">
      <c r="A1333" s="5">
        <v>1272</v>
      </c>
      <c r="B1333" s="1832">
        <f>'Expenditures 15-22'!K175</f>
        <v>-15400</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1609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1609</v>
      </c>
      <c r="C1339" s="2" t="s">
        <v>568</v>
      </c>
      <c r="D1339" s="2" t="str">
        <f t="shared" si="19"/>
        <v>Error?</v>
      </c>
    </row>
    <row r="1340" spans="1:4" x14ac:dyDescent="0.2">
      <c r="A1340" s="5">
        <v>1279</v>
      </c>
      <c r="B1340" s="1832">
        <f>'Expenditures 15-22'!C210</f>
        <v>1609</v>
      </c>
      <c r="C1340" s="2" t="s">
        <v>568</v>
      </c>
      <c r="D1340" s="2" t="str">
        <f t="shared" si="19"/>
        <v>Error?</v>
      </c>
    </row>
    <row r="1341" spans="1:4" x14ac:dyDescent="0.2">
      <c r="A1341" s="5">
        <v>1280</v>
      </c>
      <c r="B1341" s="1832">
        <f>'Expenditures 15-22'!D182</f>
        <v>588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588</v>
      </c>
      <c r="C1345" s="2" t="s">
        <v>568</v>
      </c>
      <c r="D1345" s="2" t="str">
        <f t="shared" si="20"/>
        <v>Error?</v>
      </c>
    </row>
    <row r="1346" spans="1:4" x14ac:dyDescent="0.2">
      <c r="A1346" s="5">
        <v>1285</v>
      </c>
      <c r="B1346" s="1832">
        <f>'Expenditures 15-22'!D210</f>
        <v>588</v>
      </c>
      <c r="C1346" s="2" t="s">
        <v>568</v>
      </c>
      <c r="D1346" s="2" t="str">
        <f t="shared" si="20"/>
        <v>Error?</v>
      </c>
    </row>
    <row r="1347" spans="1:4" x14ac:dyDescent="0.2">
      <c r="A1347" s="5">
        <v>1286</v>
      </c>
      <c r="B1347" s="1832">
        <f>'Expenditures 15-22'!E182</f>
        <v>113146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113146</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113146</v>
      </c>
      <c r="C1353" s="2" t="s">
        <v>568</v>
      </c>
      <c r="D1353" s="2" t="str">
        <f t="shared" si="20"/>
        <v>Error?</v>
      </c>
    </row>
    <row r="1354" spans="1:4" x14ac:dyDescent="0.2">
      <c r="A1354" s="5">
        <v>1293</v>
      </c>
      <c r="B1354" s="1832">
        <f>'Expenditures 15-22'!F182</f>
        <v>3471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3471</v>
      </c>
      <c r="C1358" s="2" t="s">
        <v>568</v>
      </c>
      <c r="D1358" s="2" t="str">
        <f t="shared" si="20"/>
        <v>Error?</v>
      </c>
    </row>
    <row r="1359" spans="1:4" x14ac:dyDescent="0.2">
      <c r="A1359" s="5">
        <v>1298</v>
      </c>
      <c r="B1359" s="1832">
        <f>'Expenditures 15-22'!F210</f>
        <v>3471</v>
      </c>
      <c r="C1359" s="2" t="s">
        <v>568</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568</v>
      </c>
      <c r="D1364" s="2" t="str">
        <f t="shared" si="20"/>
        <v>Error?</v>
      </c>
    </row>
    <row r="1365" spans="1:4" x14ac:dyDescent="0.2">
      <c r="A1365" s="5">
        <v>1304</v>
      </c>
      <c r="B1365" s="1832">
        <f>'Expenditures 15-22'!G210</f>
        <v>0</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16730</v>
      </c>
      <c r="C1375" s="2" t="s">
        <v>568</v>
      </c>
      <c r="D1375" s="2" t="str">
        <f t="shared" si="20"/>
        <v>Error?</v>
      </c>
    </row>
    <row r="1376" spans="1:4" x14ac:dyDescent="0.2">
      <c r="A1376" s="5">
        <v>1315</v>
      </c>
      <c r="B1376" s="1832">
        <f>'Expenditures 15-22'!H210</f>
        <v>16730</v>
      </c>
      <c r="C1376" s="2" t="s">
        <v>568</v>
      </c>
      <c r="D1376" s="2" t="str">
        <f t="shared" si="20"/>
        <v>Error?</v>
      </c>
    </row>
    <row r="1377" spans="1:4" x14ac:dyDescent="0.2">
      <c r="A1377" s="5">
        <v>1316</v>
      </c>
      <c r="B1377" s="1832">
        <f>'Expenditures 15-22'!K182</f>
        <v>118814</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118814</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16730</v>
      </c>
      <c r="C1387" s="2" t="s">
        <v>568</v>
      </c>
      <c r="D1387" s="2" t="str">
        <f t="shared" si="20"/>
        <v>Error?</v>
      </c>
    </row>
    <row r="1388" spans="1:4" x14ac:dyDescent="0.2">
      <c r="A1388" s="5">
        <v>1327</v>
      </c>
      <c r="B1388" s="1832">
        <f>'Expenditures 15-22'!K210</f>
        <v>135544</v>
      </c>
      <c r="C1388" s="2" t="s">
        <v>568</v>
      </c>
      <c r="D1388" s="2" t="str">
        <f t="shared" si="20"/>
        <v>Error?</v>
      </c>
    </row>
    <row r="1389" spans="1:4" x14ac:dyDescent="0.2">
      <c r="A1389" s="5">
        <v>1328</v>
      </c>
      <c r="B1389" s="1832">
        <f>'Expenditures 15-22'!K211</f>
        <v>54539</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3195</v>
      </c>
      <c r="D1407" s="2" t="str">
        <f t="shared" ref="D1407:D1470" si="21">IF(ISBLANK(B1407),"OK",IF(A1407-B1407=0,"OK","Error?"))</f>
        <v>Error?</v>
      </c>
    </row>
    <row r="1408" spans="1:4" x14ac:dyDescent="0.2">
      <c r="A1408" s="5">
        <v>1347</v>
      </c>
      <c r="B1408" s="1832">
        <f>'Expenditures 15-22'!D223</f>
        <v>9419</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58201</v>
      </c>
      <c r="C1410" s="2" t="s">
        <v>568</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7475</v>
      </c>
      <c r="D1412" s="2" t="str">
        <f t="shared" si="21"/>
        <v>Error?</v>
      </c>
    </row>
    <row r="1413" spans="1:4" x14ac:dyDescent="0.2">
      <c r="A1413" s="5">
        <v>1352</v>
      </c>
      <c r="B1413" s="1832">
        <f>'Expenditures 15-22'!D234</f>
        <v>7128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14603</v>
      </c>
      <c r="C1417" s="2" t="s">
        <v>568</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6192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6192</v>
      </c>
      <c r="C1421" s="2" t="s">
        <v>568</v>
      </c>
      <c r="D1421" s="2" t="str">
        <f t="shared" si="21"/>
        <v>Error?</v>
      </c>
    </row>
    <row r="1422" spans="1:4" x14ac:dyDescent="0.2">
      <c r="A1422" s="5">
        <v>1361</v>
      </c>
      <c r="B1422" s="1832">
        <f>'Expenditures 15-22'!D245</f>
        <v>257</v>
      </c>
      <c r="D1422" s="2" t="str">
        <f t="shared" si="21"/>
        <v>Error?</v>
      </c>
    </row>
    <row r="1423" spans="1:4" x14ac:dyDescent="0.2">
      <c r="A1423" s="5">
        <v>1362</v>
      </c>
      <c r="B1423" s="1832">
        <f>'Expenditures 15-22'!D246</f>
        <v>3833</v>
      </c>
      <c r="D1423" s="2" t="str">
        <f t="shared" si="21"/>
        <v>Error?</v>
      </c>
    </row>
    <row r="1424" spans="1:4" x14ac:dyDescent="0.2">
      <c r="A1424" s="5">
        <v>1363</v>
      </c>
      <c r="B1424" s="1832">
        <f>'Expenditures 15-22'!D257</f>
        <v>4090</v>
      </c>
      <c r="C1424" s="2" t="s">
        <v>568</v>
      </c>
      <c r="D1424" s="2" t="str">
        <f t="shared" si="21"/>
        <v>Error?</v>
      </c>
    </row>
    <row r="1425" spans="1:4" x14ac:dyDescent="0.2">
      <c r="A1425" s="5">
        <v>1364</v>
      </c>
      <c r="B1425" s="1832">
        <f>'Expenditures 15-22'!D259</f>
        <v>9569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9569</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7907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39430</v>
      </c>
      <c r="D1431" s="2" t="str">
        <f t="shared" si="21"/>
        <v>Error?</v>
      </c>
    </row>
    <row r="1432" spans="1:4" x14ac:dyDescent="0.2">
      <c r="A1432" s="5">
        <v>1371</v>
      </c>
      <c r="B1432" s="1832">
        <f>'Expenditures 15-22'!D267</f>
        <v>23</v>
      </c>
      <c r="D1432" s="2" t="str">
        <f t="shared" si="21"/>
        <v>Error?</v>
      </c>
    </row>
    <row r="1433" spans="1:4" x14ac:dyDescent="0.2">
      <c r="A1433" s="5">
        <v>1372</v>
      </c>
      <c r="B1433" s="1832">
        <f>'Expenditures 15-22'!D268</f>
        <v>9306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56666</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91120</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149321</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3195</v>
      </c>
      <c r="C1471" s="2" t="s">
        <v>568</v>
      </c>
      <c r="D1471" s="2" t="str">
        <f t="shared" ref="D1471:D1534" si="22">IF(ISBLANK(B1471),"OK",IF(A1471-B1471=0,"OK","Error?"))</f>
        <v>Error?</v>
      </c>
    </row>
    <row r="1472" spans="1:4" x14ac:dyDescent="0.2">
      <c r="A1472" s="5">
        <v>1411</v>
      </c>
      <c r="B1472" s="1832">
        <f>'Expenditures 15-22'!K223</f>
        <v>9419</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58201</v>
      </c>
      <c r="C1474" s="2" t="s">
        <v>568</v>
      </c>
      <c r="D1474" s="2" t="str">
        <f t="shared" si="22"/>
        <v>Error?</v>
      </c>
    </row>
    <row r="1475" spans="1:4" x14ac:dyDescent="0.2">
      <c r="A1475" s="5">
        <v>1414</v>
      </c>
      <c r="B1475" s="1832">
        <f>'Expenditures 15-22'!K232</f>
        <v>0</v>
      </c>
      <c r="C1475" s="2" t="s">
        <v>568</v>
      </c>
      <c r="D1475" s="2" t="str">
        <f t="shared" si="22"/>
        <v>Error?</v>
      </c>
    </row>
    <row r="1476" spans="1:4" x14ac:dyDescent="0.2">
      <c r="A1476" s="5">
        <v>1415</v>
      </c>
      <c r="B1476" s="1832">
        <f>'Expenditures 15-22'!K233</f>
        <v>7475</v>
      </c>
      <c r="C1476" s="2" t="s">
        <v>568</v>
      </c>
      <c r="D1476" s="2" t="str">
        <f t="shared" si="22"/>
        <v>Error?</v>
      </c>
    </row>
    <row r="1477" spans="1:4" x14ac:dyDescent="0.2">
      <c r="A1477" s="5">
        <v>1416</v>
      </c>
      <c r="B1477" s="1832">
        <f>'Expenditures 15-22'!K234</f>
        <v>7128</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14603</v>
      </c>
      <c r="C1481" s="2" t="s">
        <v>568</v>
      </c>
      <c r="D1481" s="2" t="str">
        <f t="shared" si="22"/>
        <v>Error?</v>
      </c>
    </row>
    <row r="1482" spans="1:4" x14ac:dyDescent="0.2">
      <c r="A1482" s="5">
        <v>1421</v>
      </c>
      <c r="B1482" s="1832">
        <f>'Expenditures 15-22'!K240</f>
        <v>0</v>
      </c>
      <c r="C1482" s="2" t="s">
        <v>568</v>
      </c>
      <c r="D1482" s="2" t="str">
        <f t="shared" si="22"/>
        <v>Error?</v>
      </c>
    </row>
    <row r="1483" spans="1:4" x14ac:dyDescent="0.2">
      <c r="A1483" s="5">
        <v>1422</v>
      </c>
      <c r="B1483" s="1832">
        <f>'Expenditures 15-22'!K241</f>
        <v>6192</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6192</v>
      </c>
      <c r="C1485" s="2" t="s">
        <v>568</v>
      </c>
      <c r="D1485" s="2" t="str">
        <f t="shared" si="22"/>
        <v>Error?</v>
      </c>
    </row>
    <row r="1486" spans="1:4" x14ac:dyDescent="0.2">
      <c r="A1486" s="5">
        <v>1425</v>
      </c>
      <c r="B1486" s="1832">
        <f>'Expenditures 15-22'!K245</f>
        <v>257</v>
      </c>
      <c r="C1486" s="2" t="s">
        <v>568</v>
      </c>
      <c r="D1486" s="2" t="str">
        <f t="shared" si="22"/>
        <v>Error?</v>
      </c>
    </row>
    <row r="1487" spans="1:4" x14ac:dyDescent="0.2">
      <c r="A1487" s="5">
        <v>1426</v>
      </c>
      <c r="B1487" s="1832">
        <f>'Expenditures 15-22'!K246</f>
        <v>3833</v>
      </c>
      <c r="C1487" s="2" t="s">
        <v>568</v>
      </c>
      <c r="D1487" s="2" t="str">
        <f t="shared" si="22"/>
        <v>Error?</v>
      </c>
    </row>
    <row r="1488" spans="1:4" x14ac:dyDescent="0.2">
      <c r="A1488" s="5">
        <v>1427</v>
      </c>
      <c r="B1488" s="1832">
        <f>'Expenditures 15-22'!K257</f>
        <v>4090</v>
      </c>
      <c r="C1488" s="2" t="s">
        <v>568</v>
      </c>
      <c r="D1488" s="2" t="str">
        <f t="shared" si="22"/>
        <v>Error?</v>
      </c>
    </row>
    <row r="1489" spans="1:4" x14ac:dyDescent="0.2">
      <c r="A1489" s="5">
        <v>1428</v>
      </c>
      <c r="B1489" s="1832">
        <f>'Expenditures 15-22'!K259</f>
        <v>9569</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9569</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7907</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39430</v>
      </c>
      <c r="C1495" s="2" t="s">
        <v>568</v>
      </c>
      <c r="D1495" s="2" t="str">
        <f t="shared" si="22"/>
        <v>Error?</v>
      </c>
    </row>
    <row r="1496" spans="1:4" x14ac:dyDescent="0.2">
      <c r="A1496" s="5">
        <v>1435</v>
      </c>
      <c r="B1496" s="1832">
        <f>'Expenditures 15-22'!K267</f>
        <v>23</v>
      </c>
      <c r="C1496" s="2" t="s">
        <v>568</v>
      </c>
      <c r="D1496" s="2" t="str">
        <f t="shared" si="22"/>
        <v>Error?</v>
      </c>
    </row>
    <row r="1497" spans="1:4" x14ac:dyDescent="0.2">
      <c r="A1497" s="5">
        <v>1436</v>
      </c>
      <c r="B1497" s="1832">
        <f>'Expenditures 15-22'!K268</f>
        <v>9306</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56666</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91120</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149321</v>
      </c>
      <c r="C1517" s="2" t="s">
        <v>568</v>
      </c>
      <c r="D1517" s="2" t="str">
        <f t="shared" si="22"/>
        <v>Error?</v>
      </c>
    </row>
    <row r="1518" spans="1:4" x14ac:dyDescent="0.2">
      <c r="A1518" s="5">
        <v>1457</v>
      </c>
      <c r="B1518" s="1832">
        <f>'Expenditures 15-22'!K296</f>
        <v>5075</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568</v>
      </c>
      <c r="D1535" s="2" t="str">
        <f t="shared" ref="D1535:D1598" si="23">IF(ISBLANK(B1535),"OK",IF(A1535-B1535=0,"OK","Error?"))</f>
        <v>Error?</v>
      </c>
    </row>
    <row r="1536" spans="1:4" x14ac:dyDescent="0.2">
      <c r="A1536" s="5">
        <v>1475</v>
      </c>
      <c r="B1536" s="1832">
        <f>'Expenditures 15-22'!E312</f>
        <v>0</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0</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0</v>
      </c>
      <c r="C1559" s="2" t="s">
        <v>568</v>
      </c>
      <c r="D1559" s="2" t="str">
        <f t="shared" si="23"/>
        <v>Error?</v>
      </c>
    </row>
    <row r="1560" spans="1:4" x14ac:dyDescent="0.2">
      <c r="A1560" s="5">
        <v>1499</v>
      </c>
      <c r="B1560" s="1832">
        <f>'Expenditures 15-22'!K312</f>
        <v>0</v>
      </c>
      <c r="C1560" s="2" t="s">
        <v>568</v>
      </c>
      <c r="D1560" s="2" t="str">
        <f t="shared" si="23"/>
        <v>Error?</v>
      </c>
    </row>
    <row r="1561" spans="1:4" x14ac:dyDescent="0.2">
      <c r="A1561" s="5">
        <v>1500</v>
      </c>
      <c r="B1561" s="1832">
        <f>'Expenditures 15-22'!K313</f>
        <v>0</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1080672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1769320</v>
      </c>
      <c r="C1630" s="2" t="s">
        <v>568</v>
      </c>
      <c r="D1630" s="2" t="str">
        <f t="shared" si="24"/>
        <v>Error?</v>
      </c>
    </row>
    <row r="1631" spans="1:4" x14ac:dyDescent="0.2">
      <c r="A1631" s="5">
        <v>1570</v>
      </c>
      <c r="B1631" s="1832">
        <f>'Acct Summary 7-8'!D79</f>
        <v>673282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939518</v>
      </c>
      <c r="C1644" s="2" t="s">
        <v>568</v>
      </c>
      <c r="D1644" s="2" t="str">
        <f t="shared" si="24"/>
        <v>Error?</v>
      </c>
    </row>
    <row r="1645" spans="1:4" x14ac:dyDescent="0.2">
      <c r="A1645" s="5">
        <v>1584</v>
      </c>
      <c r="B1645" s="1832">
        <f>'Acct Summary 7-8'!E79</f>
        <v>59335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47982</v>
      </c>
      <c r="C1658" s="2" t="s">
        <v>568</v>
      </c>
      <c r="D1658" s="2" t="str">
        <f t="shared" si="24"/>
        <v>Error?</v>
      </c>
    </row>
    <row r="1659" spans="1:4" x14ac:dyDescent="0.2">
      <c r="A1659" s="5">
        <v>1598</v>
      </c>
      <c r="B1659" s="1832">
        <f>'Acct Summary 7-8'!F79</f>
        <v>70312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124851</v>
      </c>
      <c r="C1672" s="2" t="s">
        <v>568</v>
      </c>
      <c r="D1672" s="2" t="str">
        <f t="shared" si="25"/>
        <v>Error?</v>
      </c>
    </row>
    <row r="1673" spans="1:4" x14ac:dyDescent="0.2">
      <c r="A1673" s="5">
        <v>1612</v>
      </c>
      <c r="B1673" s="1832">
        <f>'Acct Summary 7-8'!G79</f>
        <v>111875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116950</v>
      </c>
      <c r="C1686" s="2" t="s">
        <v>568</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2006436</v>
      </c>
      <c r="C1744" s="2" t="s">
        <v>568</v>
      </c>
      <c r="D1744" s="2" t="str">
        <f t="shared" si="26"/>
        <v>Error?</v>
      </c>
    </row>
    <row r="1745" spans="1:5" x14ac:dyDescent="0.2">
      <c r="A1745" s="5">
        <v>1684</v>
      </c>
      <c r="B1745" s="1832">
        <f>'Tax Sched 23'!B5</f>
        <v>311557</v>
      </c>
      <c r="C1745" s="2" t="s">
        <v>568</v>
      </c>
      <c r="D1745" s="2" t="str">
        <f t="shared" si="26"/>
        <v>Error?</v>
      </c>
    </row>
    <row r="1746" spans="1:5" x14ac:dyDescent="0.2">
      <c r="A1746" s="5">
        <v>1685</v>
      </c>
      <c r="B1746" s="1832">
        <f>'Tax Sched 23'!B6</f>
        <v>2630606</v>
      </c>
      <c r="C1746" s="2" t="s">
        <v>568</v>
      </c>
      <c r="D1746" s="2" t="str">
        <f t="shared" si="26"/>
        <v>Error?</v>
      </c>
    </row>
    <row r="1747" spans="1:5" x14ac:dyDescent="0.2">
      <c r="A1747" s="5">
        <v>1686</v>
      </c>
      <c r="B1747" s="1832">
        <f>'Tax Sched 23'!B7</f>
        <v>149548</v>
      </c>
      <c r="C1747" s="2" t="s">
        <v>568</v>
      </c>
      <c r="D1747" s="2" t="str">
        <f t="shared" si="26"/>
        <v>Error?</v>
      </c>
    </row>
    <row r="1748" spans="1:5" x14ac:dyDescent="0.2">
      <c r="A1748" s="5">
        <v>1687</v>
      </c>
      <c r="B1748" s="1832">
        <f>'Tax Sched 23'!B8</f>
        <v>59608</v>
      </c>
      <c r="C1748" s="2" t="s">
        <v>568</v>
      </c>
      <c r="D1748" s="2" t="str">
        <f t="shared" si="26"/>
        <v>Error?</v>
      </c>
    </row>
    <row r="1749" spans="1:5" x14ac:dyDescent="0.2">
      <c r="A1749" s="5">
        <v>1688</v>
      </c>
      <c r="B1749" s="1832">
        <f>'Tax Sched 23'!B10</f>
        <v>62310</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387454</v>
      </c>
      <c r="C1752" s="2" t="s">
        <v>568</v>
      </c>
      <c r="D1752" s="2" t="str">
        <f t="shared" si="26"/>
        <v>Error?</v>
      </c>
    </row>
    <row r="1753" spans="1:5" x14ac:dyDescent="0.2">
      <c r="A1753" s="5">
        <v>1692</v>
      </c>
      <c r="B1753" s="1832">
        <f>'Tax Sched 23'!B12</f>
        <v>0</v>
      </c>
      <c r="C1753" s="2" t="s">
        <v>568</v>
      </c>
      <c r="D1753" s="2" t="str">
        <f t="shared" si="26"/>
        <v>Error?</v>
      </c>
    </row>
    <row r="1754" spans="1:5" x14ac:dyDescent="0.2">
      <c r="A1754" s="5">
        <v>1693</v>
      </c>
      <c r="B1754" s="1832">
        <f>'Tax Sched 23'!B14</f>
        <v>24923</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5785165</v>
      </c>
      <c r="C1759" s="2" t="s">
        <v>568</v>
      </c>
      <c r="D1759" s="2" t="str">
        <f t="shared" si="26"/>
        <v>Error?</v>
      </c>
    </row>
    <row r="1760" spans="1:5" x14ac:dyDescent="0.2">
      <c r="A1760" s="5">
        <v>1699</v>
      </c>
      <c r="B1760" s="1832">
        <f>'Tax Sched 23'!D4</f>
        <v>2006436</v>
      </c>
      <c r="C1760" s="2" t="s">
        <v>568</v>
      </c>
      <c r="D1760" s="2" t="str">
        <f t="shared" si="26"/>
        <v>Error?</v>
      </c>
    </row>
    <row r="1761" spans="1:7" x14ac:dyDescent="0.2">
      <c r="A1761" s="5">
        <v>1700</v>
      </c>
      <c r="B1761" s="1832">
        <f>'Tax Sched 23'!D5</f>
        <v>311557</v>
      </c>
      <c r="C1761" s="2" t="s">
        <v>568</v>
      </c>
      <c r="D1761" s="2" t="str">
        <f t="shared" si="26"/>
        <v>Error?</v>
      </c>
    </row>
    <row r="1762" spans="1:7" s="8" customFormat="1" x14ac:dyDescent="0.2">
      <c r="A1762" s="5">
        <v>1701</v>
      </c>
      <c r="B1762" s="1832">
        <f>'Tax Sched 23'!D6</f>
        <v>2630606</v>
      </c>
      <c r="C1762" s="2" t="s">
        <v>568</v>
      </c>
      <c r="D1762" s="2" t="str">
        <f t="shared" si="26"/>
        <v>Error?</v>
      </c>
      <c r="E1762" s="9"/>
      <c r="G1762"/>
    </row>
    <row r="1763" spans="1:7" x14ac:dyDescent="0.2">
      <c r="A1763" s="5">
        <v>1702</v>
      </c>
      <c r="B1763" s="1832">
        <f>'Tax Sched 23'!D7</f>
        <v>149548</v>
      </c>
      <c r="C1763" s="2" t="s">
        <v>568</v>
      </c>
      <c r="D1763" s="2" t="str">
        <f t="shared" si="26"/>
        <v>Error?</v>
      </c>
    </row>
    <row r="1764" spans="1:7" x14ac:dyDescent="0.2">
      <c r="A1764" s="5">
        <v>1703</v>
      </c>
      <c r="B1764" s="1832">
        <f>'Tax Sched 23'!D8</f>
        <v>59608</v>
      </c>
      <c r="C1764" s="2" t="s">
        <v>568</v>
      </c>
      <c r="D1764" s="2" t="str">
        <f t="shared" si="26"/>
        <v>Error?</v>
      </c>
    </row>
    <row r="1765" spans="1:7" x14ac:dyDescent="0.2">
      <c r="A1765" s="5">
        <v>1704</v>
      </c>
      <c r="B1765" s="1832">
        <f>'Tax Sched 23'!D10</f>
        <v>62310</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387454</v>
      </c>
      <c r="C1768" s="2" t="s">
        <v>568</v>
      </c>
      <c r="D1768" s="2" t="str">
        <f t="shared" si="26"/>
        <v>Error?</v>
      </c>
    </row>
    <row r="1769" spans="1:7" x14ac:dyDescent="0.2">
      <c r="A1769" s="5">
        <v>1708</v>
      </c>
      <c r="B1769" s="1832">
        <f>'Tax Sched 23'!D12</f>
        <v>0</v>
      </c>
      <c r="C1769" s="2" t="s">
        <v>568</v>
      </c>
      <c r="D1769" s="2" t="str">
        <f t="shared" si="26"/>
        <v>Error?</v>
      </c>
    </row>
    <row r="1770" spans="1:7" x14ac:dyDescent="0.2">
      <c r="A1770" s="5">
        <v>1709</v>
      </c>
      <c r="B1770" s="1832">
        <f>'Tax Sched 23'!D14</f>
        <v>24923</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5785165</v>
      </c>
      <c r="C1775" s="2" t="s">
        <v>568</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568</v>
      </c>
      <c r="D1791" s="2" t="str">
        <f t="shared" ref="D1791:D1854" si="27">IF(ISBLANK(B1791),"OK",IF(A1791-B1791=0,"OK","Error?"))</f>
        <v>Error?</v>
      </c>
    </row>
    <row r="1792" spans="1:4" x14ac:dyDescent="0.2">
      <c r="A1792" s="5">
        <v>1731</v>
      </c>
      <c r="B1792" s="1832">
        <f>'Tax Sched 23'!F4</f>
        <v>2100007</v>
      </c>
      <c r="C1792" s="2" t="s">
        <v>568</v>
      </c>
      <c r="D1792" s="2" t="str">
        <f t="shared" si="27"/>
        <v>Error?</v>
      </c>
    </row>
    <row r="1793" spans="1:4" x14ac:dyDescent="0.2">
      <c r="A1793" s="5">
        <v>1732</v>
      </c>
      <c r="B1793" s="1832">
        <f>'Tax Sched 23'!F5</f>
        <v>326011</v>
      </c>
      <c r="C1793" s="2" t="s">
        <v>568</v>
      </c>
      <c r="D1793" s="2" t="str">
        <f t="shared" si="27"/>
        <v>Error?</v>
      </c>
    </row>
    <row r="1794" spans="1:4" x14ac:dyDescent="0.2">
      <c r="A1794" s="5">
        <v>1733</v>
      </c>
      <c r="B1794" s="1832">
        <f>'Tax Sched 23'!F6</f>
        <v>2689530</v>
      </c>
      <c r="C1794" s="2" t="s">
        <v>568</v>
      </c>
      <c r="D1794" s="2" t="str">
        <f t="shared" si="27"/>
        <v>Error?</v>
      </c>
    </row>
    <row r="1795" spans="1:4" x14ac:dyDescent="0.2">
      <c r="A1795" s="5">
        <v>1734</v>
      </c>
      <c r="B1795" s="1832">
        <f>'Tax Sched 23'!F7</f>
        <v>156642</v>
      </c>
      <c r="C1795" s="2" t="s">
        <v>568</v>
      </c>
      <c r="D1795" s="2" t="str">
        <f t="shared" si="27"/>
        <v>Error?</v>
      </c>
    </row>
    <row r="1796" spans="1:4" x14ac:dyDescent="0.2">
      <c r="A1796" s="5">
        <v>1735</v>
      </c>
      <c r="B1796" s="1832">
        <f>'Tax Sched 23'!F8</f>
        <v>70006</v>
      </c>
      <c r="C1796" s="2" t="s">
        <v>568</v>
      </c>
      <c r="D1796" s="2" t="str">
        <f t="shared" si="27"/>
        <v>Error?</v>
      </c>
    </row>
    <row r="1797" spans="1:4" x14ac:dyDescent="0.2">
      <c r="A1797" s="5">
        <v>1736</v>
      </c>
      <c r="B1797" s="1832">
        <f>'Tax Sched 23'!F10</f>
        <v>13014</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375001</v>
      </c>
      <c r="C1800" s="2" t="s">
        <v>568</v>
      </c>
      <c r="D1800" s="2" t="str">
        <f t="shared" si="27"/>
        <v>Error?</v>
      </c>
    </row>
    <row r="1801" spans="1:4" x14ac:dyDescent="0.2">
      <c r="A1801" s="5">
        <v>1740</v>
      </c>
      <c r="B1801" s="1832">
        <f>'Tax Sched 23'!F12</f>
        <v>52031</v>
      </c>
      <c r="C1801" s="2" t="s">
        <v>568</v>
      </c>
      <c r="D1801" s="2" t="str">
        <f t="shared" si="27"/>
        <v>Error?</v>
      </c>
    </row>
    <row r="1802" spans="1:4" x14ac:dyDescent="0.2">
      <c r="A1802" s="5">
        <v>1741</v>
      </c>
      <c r="B1802" s="1832">
        <f>'Tax Sched 23'!F14</f>
        <v>26107</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5965382</v>
      </c>
      <c r="C1807" s="2" t="s">
        <v>568</v>
      </c>
      <c r="D1807" s="2" t="str">
        <f t="shared" si="27"/>
        <v>Error?</v>
      </c>
    </row>
    <row r="1808" spans="1:4" x14ac:dyDescent="0.2">
      <c r="A1808" s="5">
        <v>1747</v>
      </c>
      <c r="B1808" s="1832">
        <f>'Tax Sched 23'!E4</f>
        <v>2100007</v>
      </c>
      <c r="D1808" s="2" t="str">
        <f t="shared" si="27"/>
        <v>Error?</v>
      </c>
    </row>
    <row r="1809" spans="1:4" x14ac:dyDescent="0.2">
      <c r="A1809" s="5">
        <v>1748</v>
      </c>
      <c r="B1809" s="1832">
        <f>'Tax Sched 23'!E5</f>
        <v>326011</v>
      </c>
      <c r="D1809" s="2" t="str">
        <f t="shared" si="27"/>
        <v>Error?</v>
      </c>
    </row>
    <row r="1810" spans="1:4" x14ac:dyDescent="0.2">
      <c r="A1810" s="5">
        <v>1749</v>
      </c>
      <c r="B1810" s="1832">
        <f>'Tax Sched 23'!E6</f>
        <v>2689530</v>
      </c>
      <c r="D1810" s="2" t="str">
        <f t="shared" si="27"/>
        <v>Error?</v>
      </c>
    </row>
    <row r="1811" spans="1:4" x14ac:dyDescent="0.2">
      <c r="A1811" s="5">
        <v>1750</v>
      </c>
      <c r="B1811" s="1832">
        <f>'Tax Sched 23'!E7</f>
        <v>156642</v>
      </c>
      <c r="D1811" s="2" t="str">
        <f t="shared" si="27"/>
        <v>Error?</v>
      </c>
    </row>
    <row r="1812" spans="1:4" x14ac:dyDescent="0.2">
      <c r="A1812" s="5">
        <v>1751</v>
      </c>
      <c r="B1812" s="1832">
        <f>'Tax Sched 23'!E8</f>
        <v>70006</v>
      </c>
      <c r="D1812" s="2" t="str">
        <f t="shared" si="27"/>
        <v>Error?</v>
      </c>
    </row>
    <row r="1813" spans="1:4" x14ac:dyDescent="0.2">
      <c r="A1813" s="5">
        <v>1752</v>
      </c>
      <c r="B1813" s="1832">
        <f>'Tax Sched 23'!E10</f>
        <v>13014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375001</v>
      </c>
      <c r="D1816" s="2" t="str">
        <f t="shared" si="27"/>
        <v>Error?</v>
      </c>
    </row>
    <row r="1817" spans="1:4" x14ac:dyDescent="0.2">
      <c r="A1817" s="5">
        <v>1756</v>
      </c>
      <c r="B1817" s="1832">
        <f>'Tax Sched 23'!E12</f>
        <v>52031</v>
      </c>
      <c r="D1817" s="2" t="str">
        <f t="shared" si="27"/>
        <v>Error?</v>
      </c>
    </row>
    <row r="1818" spans="1:4" x14ac:dyDescent="0.2">
      <c r="A1818" s="5">
        <v>1757</v>
      </c>
      <c r="B1818" s="1832">
        <f>'Tax Sched 23'!E14</f>
        <v>26107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5965382</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43759257</v>
      </c>
      <c r="C1939" s="2" t="s">
        <v>568</v>
      </c>
      <c r="D1939" s="2" t="str">
        <f t="shared" si="29"/>
        <v>Error?</v>
      </c>
    </row>
    <row r="1940" spans="1:5" x14ac:dyDescent="0.2">
      <c r="A1940" s="5">
        <v>1879</v>
      </c>
      <c r="B1940" s="1832">
        <f>'Short-Term Long-Term Debt 24'!F49</f>
        <v>28569</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24923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24923</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24923</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51157</v>
      </c>
      <c r="D2008" s="2" t="str">
        <f t="shared" si="30"/>
        <v>Error?</v>
      </c>
    </row>
    <row r="2009" spans="1:4" x14ac:dyDescent="0.2">
      <c r="A2009" s="5">
        <v>1948</v>
      </c>
      <c r="B2009" s="1832">
        <f>'Cap Outlay Deprec 26'!C8</f>
        <v>31985115</v>
      </c>
      <c r="D2009" s="2" t="str">
        <f t="shared" si="30"/>
        <v>Error?</v>
      </c>
    </row>
    <row r="2010" spans="1:4" x14ac:dyDescent="0.2">
      <c r="A2010" s="5">
        <v>1949</v>
      </c>
      <c r="B2010" s="1832">
        <f>'Cap Outlay Deprec 26'!C10</f>
        <v>173052</v>
      </c>
      <c r="D2010" s="2" t="str">
        <f t="shared" si="30"/>
        <v>Error?</v>
      </c>
    </row>
    <row r="2011" spans="1:4" x14ac:dyDescent="0.2">
      <c r="A2011" s="5">
        <v>1950</v>
      </c>
      <c r="B2011" s="1832">
        <f>'Cap Outlay Deprec 26'!C12</f>
        <v>463418</v>
      </c>
      <c r="D2011" s="2" t="str">
        <f t="shared" si="30"/>
        <v>Error?</v>
      </c>
    </row>
    <row r="2012" spans="1:4" x14ac:dyDescent="0.2">
      <c r="A2012" s="5">
        <v>1951</v>
      </c>
      <c r="B2012" s="1832">
        <f>'Cap Outlay Deprec 26'!C13</f>
        <v>296630</v>
      </c>
      <c r="D2012" s="2" t="str">
        <f t="shared" si="30"/>
        <v>Error?</v>
      </c>
    </row>
    <row r="2013" spans="1:4" x14ac:dyDescent="0.2">
      <c r="A2013" s="5">
        <v>1952</v>
      </c>
      <c r="B2013" s="1832">
        <f>'Cap Outlay Deprec 26'!C16</f>
        <v>32969372</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62507</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62507</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568</v>
      </c>
      <c r="D2025" s="2" t="str">
        <f t="shared" si="30"/>
        <v>Error?</v>
      </c>
    </row>
    <row r="2026" spans="1:4" x14ac:dyDescent="0.2">
      <c r="A2026" s="5">
        <v>1965</v>
      </c>
      <c r="B2026" s="1832">
        <f>'Cap Outlay Deprec 26'!F5</f>
        <v>51157</v>
      </c>
      <c r="C2026" s="2" t="s">
        <v>568</v>
      </c>
      <c r="D2026" s="2" t="str">
        <f t="shared" si="30"/>
        <v>Error?</v>
      </c>
    </row>
    <row r="2027" spans="1:4" x14ac:dyDescent="0.2">
      <c r="A2027" s="5">
        <v>1966</v>
      </c>
      <c r="B2027" s="1832">
        <f>'Cap Outlay Deprec 26'!F8</f>
        <v>31985115</v>
      </c>
      <c r="C2027" s="2" t="s">
        <v>568</v>
      </c>
      <c r="D2027" s="2" t="str">
        <f t="shared" si="30"/>
        <v>Error?</v>
      </c>
    </row>
    <row r="2028" spans="1:4" x14ac:dyDescent="0.2">
      <c r="A2028" s="5">
        <v>1967</v>
      </c>
      <c r="B2028" s="1832">
        <f>'Cap Outlay Deprec 26'!F10</f>
        <v>235559</v>
      </c>
      <c r="C2028" s="2" t="s">
        <v>568</v>
      </c>
      <c r="D2028" s="2" t="str">
        <f t="shared" si="30"/>
        <v>Error?</v>
      </c>
    </row>
    <row r="2029" spans="1:4" x14ac:dyDescent="0.2">
      <c r="A2029" s="5">
        <v>1968</v>
      </c>
      <c r="B2029" s="1832">
        <f>'Cap Outlay Deprec 26'!F12</f>
        <v>463418</v>
      </c>
      <c r="C2029" s="2" t="s">
        <v>568</v>
      </c>
      <c r="D2029" s="2" t="str">
        <f t="shared" si="30"/>
        <v>Error?</v>
      </c>
    </row>
    <row r="2030" spans="1:4" x14ac:dyDescent="0.2">
      <c r="A2030" s="5">
        <v>1969</v>
      </c>
      <c r="B2030" s="1832">
        <f>'Cap Outlay Deprec 26'!F13</f>
        <v>296630</v>
      </c>
      <c r="C2030" s="2" t="s">
        <v>568</v>
      </c>
      <c r="D2030" s="2" t="str">
        <f t="shared" si="30"/>
        <v>Error?</v>
      </c>
    </row>
    <row r="2031" spans="1:4" x14ac:dyDescent="0.2">
      <c r="A2031" s="5">
        <v>1970</v>
      </c>
      <c r="B2031" s="1832">
        <f>'Cap Outlay Deprec 26'!F16</f>
        <v>33031879</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2555534</v>
      </c>
      <c r="D2033" s="2" t="str">
        <f t="shared" si="30"/>
        <v>Error?</v>
      </c>
    </row>
    <row r="2034" spans="1:4" x14ac:dyDescent="0.2">
      <c r="A2034" s="5">
        <v>1973</v>
      </c>
      <c r="B2034" s="1832">
        <f>'Cap Outlay Deprec 26'!H10</f>
        <v>48911</v>
      </c>
      <c r="D2034" s="2" t="str">
        <f t="shared" si="30"/>
        <v>Error?</v>
      </c>
    </row>
    <row r="2035" spans="1:4" x14ac:dyDescent="0.2">
      <c r="A2035" s="5">
        <v>1974</v>
      </c>
      <c r="B2035" s="1832">
        <f>'Cap Outlay Deprec 26'!H12</f>
        <v>280200</v>
      </c>
      <c r="D2035" s="2" t="str">
        <f t="shared" si="30"/>
        <v>Error?</v>
      </c>
    </row>
    <row r="2036" spans="1:4" x14ac:dyDescent="0.2">
      <c r="A2036" s="5">
        <v>1975</v>
      </c>
      <c r="B2036" s="1832">
        <f>'Cap Outlay Deprec 26'!H13</f>
        <v>242873</v>
      </c>
      <c r="D2036" s="2" t="str">
        <f t="shared" si="30"/>
        <v>Error?</v>
      </c>
    </row>
    <row r="2037" spans="1:4" x14ac:dyDescent="0.2">
      <c r="A2037" s="5">
        <v>1976</v>
      </c>
      <c r="B2037" s="1832">
        <f>'Cap Outlay Deprec 26'!H16</f>
        <v>3127518</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639702</v>
      </c>
      <c r="D2039" s="2" t="str">
        <f t="shared" si="30"/>
        <v>Error?</v>
      </c>
    </row>
    <row r="2040" spans="1:4" x14ac:dyDescent="0.2">
      <c r="A2040" s="5">
        <v>1979</v>
      </c>
      <c r="B2040" s="1832">
        <f>'Cap Outlay Deprec 26'!I10</f>
        <v>11778</v>
      </c>
      <c r="D2040" s="2" t="str">
        <f t="shared" si="30"/>
        <v>Error?</v>
      </c>
    </row>
    <row r="2041" spans="1:4" x14ac:dyDescent="0.2">
      <c r="A2041" s="5">
        <v>1980</v>
      </c>
      <c r="B2041" s="1832">
        <f>'Cap Outlay Deprec 26'!I12</f>
        <v>41536</v>
      </c>
      <c r="D2041" s="2" t="str">
        <f t="shared" si="30"/>
        <v>Error?</v>
      </c>
    </row>
    <row r="2042" spans="1:4" x14ac:dyDescent="0.2">
      <c r="A2042" s="5">
        <v>1981</v>
      </c>
      <c r="B2042" s="1832">
        <f>'Cap Outlay Deprec 26'!I13</f>
        <v>24853</v>
      </c>
      <c r="D2042" s="2" t="str">
        <f t="shared" si="30"/>
        <v>Error?</v>
      </c>
    </row>
    <row r="2043" spans="1:4" x14ac:dyDescent="0.2">
      <c r="A2043" s="5">
        <v>1982</v>
      </c>
      <c r="B2043" s="1832">
        <f>'Cap Outlay Deprec 26'!I16</f>
        <v>717869</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3195236</v>
      </c>
      <c r="C2051" s="2" t="s">
        <v>568</v>
      </c>
      <c r="D2051" s="2" t="str">
        <f t="shared" si="31"/>
        <v>Error?</v>
      </c>
    </row>
    <row r="2052" spans="1:4" x14ac:dyDescent="0.2">
      <c r="A2052" s="5">
        <v>1991</v>
      </c>
      <c r="B2052" s="1832">
        <f>'Cap Outlay Deprec 26'!K10</f>
        <v>60689</v>
      </c>
      <c r="C2052" s="2" t="s">
        <v>568</v>
      </c>
      <c r="D2052" s="2" t="str">
        <f t="shared" si="31"/>
        <v>Error?</v>
      </c>
    </row>
    <row r="2053" spans="1:4" x14ac:dyDescent="0.2">
      <c r="A2053" s="5">
        <v>1992</v>
      </c>
      <c r="B2053" s="1832">
        <f>'Cap Outlay Deprec 26'!K12</f>
        <v>321736</v>
      </c>
      <c r="C2053" s="2" t="s">
        <v>568</v>
      </c>
      <c r="D2053" s="2" t="str">
        <f t="shared" si="31"/>
        <v>Error?</v>
      </c>
    </row>
    <row r="2054" spans="1:4" x14ac:dyDescent="0.2">
      <c r="A2054" s="5">
        <v>1993</v>
      </c>
      <c r="B2054" s="1832">
        <f>'Cap Outlay Deprec 26'!K13</f>
        <v>267726</v>
      </c>
      <c r="C2054" s="2" t="s">
        <v>568</v>
      </c>
      <c r="D2054" s="2" t="str">
        <f t="shared" si="31"/>
        <v>Error?</v>
      </c>
    </row>
    <row r="2055" spans="1:4" x14ac:dyDescent="0.2">
      <c r="A2055" s="5">
        <v>1994</v>
      </c>
      <c r="B2055" s="1832">
        <f>'Cap Outlay Deprec 26'!K16</f>
        <v>3845387</v>
      </c>
      <c r="C2055" s="2" t="s">
        <v>568</v>
      </c>
      <c r="D2055" s="2" t="str">
        <f t="shared" si="31"/>
        <v>Error?</v>
      </c>
    </row>
    <row r="2056" spans="1:4" x14ac:dyDescent="0.2">
      <c r="A2056" s="5">
        <v>1995</v>
      </c>
      <c r="B2056" s="1832">
        <f>'Cap Outlay Deprec 26'!L5</f>
        <v>51157</v>
      </c>
      <c r="C2056" s="2" t="s">
        <v>568</v>
      </c>
      <c r="D2056" s="2" t="str">
        <f t="shared" si="31"/>
        <v>Error?</v>
      </c>
    </row>
    <row r="2057" spans="1:4" x14ac:dyDescent="0.2">
      <c r="A2057" s="5">
        <v>1996</v>
      </c>
      <c r="B2057" s="1832">
        <f>'Cap Outlay Deprec 26'!L8</f>
        <v>28789879</v>
      </c>
      <c r="C2057" s="2" t="s">
        <v>568</v>
      </c>
      <c r="D2057" s="2" t="str">
        <f t="shared" si="31"/>
        <v>Error?</v>
      </c>
    </row>
    <row r="2058" spans="1:4" x14ac:dyDescent="0.2">
      <c r="A2058" s="5">
        <v>1997</v>
      </c>
      <c r="B2058" s="1832">
        <f>'Cap Outlay Deprec 26'!L10</f>
        <v>174870</v>
      </c>
      <c r="C2058" s="2" t="s">
        <v>568</v>
      </c>
      <c r="D2058" s="2" t="str">
        <f t="shared" si="31"/>
        <v>Error?</v>
      </c>
    </row>
    <row r="2059" spans="1:4" x14ac:dyDescent="0.2">
      <c r="A2059" s="5">
        <v>1998</v>
      </c>
      <c r="B2059" s="1832">
        <f>'Cap Outlay Deprec 26'!L12</f>
        <v>141682</v>
      </c>
      <c r="C2059" s="2" t="s">
        <v>568</v>
      </c>
      <c r="D2059" s="2" t="str">
        <f t="shared" si="31"/>
        <v>Error?</v>
      </c>
    </row>
    <row r="2060" spans="1:4" x14ac:dyDescent="0.2">
      <c r="A2060" s="5">
        <v>1999</v>
      </c>
      <c r="B2060" s="1832">
        <f>'Cap Outlay Deprec 26'!L13</f>
        <v>28904</v>
      </c>
      <c r="C2060" s="2" t="s">
        <v>568</v>
      </c>
      <c r="D2060" s="2" t="str">
        <f t="shared" si="31"/>
        <v>Error?</v>
      </c>
    </row>
    <row r="2061" spans="1:4" x14ac:dyDescent="0.2">
      <c r="A2061" s="5">
        <v>2000</v>
      </c>
      <c r="B2061" s="1832">
        <f>'Cap Outlay Deprec 26'!L16</f>
        <v>29186492</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59474</v>
      </c>
      <c r="C2088" s="2" t="s">
        <v>568</v>
      </c>
      <c r="D2088" s="2" t="str">
        <f t="shared" si="31"/>
        <v>Error?</v>
      </c>
    </row>
    <row r="2089" spans="1:4" x14ac:dyDescent="0.2">
      <c r="A2089" s="5">
        <v>2028</v>
      </c>
      <c r="B2089" s="1832">
        <f>'Expenditures 15-22'!K92</f>
        <v>59413</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111136</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18531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2670476</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1519597</v>
      </c>
      <c r="C2553" s="2" t="s">
        <v>568</v>
      </c>
      <c r="D2553" s="2" t="str">
        <f t="shared" si="38"/>
        <v>Error?</v>
      </c>
    </row>
    <row r="2554" spans="1:4" x14ac:dyDescent="0.2">
      <c r="A2554" s="5">
        <v>2493</v>
      </c>
      <c r="B2554" s="1832">
        <f>'Acct Summary 7-8'!C7</f>
        <v>337132</v>
      </c>
      <c r="C2554" s="2" t="s">
        <v>568</v>
      </c>
      <c r="D2554" s="2" t="str">
        <f t="shared" si="38"/>
        <v>Error?</v>
      </c>
    </row>
    <row r="2555" spans="1:4" x14ac:dyDescent="0.2">
      <c r="A2555" s="5">
        <v>2494</v>
      </c>
      <c r="B2555" s="1832">
        <f>'Acct Summary 7-8'!C8</f>
        <v>4527205</v>
      </c>
      <c r="C2555" s="2" t="s">
        <v>568</v>
      </c>
      <c r="D2555" s="2" t="str">
        <f t="shared" si="38"/>
        <v>Error?</v>
      </c>
    </row>
    <row r="2556" spans="1:4" x14ac:dyDescent="0.2">
      <c r="A2556" s="5">
        <v>2495</v>
      </c>
      <c r="B2556" s="1832">
        <f>'Acct Summary 7-8'!C12</f>
        <v>2797688</v>
      </c>
      <c r="C2556" s="2" t="s">
        <v>568</v>
      </c>
      <c r="D2556" s="2" t="str">
        <f t="shared" si="38"/>
        <v>Error?</v>
      </c>
    </row>
    <row r="2557" spans="1:4" x14ac:dyDescent="0.2">
      <c r="A2557" s="5">
        <v>2496</v>
      </c>
      <c r="B2557" s="1832">
        <f>'Acct Summary 7-8'!C13</f>
        <v>910076</v>
      </c>
      <c r="C2557" s="2" t="s">
        <v>568</v>
      </c>
      <c r="D2557" s="2" t="str">
        <f t="shared" si="38"/>
        <v>Error?</v>
      </c>
    </row>
    <row r="2558" spans="1:4" x14ac:dyDescent="0.2">
      <c r="A2558" s="5">
        <v>2497</v>
      </c>
      <c r="B2558" s="1832">
        <f>'Acct Summary 7-8'!C14</f>
        <v>11906</v>
      </c>
      <c r="C2558" s="2" t="s">
        <v>568</v>
      </c>
      <c r="D2558" s="2" t="str">
        <f t="shared" si="38"/>
        <v>Error?</v>
      </c>
    </row>
    <row r="2559" spans="1:4" x14ac:dyDescent="0.2">
      <c r="A2559" s="5">
        <v>2498</v>
      </c>
      <c r="B2559" s="1832">
        <f>'Acct Summary 7-8'!C15</f>
        <v>118887</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3838557</v>
      </c>
      <c r="C2561" s="2" t="s">
        <v>568</v>
      </c>
      <c r="D2561" s="2" t="str">
        <f t="shared" si="39"/>
        <v>Error?</v>
      </c>
    </row>
    <row r="2562" spans="1:4" x14ac:dyDescent="0.2">
      <c r="A2562" s="5">
        <v>2501</v>
      </c>
      <c r="B2562" s="1832">
        <f>'Acct Summary 7-8'!C20</f>
        <v>688648</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314935</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450000</v>
      </c>
      <c r="C2566" s="2" t="s">
        <v>568</v>
      </c>
      <c r="D2566" s="2" t="str">
        <f t="shared" si="39"/>
        <v>Error?</v>
      </c>
    </row>
    <row r="2567" spans="1:4" x14ac:dyDescent="0.2">
      <c r="A2567" s="5">
        <v>2506</v>
      </c>
      <c r="B2567" s="1832">
        <f>'Acct Summary 7-8'!D7</f>
        <v>6803</v>
      </c>
      <c r="C2567" s="2" t="s">
        <v>568</v>
      </c>
      <c r="D2567" s="2" t="str">
        <f t="shared" si="39"/>
        <v>Error?</v>
      </c>
    </row>
    <row r="2568" spans="1:4" x14ac:dyDescent="0.2">
      <c r="A2568" s="5">
        <v>2507</v>
      </c>
      <c r="B2568" s="1832">
        <f>'Acct Summary 7-8'!D8</f>
        <v>771738</v>
      </c>
      <c r="C2568" s="2" t="s">
        <v>568</v>
      </c>
      <c r="D2568" s="2" t="str">
        <f t="shared" si="39"/>
        <v>Error?</v>
      </c>
    </row>
    <row r="2569" spans="1:4" x14ac:dyDescent="0.2">
      <c r="A2569" s="5">
        <v>2508</v>
      </c>
      <c r="B2569" s="1832">
        <f>'Acct Summary 7-8'!D13</f>
        <v>505502</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505502</v>
      </c>
      <c r="C2573" s="2" t="s">
        <v>568</v>
      </c>
      <c r="D2573" s="2" t="str">
        <f t="shared" si="39"/>
        <v>Error?</v>
      </c>
    </row>
    <row r="2574" spans="1:4" x14ac:dyDescent="0.2">
      <c r="A2574" s="5">
        <v>2513</v>
      </c>
      <c r="B2574" s="1832">
        <f>'Acct Summary 7-8'!D20</f>
        <v>266236</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149856</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40227</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190083</v>
      </c>
      <c r="C2595" s="2" t="s">
        <v>568</v>
      </c>
      <c r="D2595" s="2" t="str">
        <f t="shared" si="39"/>
        <v>Error?</v>
      </c>
    </row>
    <row r="2596" spans="1:4" x14ac:dyDescent="0.2">
      <c r="A2596" s="5">
        <v>2535</v>
      </c>
      <c r="B2596" s="1832">
        <f>'Acct Summary 7-8'!F13</f>
        <v>118814</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16730</v>
      </c>
      <c r="C2599" s="2" t="s">
        <v>568</v>
      </c>
      <c r="D2599" s="2" t="str">
        <f t="shared" si="39"/>
        <v>Error?</v>
      </c>
    </row>
    <row r="2600" spans="1:4" x14ac:dyDescent="0.2">
      <c r="A2600" s="5">
        <v>2539</v>
      </c>
      <c r="B2600" s="1832">
        <f>'Acct Summary 7-8'!F17</f>
        <v>135544</v>
      </c>
      <c r="C2600" s="2" t="s">
        <v>568</v>
      </c>
      <c r="D2600" s="2" t="str">
        <f t="shared" si="39"/>
        <v>Error?</v>
      </c>
    </row>
    <row r="2601" spans="1:4" x14ac:dyDescent="0.2">
      <c r="A2601" s="5">
        <v>2540</v>
      </c>
      <c r="B2601" s="1832">
        <f>'Acct Summary 7-8'!F20</f>
        <v>54539</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154396</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154396</v>
      </c>
      <c r="C2606" s="2" t="s">
        <v>568</v>
      </c>
      <c r="D2606" s="2" t="str">
        <f t="shared" si="39"/>
        <v>Error?</v>
      </c>
    </row>
    <row r="2607" spans="1:4" x14ac:dyDescent="0.2">
      <c r="A2607" s="5">
        <v>2546</v>
      </c>
      <c r="B2607" s="1832">
        <f>'Acct Summary 7-8'!G12</f>
        <v>58201</v>
      </c>
      <c r="C2607" s="2" t="s">
        <v>568</v>
      </c>
      <c r="D2607" s="2" t="str">
        <f t="shared" si="39"/>
        <v>Error?</v>
      </c>
    </row>
    <row r="2608" spans="1:4" x14ac:dyDescent="0.2">
      <c r="A2608" s="5">
        <v>2547</v>
      </c>
      <c r="B2608" s="1832">
        <f>'Acct Summary 7-8'!G13</f>
        <v>91120</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149321</v>
      </c>
      <c r="C2612" s="2" t="s">
        <v>568</v>
      </c>
      <c r="D2612" s="2" t="str">
        <f t="shared" si="39"/>
        <v>Error?</v>
      </c>
    </row>
    <row r="2613" spans="1:4" x14ac:dyDescent="0.2">
      <c r="A2613" s="5">
        <v>2552</v>
      </c>
      <c r="B2613" s="1832">
        <f>'Acct Summary 7-8'!G20</f>
        <v>5075</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2632749</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2632749</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2648149</v>
      </c>
      <c r="C2634" s="2" t="s">
        <v>568</v>
      </c>
      <c r="D2634" s="2" t="str">
        <f t="shared" si="40"/>
        <v>Error?</v>
      </c>
    </row>
    <row r="2635" spans="1:4" x14ac:dyDescent="0.2">
      <c r="A2635" s="5">
        <v>2574</v>
      </c>
      <c r="B2635" s="1832">
        <f>'Acct Summary 7-8'!E17</f>
        <v>2648149</v>
      </c>
      <c r="C2635" s="2" t="s">
        <v>568</v>
      </c>
      <c r="D2635" s="2" t="str">
        <f t="shared" si="40"/>
        <v>Error?</v>
      </c>
    </row>
    <row r="2636" spans="1:4" x14ac:dyDescent="0.2">
      <c r="A2636" s="5">
        <v>2575</v>
      </c>
      <c r="B2636" s="1832">
        <f>'Acct Summary 7-8'!E20</f>
        <v>-15400</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0</v>
      </c>
      <c r="C2658" s="2" t="s">
        <v>568</v>
      </c>
      <c r="D2658" s="2" t="str">
        <f t="shared" si="40"/>
        <v>Error?</v>
      </c>
    </row>
    <row r="2659" spans="1:4" x14ac:dyDescent="0.2">
      <c r="A2659" s="5">
        <v>2598</v>
      </c>
      <c r="B2659" s="1832">
        <f>'Acct Summary 7-8'!H13</f>
        <v>0</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0</v>
      </c>
      <c r="C2661" s="2" t="s">
        <v>568</v>
      </c>
      <c r="D2661" s="2" t="str">
        <f t="shared" si="40"/>
        <v>Error?</v>
      </c>
    </row>
    <row r="2662" spans="1:4" x14ac:dyDescent="0.2">
      <c r="A2662" s="5">
        <v>2601</v>
      </c>
      <c r="B2662" s="1832">
        <f>'Acct Summary 7-8'!H20</f>
        <v>0</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59474</v>
      </c>
      <c r="C2789" s="2" t="s">
        <v>568</v>
      </c>
      <c r="D2789" s="2" t="str">
        <f t="shared" si="42"/>
        <v>Error?</v>
      </c>
    </row>
    <row r="2790" spans="1:4" x14ac:dyDescent="0.2">
      <c r="A2790" s="5">
        <v>2729</v>
      </c>
      <c r="B2790" s="1832">
        <f>'Expenditures 15-22'!E102</f>
        <v>59474</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1776787</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1983985</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412423</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1983985</v>
      </c>
      <c r="D2912" s="2" t="str">
        <f t="shared" si="44"/>
        <v>Error?</v>
      </c>
    </row>
    <row r="2913" spans="1:4" x14ac:dyDescent="0.2">
      <c r="A2913" s="5">
        <v>2852</v>
      </c>
      <c r="B2913" s="1832">
        <f>'Assets-Liab 5-6'!I41</f>
        <v>1983985</v>
      </c>
      <c r="C2913" s="2" t="s">
        <v>568</v>
      </c>
      <c r="D2913" s="2" t="str">
        <f t="shared" si="44"/>
        <v>Error?</v>
      </c>
    </row>
    <row r="2914" spans="1:4" x14ac:dyDescent="0.2">
      <c r="A2914" s="5">
        <v>2853</v>
      </c>
      <c r="B2914" s="1832">
        <f>'Assets-Liab 5-6'!L33</f>
        <v>106995</v>
      </c>
      <c r="D2914" s="2" t="str">
        <f t="shared" si="44"/>
        <v>Error?</v>
      </c>
    </row>
    <row r="2915" spans="1:4" x14ac:dyDescent="0.2">
      <c r="A2915" s="10">
        <v>2854</v>
      </c>
      <c r="B2915" s="1832"/>
      <c r="D2915" s="2" t="str">
        <f t="shared" si="44"/>
        <v>OK</v>
      </c>
    </row>
    <row r="2916" spans="1:4" x14ac:dyDescent="0.2">
      <c r="A2916" s="5">
        <v>2855</v>
      </c>
      <c r="B2916" s="1832">
        <f>'Assets-Liab 5-6'!L34</f>
        <v>106995</v>
      </c>
      <c r="C2916" s="2" t="s">
        <v>568</v>
      </c>
      <c r="D2916" s="2" t="str">
        <f t="shared" si="44"/>
        <v>Error?</v>
      </c>
    </row>
    <row r="2917" spans="1:4" x14ac:dyDescent="0.2">
      <c r="A2917" s="5">
        <v>2856</v>
      </c>
      <c r="B2917" s="1832">
        <f>'Assets-Liab 5-6'!L41</f>
        <v>412423</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51200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1593</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6681</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51200</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1593</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6681</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100485</v>
      </c>
      <c r="D3055" s="2" t="str">
        <f t="shared" si="46"/>
        <v>Error?</v>
      </c>
    </row>
    <row r="3056" spans="1:4" x14ac:dyDescent="0.2">
      <c r="A3056" s="5">
        <v>2995</v>
      </c>
      <c r="B3056" s="1832">
        <f>'Expenditures 15-22'!D10</f>
        <v>19606</v>
      </c>
      <c r="D3056" s="2" t="str">
        <f t="shared" si="46"/>
        <v>Error?</v>
      </c>
    </row>
    <row r="3057" spans="1:4" x14ac:dyDescent="0.2">
      <c r="A3057" s="5">
        <v>2996</v>
      </c>
      <c r="B3057" s="1832">
        <f>'Expenditures 15-22'!E10</f>
        <v>2102</v>
      </c>
      <c r="D3057" s="2" t="str">
        <f t="shared" si="46"/>
        <v>Error?</v>
      </c>
    </row>
    <row r="3058" spans="1:4" x14ac:dyDescent="0.2">
      <c r="A3058" s="5">
        <v>2997</v>
      </c>
      <c r="B3058" s="1832">
        <f>'Expenditures 15-22'!F10</f>
        <v>18821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141014</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2813</v>
      </c>
      <c r="D3064" s="2" t="str">
        <f t="shared" si="46"/>
        <v>Error?</v>
      </c>
    </row>
    <row r="3065" spans="1:4" x14ac:dyDescent="0.2">
      <c r="A3065" s="5">
        <v>3004</v>
      </c>
      <c r="B3065" s="1832">
        <f>'Expenditures 15-22'!K219</f>
        <v>2813</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305428</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86027</v>
      </c>
      <c r="C3225" s="2" t="s">
        <v>568</v>
      </c>
      <c r="D3225" s="2" t="str">
        <f t="shared" si="49"/>
        <v>Error?</v>
      </c>
    </row>
    <row r="3226" spans="1:4" x14ac:dyDescent="0.2">
      <c r="A3226" s="5">
        <v>3165</v>
      </c>
      <c r="B3226" s="1832">
        <f>'Acct Summary 7-8'!I8</f>
        <v>86027</v>
      </c>
      <c r="C3226" s="2" t="s">
        <v>568</v>
      </c>
      <c r="D3226" s="2" t="str">
        <f t="shared" si="49"/>
        <v>Error?</v>
      </c>
    </row>
    <row r="3227" spans="1:4" x14ac:dyDescent="0.2">
      <c r="A3227" s="5">
        <v>3166</v>
      </c>
      <c r="B3227" s="1832">
        <f>'Acct Summary 7-8'!I20</f>
        <v>86027</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0</v>
      </c>
      <c r="C3232" s="2" t="s">
        <v>568</v>
      </c>
      <c r="D3232" s="2" t="str">
        <f t="shared" si="49"/>
        <v>Error?</v>
      </c>
    </row>
    <row r="3233" spans="1:4" x14ac:dyDescent="0.2">
      <c r="A3233" s="5">
        <v>3172</v>
      </c>
      <c r="B3233" s="1832">
        <f>'Acct Summary 7-8'!C78</f>
        <v>688648</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266236</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54539</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5075</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4047</v>
      </c>
      <c r="D3273" s="2" t="str">
        <f t="shared" si="50"/>
        <v>Error?</v>
      </c>
    </row>
    <row r="3274" spans="1:4" x14ac:dyDescent="0.2">
      <c r="A3274" s="5">
        <v>3213</v>
      </c>
      <c r="B3274" s="1832">
        <f>'Acct Summary 7-8'!E44</f>
        <v>4047</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4047</v>
      </c>
      <c r="C3277" s="2" t="s">
        <v>568</v>
      </c>
      <c r="D3277" s="2" t="str">
        <f t="shared" si="50"/>
        <v>Error?</v>
      </c>
    </row>
    <row r="3278" spans="1:4" x14ac:dyDescent="0.2">
      <c r="A3278" s="5">
        <v>3217</v>
      </c>
      <c r="B3278" s="1832">
        <f>'Acct Summary 7-8'!E78</f>
        <v>-11353</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0</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2811</v>
      </c>
      <c r="C3318" s="2" t="s">
        <v>568</v>
      </c>
      <c r="D3318" s="2" t="str">
        <f t="shared" si="50"/>
        <v>Error?</v>
      </c>
    </row>
    <row r="3319" spans="1:4" x14ac:dyDescent="0.2">
      <c r="A3319" s="5">
        <v>3258</v>
      </c>
      <c r="B3319" s="1832">
        <f>'Acct Summary 7-8'!I77</f>
        <v>-2811</v>
      </c>
      <c r="C3319" s="2" t="s">
        <v>568</v>
      </c>
      <c r="D3319" s="2" t="str">
        <f t="shared" si="50"/>
        <v>Error?</v>
      </c>
    </row>
    <row r="3320" spans="1:4" x14ac:dyDescent="0.2">
      <c r="A3320" s="5">
        <v>3259</v>
      </c>
      <c r="B3320" s="1832">
        <f>'Acct Summary 7-8'!I78</f>
        <v>83216</v>
      </c>
      <c r="C3320" s="2" t="s">
        <v>568</v>
      </c>
      <c r="D3320" s="2" t="str">
        <f t="shared" si="50"/>
        <v>Error?</v>
      </c>
    </row>
    <row r="3321" spans="1:4" x14ac:dyDescent="0.2">
      <c r="A3321" s="5">
        <v>3260</v>
      </c>
      <c r="B3321" s="1832">
        <f>'Acct Summary 7-8'!I79</f>
        <v>1900769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1983985</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396887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141399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623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3676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542585</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22604</v>
      </c>
      <c r="D3387" s="2" t="str">
        <f t="shared" si="51"/>
        <v>Error?</v>
      </c>
    </row>
    <row r="3388" spans="1:4" x14ac:dyDescent="0.2">
      <c r="A3388" s="5">
        <v>3327</v>
      </c>
      <c r="B3388" s="1832">
        <f>'Expenditures 15-22'!D217</f>
        <v>19186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22604</v>
      </c>
      <c r="C3390" s="2" t="s">
        <v>568</v>
      </c>
      <c r="D3390" s="2" t="str">
        <f t="shared" si="51"/>
        <v>Error?</v>
      </c>
    </row>
    <row r="3391" spans="1:4" x14ac:dyDescent="0.2">
      <c r="A3391" s="5">
        <v>3330</v>
      </c>
      <c r="B3391" s="1832">
        <f>'Expenditures 15-22'!K217</f>
        <v>19186</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1672241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810939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47982</v>
      </c>
      <c r="D3417" s="2" t="str">
        <f t="shared" si="52"/>
        <v>Error?</v>
      </c>
    </row>
    <row r="3418" spans="1:4" x14ac:dyDescent="0.2">
      <c r="A3418" s="10">
        <v>3357</v>
      </c>
      <c r="B3418" s="1832"/>
      <c r="D3418" s="2" t="str">
        <f t="shared" si="52"/>
        <v>OK</v>
      </c>
    </row>
    <row r="3419" spans="1:4" x14ac:dyDescent="0.2">
      <c r="A3419" s="5">
        <v>3358</v>
      </c>
      <c r="B3419" s="1832">
        <f>'Assets-Liab 5-6'!F4</f>
        <v>124851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116950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207198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412423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90413</v>
      </c>
      <c r="C3446" s="2" t="s">
        <v>568</v>
      </c>
      <c r="D3446" s="2" t="str">
        <f t="shared" si="52"/>
        <v>Error?</v>
      </c>
    </row>
    <row r="3447" spans="1:4" x14ac:dyDescent="0.2">
      <c r="A3447" s="5">
        <v>3386</v>
      </c>
      <c r="B3447" s="1832">
        <f>'Tax Sched 23'!D16</f>
        <v>90413</v>
      </c>
      <c r="C3447" s="2" t="s">
        <v>568</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92001</v>
      </c>
      <c r="C3449" s="2" t="s">
        <v>568</v>
      </c>
      <c r="D3449" s="2" t="str">
        <f t="shared" si="52"/>
        <v>Error?</v>
      </c>
    </row>
    <row r="3450" spans="1:4" x14ac:dyDescent="0.2">
      <c r="A3450" s="5">
        <v>3389</v>
      </c>
      <c r="B3450" s="1832">
        <f>'Tax Sched 23'!E16</f>
        <v>92001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568</v>
      </c>
      <c r="D3568" s="2" t="str">
        <f t="shared" si="54"/>
        <v>Error?</v>
      </c>
    </row>
    <row r="3569" spans="1:4" x14ac:dyDescent="0.2">
      <c r="A3569" s="5">
        <v>3508</v>
      </c>
      <c r="B3569" s="1832">
        <f>'Acct Summary 7-8'!K4</f>
        <v>0</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0</v>
      </c>
      <c r="C3571" s="2" t="s">
        <v>568</v>
      </c>
      <c r="D3571" s="2" t="str">
        <f t="shared" si="54"/>
        <v>Error?</v>
      </c>
    </row>
    <row r="3572" spans="1:4" x14ac:dyDescent="0.2">
      <c r="A3572" s="5">
        <v>3511</v>
      </c>
      <c r="B3572" s="1832">
        <f>'Acct Summary 7-8'!K13</f>
        <v>0</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0</v>
      </c>
      <c r="C3575" s="2" t="s">
        <v>568</v>
      </c>
      <c r="D3575" s="2" t="str">
        <f t="shared" si="54"/>
        <v>Error?</v>
      </c>
    </row>
    <row r="3576" spans="1:4" x14ac:dyDescent="0.2">
      <c r="A3576" s="5">
        <v>3515</v>
      </c>
      <c r="B3576" s="1832">
        <f>'Acct Summary 7-8'!K20</f>
        <v>0</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0</v>
      </c>
      <c r="C3588" s="2" t="s">
        <v>568</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568</v>
      </c>
      <c r="D3649" s="2" t="str">
        <f t="shared" si="56"/>
        <v>Error?</v>
      </c>
    </row>
    <row r="3650" spans="1:4" x14ac:dyDescent="0.2">
      <c r="A3650" s="5">
        <v>3589</v>
      </c>
      <c r="B3650" s="1832">
        <f>'Expenditures 15-22'!G367</f>
        <v>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0</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0</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62310</v>
      </c>
      <c r="C3725" s="2" t="s">
        <v>568</v>
      </c>
      <c r="D3725" s="2" t="str">
        <f t="shared" si="57"/>
        <v>Error?</v>
      </c>
    </row>
    <row r="3726" spans="1:4" x14ac:dyDescent="0.2">
      <c r="A3726" s="5">
        <v>3665</v>
      </c>
      <c r="B3726" s="1832">
        <f>'Tax Sched 23'!D13</f>
        <v>62310</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65032</v>
      </c>
      <c r="C3728" s="2" t="s">
        <v>568</v>
      </c>
      <c r="D3728" s="2" t="str">
        <f t="shared" si="57"/>
        <v>Error?</v>
      </c>
    </row>
    <row r="3729" spans="1:4" x14ac:dyDescent="0.2">
      <c r="A3729" s="5">
        <v>3668</v>
      </c>
      <c r="B3729" s="1832">
        <f>'Tax Sched 23'!E13</f>
        <v>65032</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2112112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6639317</v>
      </c>
      <c r="C4122" s="2" t="s">
        <v>568</v>
      </c>
      <c r="D4122" s="2" t="str">
        <f t="shared" si="63"/>
        <v>Error?</v>
      </c>
    </row>
    <row r="4123" spans="1:4" x14ac:dyDescent="0.2">
      <c r="A4123" s="5">
        <v>4062</v>
      </c>
      <c r="B4123" s="1832">
        <f>'Acct Summary 7-8'!D10</f>
        <v>771738</v>
      </c>
      <c r="C4123" s="2" t="s">
        <v>568</v>
      </c>
      <c r="D4123" s="2" t="str">
        <f t="shared" si="63"/>
        <v>Error?</v>
      </c>
    </row>
    <row r="4124" spans="1:4" x14ac:dyDescent="0.2">
      <c r="A4124" s="5">
        <v>4063</v>
      </c>
      <c r="B4124" s="1832">
        <f>'Acct Summary 7-8'!E10</f>
        <v>2632749</v>
      </c>
      <c r="C4124" s="2" t="s">
        <v>568</v>
      </c>
      <c r="D4124" s="2" t="str">
        <f t="shared" si="63"/>
        <v>Error?</v>
      </c>
    </row>
    <row r="4125" spans="1:4" x14ac:dyDescent="0.2">
      <c r="A4125" s="5">
        <v>4064</v>
      </c>
      <c r="B4125" s="1832">
        <f>'Acct Summary 7-8'!F10</f>
        <v>190083</v>
      </c>
      <c r="C4125" s="2" t="s">
        <v>568</v>
      </c>
      <c r="D4125" s="2" t="str">
        <f t="shared" si="63"/>
        <v>Error?</v>
      </c>
    </row>
    <row r="4126" spans="1:4" x14ac:dyDescent="0.2">
      <c r="A4126" s="5">
        <v>4065</v>
      </c>
      <c r="B4126" s="1832">
        <f>'Acct Summary 7-8'!G10</f>
        <v>154396</v>
      </c>
      <c r="C4126" s="2" t="s">
        <v>568</v>
      </c>
      <c r="D4126" s="2" t="str">
        <f t="shared" si="63"/>
        <v>Error?</v>
      </c>
    </row>
    <row r="4127" spans="1:4" x14ac:dyDescent="0.2">
      <c r="A4127" s="5">
        <v>4066</v>
      </c>
      <c r="B4127" s="1832">
        <f>'Acct Summary 7-8'!H10</f>
        <v>0</v>
      </c>
      <c r="C4127" s="2" t="s">
        <v>568</v>
      </c>
      <c r="D4127" s="2" t="str">
        <f t="shared" si="63"/>
        <v>Error?</v>
      </c>
    </row>
    <row r="4128" spans="1:4" x14ac:dyDescent="0.2">
      <c r="A4128" s="5">
        <v>4067</v>
      </c>
      <c r="B4128" s="1832">
        <f>'Acct Summary 7-8'!I10</f>
        <v>86027</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0</v>
      </c>
      <c r="C4130" s="2" t="s">
        <v>568</v>
      </c>
      <c r="D4130" s="2" t="str">
        <f t="shared" si="63"/>
        <v>Error?</v>
      </c>
    </row>
    <row r="4131" spans="1:4" x14ac:dyDescent="0.2">
      <c r="A4131" s="5">
        <v>4070</v>
      </c>
      <c r="B4131" s="1832">
        <f>'Acct Summary 7-8'!C18</f>
        <v>2112112</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5950669</v>
      </c>
      <c r="C4136" s="2" t="s">
        <v>568</v>
      </c>
      <c r="D4136" s="2" t="str">
        <f t="shared" si="63"/>
        <v>Error?</v>
      </c>
    </row>
    <row r="4137" spans="1:4" x14ac:dyDescent="0.2">
      <c r="A4137" s="5">
        <v>4076</v>
      </c>
      <c r="B4137" s="1832">
        <f>'Acct Summary 7-8'!D19</f>
        <v>505502</v>
      </c>
      <c r="C4137" s="2" t="s">
        <v>568</v>
      </c>
      <c r="D4137" s="2" t="str">
        <f t="shared" si="63"/>
        <v>Error?</v>
      </c>
    </row>
    <row r="4138" spans="1:4" x14ac:dyDescent="0.2">
      <c r="A4138" s="5">
        <v>4077</v>
      </c>
      <c r="B4138" s="1832">
        <f>'Acct Summary 7-8'!E19</f>
        <v>2648149</v>
      </c>
      <c r="C4138" s="2" t="s">
        <v>568</v>
      </c>
      <c r="D4138" s="2" t="str">
        <f t="shared" si="63"/>
        <v>Error?</v>
      </c>
    </row>
    <row r="4139" spans="1:4" x14ac:dyDescent="0.2">
      <c r="A4139" s="5">
        <v>4078</v>
      </c>
      <c r="B4139" s="1832">
        <f>'Acct Summary 7-8'!F19</f>
        <v>135544</v>
      </c>
      <c r="C4139" s="2" t="s">
        <v>568</v>
      </c>
      <c r="D4139" s="2" t="str">
        <f t="shared" si="63"/>
        <v>Error?</v>
      </c>
    </row>
    <row r="4140" spans="1:4" x14ac:dyDescent="0.2">
      <c r="A4140" s="5">
        <v>4079</v>
      </c>
      <c r="B4140" s="1832">
        <f>'Acct Summary 7-8'!G19</f>
        <v>149321</v>
      </c>
      <c r="C4140" s="2" t="s">
        <v>568</v>
      </c>
      <c r="D4140" s="2" t="str">
        <f t="shared" si="63"/>
        <v>Error?</v>
      </c>
    </row>
    <row r="4141" spans="1:4" x14ac:dyDescent="0.2">
      <c r="A4141" s="5">
        <v>4080</v>
      </c>
      <c r="B4141" s="1832">
        <f>'Acct Summary 7-8'!H19</f>
        <v>0</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0</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43247028</v>
      </c>
      <c r="C4171" s="2" t="s">
        <v>568</v>
      </c>
      <c r="D4171" s="2" t="str">
        <f t="shared" si="64"/>
        <v>Error?</v>
      </c>
    </row>
    <row r="4172" spans="1:4" x14ac:dyDescent="0.2">
      <c r="A4172" s="5">
        <v>4111</v>
      </c>
      <c r="B4172" s="1832">
        <f>'Short-Term Long-Term Debt 24'!J49</f>
        <v>42699046</v>
      </c>
      <c r="C4172" s="2" t="s">
        <v>568</v>
      </c>
      <c r="D4172" s="2" t="str">
        <f t="shared" si="64"/>
        <v>Error?</v>
      </c>
    </row>
    <row r="4173" spans="1:4" x14ac:dyDescent="0.2">
      <c r="A4173" s="5">
        <v>4112</v>
      </c>
      <c r="B4173" s="1832">
        <f>'Short-Term Long-Term Debt 24'!H49</f>
        <v>895522</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354724</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15522</v>
      </c>
      <c r="D4210" s="2" t="str">
        <f t="shared" si="64"/>
        <v>Error?</v>
      </c>
    </row>
    <row r="4211" spans="1:4" x14ac:dyDescent="0.2">
      <c r="A4211" s="5">
        <v>4150</v>
      </c>
      <c r="B4211" s="1832">
        <f>'Expenditures 15-22'!K206</f>
        <v>15522</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1608.77</v>
      </c>
      <c r="C4265" s="2" t="s">
        <v>568</v>
      </c>
      <c r="D4265" s="2" t="str">
        <f t="shared" si="65"/>
        <v>Error?</v>
      </c>
      <c r="E4265" s="125"/>
    </row>
    <row r="4266" spans="1:5" x14ac:dyDescent="0.2">
      <c r="A4266" s="12">
        <v>4205</v>
      </c>
      <c r="B4266" s="1832">
        <f>('FP Info 3'!F10)*100000</f>
        <v>249.75000000000003</v>
      </c>
      <c r="C4266" s="2" t="s">
        <v>568</v>
      </c>
      <c r="D4266" s="2" t="str">
        <f t="shared" si="65"/>
        <v>Error?</v>
      </c>
      <c r="E4266" s="125"/>
    </row>
    <row r="4267" spans="1:5" x14ac:dyDescent="0.2">
      <c r="A4267" s="12">
        <v>4206</v>
      </c>
      <c r="B4267" s="1832">
        <f>('FP Info 3'!H10)*100000</f>
        <v>119.99999999999999</v>
      </c>
      <c r="C4267" s="2" t="s">
        <v>568</v>
      </c>
      <c r="D4267" s="2" t="str">
        <f t="shared" si="65"/>
        <v>Error?</v>
      </c>
      <c r="E4267" s="125"/>
    </row>
    <row r="4268" spans="1:5" x14ac:dyDescent="0.2">
      <c r="A4268" s="12">
        <v>4207</v>
      </c>
      <c r="B4268" s="1832">
        <f>('FP Info 3'!J10)*100000</f>
        <v>1978.9999999999998</v>
      </c>
      <c r="C4268" s="2" t="s">
        <v>568</v>
      </c>
      <c r="D4268" s="2" t="str">
        <f t="shared" si="65"/>
        <v>Error?</v>
      </c>
    </row>
    <row r="4269" spans="1:5" x14ac:dyDescent="0.2">
      <c r="A4269" s="12">
        <v>4208</v>
      </c>
      <c r="B4269" s="1832">
        <f>'FP Info 3'!J16</f>
        <v>4817674</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6657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35082</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16021</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26021</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9348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47.4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6803</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130534944</v>
      </c>
      <c r="D4995" s="2" t="str">
        <f t="shared" si="77"/>
        <v>Error?</v>
      </c>
    </row>
    <row r="4996" spans="1:4" x14ac:dyDescent="0.2">
      <c r="A4996" s="12">
        <v>4935</v>
      </c>
      <c r="B4996" s="1832">
        <f>'FP Info 3'!H31</f>
        <v>9006911.1359999999</v>
      </c>
      <c r="D4996" s="2" t="str">
        <f t="shared" si="77"/>
        <v>Error?</v>
      </c>
    </row>
    <row r="4997" spans="1:4" x14ac:dyDescent="0.2">
      <c r="A4997" s="12">
        <v>4936</v>
      </c>
      <c r="B4997" s="1832">
        <f>'FP Info 3'!H37</f>
        <v>43247028</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62310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2006436</v>
      </c>
      <c r="D5061" s="2" t="str">
        <f t="shared" si="78"/>
        <v>Error?</v>
      </c>
    </row>
    <row r="5062" spans="1:4" x14ac:dyDescent="0.2">
      <c r="A5062" s="10">
        <v>5001</v>
      </c>
      <c r="B5062" s="1832"/>
      <c r="D5062" s="2" t="str">
        <f t="shared" si="78"/>
        <v>OK</v>
      </c>
    </row>
    <row r="5063" spans="1:4" x14ac:dyDescent="0.2">
      <c r="A5063" s="5">
        <v>5002</v>
      </c>
      <c r="B5063" s="1832">
        <f>'Revenues 9-14'!C7</f>
        <v>24923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2093669</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144027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144027</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5848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5848</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97586</v>
      </c>
      <c r="C5096" s="2" t="s">
        <v>568</v>
      </c>
      <c r="D5096" s="2" t="str">
        <f t="shared" si="78"/>
        <v>Error?</v>
      </c>
    </row>
    <row r="5097" spans="1:4" x14ac:dyDescent="0.2">
      <c r="A5097" s="5">
        <v>5036</v>
      </c>
      <c r="B5097" s="1832">
        <f>'Revenues 9-14'!C77</f>
        <v>36811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26462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63273</v>
      </c>
      <c r="C5102" s="2" t="s">
        <v>568</v>
      </c>
      <c r="D5102" s="2" t="str">
        <f t="shared" si="78"/>
        <v>Error?</v>
      </c>
    </row>
    <row r="5103" spans="1:4" x14ac:dyDescent="0.2">
      <c r="A5103" s="5">
        <v>5042</v>
      </c>
      <c r="B5103" s="1832">
        <f>'Revenues 9-14'!C84</f>
        <v>33250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15355</v>
      </c>
      <c r="D5111" s="2" t="str">
        <f t="shared" si="78"/>
        <v>Error?</v>
      </c>
    </row>
    <row r="5112" spans="1:4" x14ac:dyDescent="0.2">
      <c r="A5112" s="5">
        <v>5051</v>
      </c>
      <c r="B5112" s="1832">
        <f>'Revenues 9-14'!C93</f>
        <v>48605</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6940</v>
      </c>
      <c r="D5114" s="2" t="str">
        <f t="shared" si="78"/>
        <v>Error?</v>
      </c>
    </row>
    <row r="5115" spans="1:4" x14ac:dyDescent="0.2">
      <c r="A5115" s="5">
        <v>5054</v>
      </c>
      <c r="B5115" s="1832">
        <f>'Revenues 9-14'!C98</f>
        <v>8932</v>
      </c>
      <c r="D5115" s="2" t="str">
        <f t="shared" si="78"/>
        <v>Error?</v>
      </c>
    </row>
    <row r="5116" spans="1:4" x14ac:dyDescent="0.2">
      <c r="A5116" s="5">
        <v>5055</v>
      </c>
      <c r="B5116" s="1832">
        <f>'Revenues 9-14'!C99</f>
        <v>966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702</v>
      </c>
      <c r="D5119" s="2" t="str">
        <f t="shared" ref="D5119:D5182" si="79">IF(ISBLANK(B5119),"OK",IF(A5119-B5119=0,"OK","Error?"))</f>
        <v>Error?</v>
      </c>
    </row>
    <row r="5120" spans="1:4" x14ac:dyDescent="0.2">
      <c r="A5120" s="5">
        <v>5059</v>
      </c>
      <c r="B5120" s="1832">
        <f>'Revenues 9-14'!C108</f>
        <v>217468</v>
      </c>
      <c r="C5120" s="2" t="s">
        <v>568</v>
      </c>
      <c r="D5120" s="2" t="str">
        <f t="shared" si="79"/>
        <v>Error?</v>
      </c>
    </row>
    <row r="5121" spans="1:4" x14ac:dyDescent="0.2">
      <c r="A5121" s="5">
        <v>5060</v>
      </c>
      <c r="B5121" s="1832">
        <f>'Revenues 9-14'!C109</f>
        <v>2670476</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1478327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1478327</v>
      </c>
      <c r="C5132" s="2" t="s">
        <v>568</v>
      </c>
      <c r="D5132" s="2" t="str">
        <f t="shared" si="79"/>
        <v>Error?</v>
      </c>
    </row>
    <row r="5133" spans="1:4" x14ac:dyDescent="0.2">
      <c r="A5133" s="5">
        <v>5072</v>
      </c>
      <c r="B5133" s="1832">
        <f>'Revenues 9-14'!C125</f>
        <v>9177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9177</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13745</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13745</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1177</v>
      </c>
      <c r="D5167" s="2" t="str">
        <f t="shared" si="79"/>
        <v>Error?</v>
      </c>
    </row>
    <row r="5168" spans="1:4" x14ac:dyDescent="0.2">
      <c r="A5168" s="5">
        <v>5107</v>
      </c>
      <c r="B5168" s="1832">
        <f>'Revenues 9-14'!C148</f>
        <v>17171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41270</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1519597</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82235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13413</v>
      </c>
      <c r="D5241" s="2" t="str">
        <f t="shared" si="80"/>
        <v>Error?</v>
      </c>
    </row>
    <row r="5242" spans="1:4" x14ac:dyDescent="0.2">
      <c r="A5242" s="5">
        <v>5181</v>
      </c>
      <c r="B5242" s="1832">
        <f>'Revenues 9-14'!C194</f>
        <v>30627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126275</v>
      </c>
      <c r="C5246" s="2" t="s">
        <v>568</v>
      </c>
      <c r="D5246" s="2" t="str">
        <f t="shared" si="80"/>
        <v>Error?</v>
      </c>
    </row>
    <row r="5247" spans="1:4" x14ac:dyDescent="0.2">
      <c r="A5247" s="5">
        <v>5186</v>
      </c>
      <c r="B5247" s="1832">
        <f>'Revenues 9-14'!C200</f>
        <v>120856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120856</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12893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12893</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337132</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337132</v>
      </c>
      <c r="C5326" s="2" t="s">
        <v>568</v>
      </c>
      <c r="D5326" s="2" t="str">
        <f t="shared" si="82"/>
        <v>Error?</v>
      </c>
    </row>
    <row r="5327" spans="1:5" x14ac:dyDescent="0.2">
      <c r="A5327" s="5">
        <v>5266</v>
      </c>
      <c r="B5327" s="1832">
        <f>'Revenues 9-14'!C268</f>
        <v>4527205</v>
      </c>
      <c r="C5327" s="2" t="s">
        <v>568</v>
      </c>
      <c r="D5327" s="2" t="str">
        <f t="shared" si="82"/>
        <v>Error?</v>
      </c>
    </row>
    <row r="5328" spans="1:5" x14ac:dyDescent="0.2">
      <c r="A5328" s="5">
        <v>5267</v>
      </c>
      <c r="B5328" s="1832">
        <f>'Revenues 9-14'!D5</f>
        <v>311557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311557</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568</v>
      </c>
      <c r="D5339" s="2" t="str">
        <f t="shared" si="82"/>
        <v>Error?</v>
      </c>
    </row>
    <row r="5340" spans="1:4" x14ac:dyDescent="0.2">
      <c r="A5340" s="5">
        <v>5279</v>
      </c>
      <c r="B5340" s="1832">
        <f>'Revenues 9-14'!D65</f>
        <v>3378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3378</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568</v>
      </c>
      <c r="D5355" s="2" t="str">
        <f t="shared" si="82"/>
        <v>Error?</v>
      </c>
    </row>
    <row r="5356" spans="1:4" x14ac:dyDescent="0.2">
      <c r="A5356" s="5">
        <v>5295</v>
      </c>
      <c r="B5356" s="1832">
        <f>'Revenues 9-14'!D109</f>
        <v>314935</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450000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450000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450000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6803</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6803</v>
      </c>
      <c r="C5507" s="2" t="s">
        <v>568</v>
      </c>
      <c r="D5507" s="2" t="str">
        <f t="shared" si="85"/>
        <v>Error?</v>
      </c>
    </row>
    <row r="5508" spans="1:4" x14ac:dyDescent="0.2">
      <c r="A5508" s="5">
        <v>5447</v>
      </c>
      <c r="B5508" s="1832">
        <f>'Revenues 9-14'!D268</f>
        <v>771738</v>
      </c>
      <c r="C5508" s="2" t="s">
        <v>568</v>
      </c>
      <c r="D5508" s="2" t="str">
        <f t="shared" si="85"/>
        <v>Error?</v>
      </c>
    </row>
    <row r="5509" spans="1:4" x14ac:dyDescent="0.2">
      <c r="A5509" s="5">
        <v>5448</v>
      </c>
      <c r="B5509" s="1832">
        <f>'Revenues 9-14'!E5</f>
        <v>2630606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2630606</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568</v>
      </c>
      <c r="D5518" s="2" t="str">
        <f t="shared" si="85"/>
        <v>Error?</v>
      </c>
    </row>
    <row r="5519" spans="1:4" x14ac:dyDescent="0.2">
      <c r="A5519" s="5">
        <v>5458</v>
      </c>
      <c r="B5519" s="1832">
        <f>'Revenues 9-14'!E65</f>
        <v>2143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2143</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2632749</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2632749</v>
      </c>
      <c r="C5552" s="2" t="s">
        <v>568</v>
      </c>
      <c r="D5552" s="2" t="str">
        <f t="shared" si="85"/>
        <v>Error?</v>
      </c>
    </row>
    <row r="5553" spans="1:4" x14ac:dyDescent="0.2">
      <c r="A5553" s="5">
        <v>5492</v>
      </c>
      <c r="B5553" s="1832">
        <f>'Revenues 9-14'!F5</f>
        <v>149548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149548</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308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308</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568</v>
      </c>
      <c r="D5587" s="2" t="str">
        <f t="shared" si="86"/>
        <v>Error?</v>
      </c>
    </row>
    <row r="5588" spans="1:4" x14ac:dyDescent="0.2">
      <c r="A5588" s="5">
        <v>5527</v>
      </c>
      <c r="B5588" s="1832">
        <f>'Revenues 9-14'!F109</f>
        <v>149856</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17899</v>
      </c>
      <c r="D5615" s="2" t="str">
        <f t="shared" si="86"/>
        <v>Error?</v>
      </c>
    </row>
    <row r="5616" spans="1:4" x14ac:dyDescent="0.2">
      <c r="A5616" s="10">
        <v>5555</v>
      </c>
      <c r="B5616" s="1832"/>
      <c r="D5616" s="2" t="str">
        <f t="shared" si="86"/>
        <v>OK</v>
      </c>
    </row>
    <row r="5617" spans="1:5" x14ac:dyDescent="0.2">
      <c r="A5617" s="5">
        <v>5556</v>
      </c>
      <c r="B5617" s="1832">
        <f>'Revenues 9-14'!F153</f>
        <v>22328</v>
      </c>
      <c r="D5617" s="2" t="str">
        <f t="shared" si="86"/>
        <v>Error?</v>
      </c>
    </row>
    <row r="5618" spans="1:5" x14ac:dyDescent="0.2">
      <c r="A5618" s="5">
        <v>5557</v>
      </c>
      <c r="B5618" s="1832">
        <f>'Revenues 9-14'!F155</f>
        <v>40227</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40227</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40227</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190083</v>
      </c>
      <c r="C5720" s="2" t="s">
        <v>568</v>
      </c>
      <c r="D5720" s="2" t="str">
        <f t="shared" si="88"/>
        <v>Error?</v>
      </c>
    </row>
    <row r="5721" spans="1:4" x14ac:dyDescent="0.2">
      <c r="A5721" s="5">
        <v>5660</v>
      </c>
      <c r="B5721" s="1832">
        <f>'Revenues 9-14'!G5</f>
        <v>59608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90413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150021</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4000</v>
      </c>
      <c r="C5730" s="2" t="s">
        <v>568</v>
      </c>
      <c r="D5730" s="2" t="str">
        <f t="shared" si="88"/>
        <v>Error?</v>
      </c>
    </row>
    <row r="5731" spans="1:4" x14ac:dyDescent="0.2">
      <c r="A5731" s="5">
        <v>5670</v>
      </c>
      <c r="B5731" s="1832">
        <f>'Revenues 9-14'!G65</f>
        <v>375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375</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154396</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0</v>
      </c>
      <c r="C5915" s="2" t="s">
        <v>568</v>
      </c>
      <c r="D5915" s="2" t="str">
        <f t="shared" si="91"/>
        <v>Error?</v>
      </c>
    </row>
    <row r="5916" spans="1:4" x14ac:dyDescent="0.2">
      <c r="A5916" s="5">
        <v>5855</v>
      </c>
      <c r="B5916" s="1832">
        <f>'Revenues 9-14'!I5</f>
        <v>62310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62310</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568</v>
      </c>
      <c r="D5923" s="2" t="str">
        <f t="shared" si="91"/>
        <v>Error?</v>
      </c>
    </row>
    <row r="5924" spans="1:4" x14ac:dyDescent="0.2">
      <c r="A5924" s="5">
        <v>5863</v>
      </c>
      <c r="B5924" s="1832">
        <f>'Revenues 9-14'!I65</f>
        <v>23717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23717</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86027</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0</v>
      </c>
      <c r="C6023" s="2" t="s">
        <v>568</v>
      </c>
      <c r="D6023" s="2" t="str">
        <f t="shared" si="93"/>
        <v>Error?</v>
      </c>
    </row>
    <row r="6024" spans="1:5" x14ac:dyDescent="0.2">
      <c r="A6024" s="5">
        <v>5963</v>
      </c>
      <c r="B6024" s="1832">
        <f>'Revenues 9-14'!G109</f>
        <v>154396</v>
      </c>
      <c r="C6024" s="2" t="s">
        <v>568</v>
      </c>
      <c r="D6024" s="2" t="str">
        <f t="shared" si="93"/>
        <v>Error?</v>
      </c>
    </row>
    <row r="6025" spans="1:5" x14ac:dyDescent="0.2">
      <c r="A6025" s="5">
        <v>5964</v>
      </c>
      <c r="B6025" s="1832">
        <f>'Revenues 9-14'!H109</f>
        <v>0</v>
      </c>
      <c r="C6025" s="2" t="s">
        <v>568</v>
      </c>
      <c r="D6025" s="2" t="str">
        <f t="shared" si="93"/>
        <v>Error?</v>
      </c>
    </row>
    <row r="6026" spans="1:5" x14ac:dyDescent="0.2">
      <c r="A6026" s="5">
        <v>5965</v>
      </c>
      <c r="B6026" s="1832">
        <f>'Revenues 9-14'!I109</f>
        <v>86027</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0</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97586</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23817</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383.5</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31500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44998</v>
      </c>
      <c r="D6124" s="2" t="str">
        <f t="shared" si="94"/>
        <v>Error?</v>
      </c>
      <c r="E6124" s="2" t="s">
        <v>189</v>
      </c>
    </row>
    <row r="6125" spans="1:5" x14ac:dyDescent="0.2">
      <c r="A6125">
        <v>6064</v>
      </c>
      <c r="B6125" s="1832">
        <f>'Assets-Liab 5-6'!C25</f>
        <v>31500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44998</v>
      </c>
      <c r="D6215" s="2" t="str">
        <f t="shared" si="96"/>
        <v>Error?</v>
      </c>
      <c r="E6215" s="2" t="s">
        <v>189</v>
      </c>
    </row>
    <row r="6216" spans="1:5" x14ac:dyDescent="0.2">
      <c r="A6216">
        <v>6155</v>
      </c>
      <c r="B6216" s="1832">
        <f>'Assets-Liab 5-6'!J41</f>
        <v>44998</v>
      </c>
      <c r="D6216" s="2" t="str">
        <f t="shared" si="96"/>
        <v>Error?</v>
      </c>
      <c r="E6216" s="2" t="s">
        <v>189</v>
      </c>
    </row>
    <row r="6217" spans="1:5" x14ac:dyDescent="0.2">
      <c r="A6217">
        <v>6156</v>
      </c>
      <c r="B6217" s="1832">
        <f>'Assets-Liab 5-6'!J4</f>
        <v>13498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388829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388829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388829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457323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457323</v>
      </c>
      <c r="D6229" s="2" t="str">
        <f t="shared" si="96"/>
        <v>Error?</v>
      </c>
      <c r="E6229" s="2" t="s">
        <v>189</v>
      </c>
    </row>
    <row r="6230" spans="1:5" x14ac:dyDescent="0.2">
      <c r="A6230">
        <v>6169</v>
      </c>
      <c r="B6230" s="1832">
        <f>'Acct Summary 7-8'!J20</f>
        <v>-68494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2811</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-68494</v>
      </c>
      <c r="D6263" s="2" t="str">
        <f t="shared" si="96"/>
        <v>Error?</v>
      </c>
      <c r="E6263" s="2" t="s">
        <v>189</v>
      </c>
    </row>
    <row r="6264" spans="1:5" x14ac:dyDescent="0.2">
      <c r="A6264">
        <v>6203</v>
      </c>
      <c r="B6264" s="1832">
        <f>'Acct Summary 7-8'!J79</f>
        <v>113492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44998</v>
      </c>
      <c r="D6266" s="2" t="str">
        <f t="shared" si="96"/>
        <v>Error?</v>
      </c>
      <c r="E6266" s="2" t="s">
        <v>189</v>
      </c>
    </row>
    <row r="6267" spans="1:5" x14ac:dyDescent="0.2">
      <c r="A6267">
        <v>6206</v>
      </c>
      <c r="B6267" s="1832">
        <f>'Acct Summary 7-8'!C82</f>
        <v>688648</v>
      </c>
      <c r="D6267" s="2" t="str">
        <f t="shared" si="96"/>
        <v>Error?</v>
      </c>
      <c r="E6267" s="2" t="s">
        <v>189</v>
      </c>
    </row>
    <row r="6268" spans="1:5" x14ac:dyDescent="0.2">
      <c r="A6268">
        <v>6207</v>
      </c>
      <c r="B6268" s="1832">
        <f>'Acct Summary 7-8'!D82</f>
        <v>266236</v>
      </c>
      <c r="D6268" s="2" t="str">
        <f t="shared" si="96"/>
        <v>Error?</v>
      </c>
      <c r="E6268" s="2" t="s">
        <v>189</v>
      </c>
    </row>
    <row r="6269" spans="1:5" x14ac:dyDescent="0.2">
      <c r="A6269">
        <v>6208</v>
      </c>
      <c r="B6269" s="1832">
        <f>'Acct Summary 7-8'!E82</f>
        <v>-11353</v>
      </c>
      <c r="D6269" s="2" t="str">
        <f t="shared" si="96"/>
        <v>Error?</v>
      </c>
      <c r="E6269" s="2" t="s">
        <v>189</v>
      </c>
    </row>
    <row r="6270" spans="1:5" x14ac:dyDescent="0.2">
      <c r="A6270">
        <v>6209</v>
      </c>
      <c r="B6270" s="1832">
        <f>'Acct Summary 7-8'!F82</f>
        <v>54539</v>
      </c>
      <c r="D6270" s="2" t="str">
        <f t="shared" si="96"/>
        <v>Error?</v>
      </c>
      <c r="E6270" s="2" t="s">
        <v>189</v>
      </c>
    </row>
    <row r="6271" spans="1:5" x14ac:dyDescent="0.2">
      <c r="A6271">
        <v>6210</v>
      </c>
      <c r="B6271" s="1832">
        <f>'Acct Summary 7-8'!G82</f>
        <v>5075</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83216</v>
      </c>
      <c r="D6273" s="2" t="str">
        <f t="shared" si="97"/>
        <v>Error?</v>
      </c>
      <c r="E6273" s="2" t="s">
        <v>189</v>
      </c>
    </row>
    <row r="6274" spans="1:5" x14ac:dyDescent="0.2">
      <c r="A6274">
        <v>6213</v>
      </c>
      <c r="B6274" s="1832">
        <f>'Acct Summary 7-8'!J82</f>
        <v>-68494</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0.38921619605272084</v>
      </c>
      <c r="D6276" s="2" t="str">
        <f t="shared" si="97"/>
        <v>Error?</v>
      </c>
      <c r="E6276" s="2" t="s">
        <v>189</v>
      </c>
    </row>
    <row r="6277" spans="1:5" x14ac:dyDescent="0.2">
      <c r="A6277">
        <v>6216</v>
      </c>
      <c r="B6277" s="1832">
        <f>'Acct Summary 7-8'!D83</f>
        <v>0.28337509233458008</v>
      </c>
      <c r="D6277" s="2" t="str">
        <f t="shared" si="97"/>
        <v>Error?</v>
      </c>
      <c r="E6277" s="2" t="s">
        <v>189</v>
      </c>
    </row>
    <row r="6278" spans="1:5" x14ac:dyDescent="0.2">
      <c r="A6278">
        <v>6217</v>
      </c>
      <c r="B6278" s="1832">
        <f>'Acct Summary 7-8'!E83</f>
        <v>-0.23660956191905297</v>
      </c>
      <c r="D6278" s="2" t="str">
        <f t="shared" si="97"/>
        <v>Error?</v>
      </c>
      <c r="E6278" s="2" t="s">
        <v>189</v>
      </c>
    </row>
    <row r="6279" spans="1:5" x14ac:dyDescent="0.2">
      <c r="A6279">
        <v>6218</v>
      </c>
      <c r="B6279" s="1832">
        <f>'Acct Summary 7-8'!F83</f>
        <v>0.43683270458386397</v>
      </c>
      <c r="D6279" s="2" t="str">
        <f t="shared" si="97"/>
        <v>Error?</v>
      </c>
      <c r="E6279" s="2" t="s">
        <v>189</v>
      </c>
    </row>
    <row r="6280" spans="1:5" x14ac:dyDescent="0.2">
      <c r="A6280">
        <v>6219</v>
      </c>
      <c r="B6280" s="1832">
        <f>'Acct Summary 7-8'!G83</f>
        <v>4.3394613082513897E-2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4.1943865503015397E-2</v>
      </c>
      <c r="D6282" s="2" t="str">
        <f t="shared" si="97"/>
        <v>Error?</v>
      </c>
      <c r="E6282" s="2" t="s">
        <v>189</v>
      </c>
    </row>
    <row r="6283" spans="1:5" x14ac:dyDescent="0.2">
      <c r="A6283">
        <v>6222</v>
      </c>
      <c r="B6283" s="1832">
        <f>'Acct Summary 7-8'!J83</f>
        <v>-1.5221565402906796</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387454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387454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381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381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172728</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25823</v>
      </c>
      <c r="D6339" s="2" t="str">
        <f t="shared" si="98"/>
        <v>Error?</v>
      </c>
      <c r="E6339" s="2" t="s">
        <v>189</v>
      </c>
    </row>
    <row r="6340" spans="1:5" x14ac:dyDescent="0.2">
      <c r="A6340">
        <v>6279</v>
      </c>
      <c r="B6340" s="1832">
        <f>'Revenues 9-14'!C102</f>
        <v>1377</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994</v>
      </c>
      <c r="D6350" s="2" t="str">
        <f t="shared" si="98"/>
        <v>Error?</v>
      </c>
      <c r="E6350" s="2" t="s">
        <v>189</v>
      </c>
    </row>
    <row r="6351" spans="1:5" x14ac:dyDescent="0.2">
      <c r="A6351">
        <v>6290</v>
      </c>
      <c r="B6351" s="1832">
        <f>'Revenues 9-14'!J108</f>
        <v>994</v>
      </c>
      <c r="D6351" s="2" t="str">
        <f t="shared" si="98"/>
        <v>Error?</v>
      </c>
      <c r="E6351" s="2" t="s">
        <v>189</v>
      </c>
    </row>
    <row r="6352" spans="1:5" x14ac:dyDescent="0.2">
      <c r="A6352">
        <v>6291</v>
      </c>
      <c r="B6352" s="1832">
        <f>'Revenues 9-14'!J109</f>
        <v>388829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101688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16862</v>
      </c>
      <c r="D6880" s="2" t="str">
        <f t="shared" si="106"/>
        <v>Error?</v>
      </c>
    </row>
    <row r="6881" spans="1:4" x14ac:dyDescent="0.2">
      <c r="A6881">
        <v>6820</v>
      </c>
      <c r="B6881" s="1832">
        <f>'Expenditures 15-22'!K22</f>
        <v>16862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6538</v>
      </c>
      <c r="D6983" s="2" t="str">
        <f t="shared" si="108"/>
        <v>Error?</v>
      </c>
    </row>
    <row r="6984" spans="1:4" x14ac:dyDescent="0.2">
      <c r="A6984">
        <v>6923</v>
      </c>
      <c r="B6984" s="1832">
        <f>'Expenditures 15-22'!K86</f>
        <v>6538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52875</v>
      </c>
      <c r="D6987" s="2" t="str">
        <f t="shared" si="108"/>
        <v>Error?</v>
      </c>
    </row>
    <row r="6988" spans="1:4" x14ac:dyDescent="0.2">
      <c r="A6988">
        <v>6927</v>
      </c>
      <c r="B6988" s="1832">
        <f>'Expenditures 15-22'!K88</f>
        <v>52875</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59413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457323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388829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1208</v>
      </c>
      <c r="D7067" s="2" t="str">
        <f t="shared" si="109"/>
        <v>Error?</v>
      </c>
    </row>
    <row r="7068" spans="1:4" x14ac:dyDescent="0.2">
      <c r="A7068">
        <v>7007</v>
      </c>
      <c r="B7068" s="1832">
        <f>'Expenditures 15-22'!K205</f>
        <v>1208</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984</v>
      </c>
      <c r="D7079" s="2" t="str">
        <f t="shared" si="109"/>
        <v>Error?</v>
      </c>
    </row>
    <row r="7080" spans="1:4" x14ac:dyDescent="0.2">
      <c r="A7080">
        <v>7019</v>
      </c>
      <c r="B7080" s="1832">
        <f>'Expenditures 15-22'!K226</f>
        <v>984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19785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19785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369498</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18680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388178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12076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12076</v>
      </c>
      <c r="D7198" s="2" t="str">
        <f t="shared" si="111"/>
        <v>Error?</v>
      </c>
    </row>
    <row r="7199" spans="1:4" x14ac:dyDescent="0.2">
      <c r="A7199">
        <v>7138</v>
      </c>
      <c r="B7199" s="1832">
        <f>'Expenditures 15-22'!C330</f>
        <v>369498</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87825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457323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369498</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87825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457323</v>
      </c>
      <c r="D7224" s="2" t="str">
        <f t="shared" si="111"/>
        <v>Error?</v>
      </c>
    </row>
    <row r="7225" spans="1:4" x14ac:dyDescent="0.2">
      <c r="A7225">
        <v>7164</v>
      </c>
      <c r="B7225" s="1832">
        <f>'Expenditures 15-22'!K343</f>
        <v>-68494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78186</v>
      </c>
      <c r="D7263" s="2" t="str">
        <f t="shared" si="112"/>
        <v>Error?</v>
      </c>
    </row>
    <row r="7264" spans="1:4" x14ac:dyDescent="0.2">
      <c r="A7264">
        <f t="shared" si="113"/>
        <v>7203</v>
      </c>
      <c r="B7264" s="1832">
        <f>'Expenditures 15-22'!D17</f>
        <v>22272</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1230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717869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37284</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37284</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25823</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17171</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42994</v>
      </c>
      <c r="D7719" s="2" t="str">
        <f t="shared" si="126"/>
        <v>Error?</v>
      </c>
      <c r="E7719" s="2" t="s">
        <v>821</v>
      </c>
    </row>
    <row r="7720" spans="1:6" x14ac:dyDescent="0.2">
      <c r="A7720">
        <v>7659</v>
      </c>
      <c r="B7720" s="1832">
        <f>'Rest Tax Levies-Tort Im 25'!H14</f>
        <v>24923</v>
      </c>
      <c r="D7720" s="2" t="str">
        <f t="shared" si="126"/>
        <v>Error?</v>
      </c>
      <c r="E7720" s="2" t="s">
        <v>821</v>
      </c>
    </row>
    <row r="7721" spans="1:6" x14ac:dyDescent="0.2">
      <c r="A7721">
        <v>7660</v>
      </c>
      <c r="B7721" s="1832">
        <f>'Rest Tax Levies-Tort Im 25'!K14</f>
        <v>42994</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1996</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42994</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48392581</v>
      </c>
      <c r="D7817" s="2" t="str">
        <f t="shared" si="128"/>
        <v>Error?</v>
      </c>
      <c r="E7817" s="4" t="s">
        <v>1965</v>
      </c>
    </row>
    <row r="7818" spans="1:5" x14ac:dyDescent="0.2">
      <c r="A7818">
        <v>7757</v>
      </c>
      <c r="B7818" s="1832">
        <f>'PCTC-OEPP 27-28'!F172</f>
        <v>177554</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7734396</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11906</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1105684</v>
      </c>
      <c r="D7834" s="2" t="str">
        <f t="shared" si="129"/>
        <v>Error?</v>
      </c>
      <c r="E7834" s="4" t="s">
        <v>1997</v>
      </c>
    </row>
    <row r="7835" spans="1:5" x14ac:dyDescent="0.2">
      <c r="A7835">
        <v>7774</v>
      </c>
      <c r="B7835" s="1832">
        <f>'PCTC-OEPP 27-28'!F78</f>
        <v>6628712</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17284.777053455018</v>
      </c>
      <c r="D7837" s="2" t="str">
        <f t="shared" si="129"/>
        <v>Error?</v>
      </c>
      <c r="E7837" s="4" t="s">
        <v>1997</v>
      </c>
    </row>
    <row r="7838" spans="1:5" x14ac:dyDescent="0.2">
      <c r="A7838">
        <v>7777</v>
      </c>
      <c r="B7838" s="1832">
        <f>'PCTC-OEPP 27-28'!F96</f>
        <v>63273</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8932</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9177</v>
      </c>
      <c r="D7842" s="2" t="str">
        <f t="shared" si="129"/>
        <v>Error?</v>
      </c>
      <c r="E7842" s="4" t="s">
        <v>1997</v>
      </c>
    </row>
    <row r="7843" spans="1:5" x14ac:dyDescent="0.2">
      <c r="A7843">
        <v>7782</v>
      </c>
      <c r="B7843" s="1832">
        <f>'PCTC-OEPP 27-28'!F107</f>
        <v>13745</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17171</v>
      </c>
      <c r="D7846" s="2" t="str">
        <f t="shared" si="129"/>
        <v>Error?</v>
      </c>
      <c r="E7846" s="4" t="s">
        <v>1997</v>
      </c>
    </row>
    <row r="7847" spans="1:5" x14ac:dyDescent="0.2">
      <c r="A7847">
        <v>7786</v>
      </c>
      <c r="B7847" s="1832">
        <f>'PCTC-OEPP 27-28'!F112</f>
        <v>40227</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6803</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126275</v>
      </c>
      <c r="D7858" s="2" t="str">
        <f t="shared" si="129"/>
        <v>Error?</v>
      </c>
      <c r="E7858" s="4" t="s">
        <v>1997</v>
      </c>
    </row>
    <row r="7859" spans="1:5" x14ac:dyDescent="0.2">
      <c r="A7859">
        <v>7798</v>
      </c>
      <c r="B7859" s="1832">
        <f>'PCTC-OEPP 27-28'!F127</f>
        <v>120856</v>
      </c>
      <c r="D7859" s="2" t="str">
        <f t="shared" si="129"/>
        <v>Error?</v>
      </c>
      <c r="E7859" s="4" t="s">
        <v>1997</v>
      </c>
    </row>
    <row r="7860" spans="1:5" x14ac:dyDescent="0.2">
      <c r="A7860">
        <v>7799</v>
      </c>
      <c r="B7860" s="1832">
        <f>'PCTC-OEPP 27-28'!F128</f>
        <v>26021</v>
      </c>
      <c r="D7860" s="2" t="str">
        <f t="shared" si="129"/>
        <v>Error?</v>
      </c>
      <c r="E7860" s="4" t="s">
        <v>1997</v>
      </c>
    </row>
    <row r="7861" spans="1:5" x14ac:dyDescent="0.2">
      <c r="A7861">
        <v>7800</v>
      </c>
      <c r="B7861" s="1832">
        <f>'PCTC-OEPP 27-28'!F129</f>
        <v>12893</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9348</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6657</v>
      </c>
      <c r="D7874" s="2" t="str">
        <f t="shared" si="129"/>
        <v>Error?</v>
      </c>
      <c r="E7874" s="4" t="s">
        <v>1997</v>
      </c>
    </row>
    <row r="7875" spans="1:5" x14ac:dyDescent="0.2">
      <c r="A7875">
        <v>7814</v>
      </c>
      <c r="B7875" s="1832">
        <f>'PCTC-OEPP 27-28'!F170</f>
        <v>35082</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821382</v>
      </c>
      <c r="D7877" s="2" t="str">
        <f t="shared" si="129"/>
        <v>Error?</v>
      </c>
      <c r="E7877" s="4" t="s">
        <v>1997</v>
      </c>
    </row>
    <row r="7878" spans="1:5" x14ac:dyDescent="0.2">
      <c r="A7878">
        <v>7817</v>
      </c>
      <c r="B7878" s="1832">
        <f>'PCTC-OEPP 27-28'!F176</f>
        <v>5807330</v>
      </c>
      <c r="D7878" s="2" t="str">
        <f t="shared" si="129"/>
        <v>Error?</v>
      </c>
      <c r="E7878" s="4" t="s">
        <v>1997</v>
      </c>
    </row>
    <row r="7879" spans="1:5" x14ac:dyDescent="0.2">
      <c r="A7879">
        <v>7818</v>
      </c>
      <c r="B7879" s="1832">
        <f>'PCTC-OEPP 27-28'!F178</f>
        <v>6525199</v>
      </c>
      <c r="D7879" s="2" t="str">
        <f t="shared" si="129"/>
        <v>Error?</v>
      </c>
      <c r="E7879" s="4" t="s">
        <v>1997</v>
      </c>
    </row>
    <row r="7880" spans="1:5" x14ac:dyDescent="0.2">
      <c r="A7880">
        <v>7819</v>
      </c>
      <c r="B7880" s="1832">
        <f>'PCTC-OEPP 27-28'!F180</f>
        <v>17014.860495436766</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1180</v>
      </c>
      <c r="B2" s="2512"/>
      <c r="C2" s="2512"/>
      <c r="D2" s="2512"/>
      <c r="E2" s="2512"/>
      <c r="F2" s="2512"/>
      <c r="G2" s="2512"/>
      <c r="H2" s="2512"/>
      <c r="I2" s="2512"/>
      <c r="J2" s="2512"/>
      <c r="K2" s="2512"/>
      <c r="L2" s="2512"/>
    </row>
    <row r="3" spans="1:29" ht="13.5" customHeight="1" x14ac:dyDescent="0.2">
      <c r="A3" s="2544" t="s">
        <v>1179</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5" t="str">
        <f>COVER!A17</f>
        <v>Hall High SD 502</v>
      </c>
      <c r="B7" s="2536"/>
      <c r="C7" s="2536"/>
      <c r="D7" s="2537"/>
      <c r="E7" s="2538">
        <f>COVER!A13</f>
        <v>28006502017</v>
      </c>
      <c r="F7" s="2539"/>
      <c r="G7" s="2545" t="str">
        <f>COVER!T23</f>
        <v>066-004501</v>
      </c>
      <c r="H7" s="2546"/>
      <c r="I7" s="2546"/>
      <c r="J7" s="2546"/>
      <c r="K7" s="2546"/>
      <c r="L7" s="254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48"/>
      <c r="B9" s="2549"/>
      <c r="C9" s="2549"/>
      <c r="D9" s="2549"/>
      <c r="E9" s="2549"/>
      <c r="F9" s="2550"/>
      <c r="G9" s="2518" t="str">
        <f>COVER!T13</f>
        <v>HOPKINS &amp; ASSOCIATES, CPAS</v>
      </c>
      <c r="H9" s="2551"/>
      <c r="I9" s="2551"/>
      <c r="J9" s="2551"/>
      <c r="K9" s="2551"/>
      <c r="L9" s="2552"/>
    </row>
    <row r="10" spans="1:29" ht="13.5" customHeight="1" x14ac:dyDescent="0.2">
      <c r="A10" s="2524" t="str">
        <f>COVER!A38</f>
        <v>JESSE BRANDT</v>
      </c>
      <c r="B10" s="2525"/>
      <c r="C10" s="2525"/>
      <c r="D10" s="2525"/>
      <c r="E10" s="2525"/>
      <c r="F10" s="2526"/>
      <c r="G10" s="2518" t="str">
        <f>COVER!T17</f>
        <v>314 S MCCOY ST</v>
      </c>
      <c r="H10" s="2519"/>
      <c r="I10" s="2519"/>
      <c r="J10" s="2519"/>
      <c r="K10" s="2519"/>
      <c r="L10" s="2520"/>
    </row>
    <row r="11" spans="1:29" ht="13.5" customHeight="1" x14ac:dyDescent="0.2">
      <c r="A11" s="963" t="s">
        <v>1501</v>
      </c>
      <c r="B11" s="964"/>
      <c r="C11" s="965"/>
      <c r="D11" s="970"/>
      <c r="E11" s="965"/>
      <c r="F11" s="969"/>
      <c r="G11" s="2518" t="str">
        <f>COVER!T19</f>
        <v>GRANVILLE</v>
      </c>
      <c r="H11" s="2519"/>
      <c r="I11" s="2519"/>
      <c r="J11" s="2519"/>
      <c r="K11" s="2519"/>
      <c r="L11" s="2520"/>
    </row>
    <row r="12" spans="1:29" ht="13.5" customHeight="1" x14ac:dyDescent="0.2">
      <c r="A12" s="2527" t="s">
        <v>1500</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1502</v>
      </c>
      <c r="H13" s="2514"/>
      <c r="I13" s="2530" t="str">
        <f>COVER!T25</f>
        <v>KIM@HOPKINSOFFICE.COM</v>
      </c>
      <c r="J13" s="2531"/>
      <c r="K13" s="2531"/>
      <c r="L13" s="2532"/>
    </row>
    <row r="14" spans="1:29" ht="13.5" customHeight="1" x14ac:dyDescent="0.2">
      <c r="A14" s="2518" t="str">
        <f>COVER!A19</f>
        <v>800 W ERIE STREET</v>
      </c>
      <c r="B14" s="2519"/>
      <c r="C14" s="2519"/>
      <c r="D14" s="2519"/>
      <c r="E14" s="2519"/>
      <c r="F14" s="2520"/>
      <c r="G14" s="974" t="s">
        <v>1174</v>
      </c>
      <c r="H14" s="972"/>
      <c r="I14" s="972"/>
      <c r="J14" s="972"/>
      <c r="K14" s="972"/>
      <c r="L14" s="973"/>
    </row>
    <row r="15" spans="1:29" ht="13.5" customHeight="1" x14ac:dyDescent="0.2">
      <c r="A15" s="2518" t="str">
        <f>COVER!A21</f>
        <v>SPRING VALLEY</v>
      </c>
      <c r="B15" s="2519"/>
      <c r="C15" s="2519"/>
      <c r="D15" s="2519"/>
      <c r="E15" s="2519"/>
      <c r="F15" s="2520"/>
      <c r="G15" s="2515" t="str">
        <f>COVER!T15</f>
        <v>KIM BIRD</v>
      </c>
      <c r="H15" s="2516"/>
      <c r="I15" s="2516"/>
      <c r="J15" s="2516"/>
      <c r="K15" s="2516"/>
      <c r="L15" s="2517"/>
    </row>
    <row r="16" spans="1:29" ht="12.2" customHeight="1" x14ac:dyDescent="0.2">
      <c r="A16" s="2541">
        <f>COVER!A25</f>
        <v>61362</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1173</v>
      </c>
      <c r="H17" s="972"/>
      <c r="I17" s="972"/>
      <c r="J17" s="972"/>
      <c r="K17" s="976" t="s">
        <v>1172</v>
      </c>
      <c r="L17" s="969"/>
      <c r="M17" s="962"/>
    </row>
    <row r="18" spans="1:13" ht="12.2" customHeight="1" x14ac:dyDescent="0.2">
      <c r="A18" s="2524"/>
      <c r="B18" s="2525"/>
      <c r="C18" s="2525"/>
      <c r="D18" s="2525"/>
      <c r="E18" s="2525"/>
      <c r="F18" s="2526"/>
      <c r="G18" s="2535" t="str">
        <f>COVER!T21</f>
        <v>815-339-6630</v>
      </c>
      <c r="H18" s="2536"/>
      <c r="I18" s="2536"/>
      <c r="J18" s="2536"/>
      <c r="K18" s="2535" t="str">
        <f>COVER!X21</f>
        <v>815-339-6643</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Hall High SD 502</v>
      </c>
      <c r="B1" s="2558"/>
      <c r="C1" s="2558"/>
      <c r="D1" s="2558"/>
    </row>
    <row r="2" spans="1:11" s="991" customFormat="1" ht="12.75" x14ac:dyDescent="0.2">
      <c r="A2" s="2559">
        <f>'Single Audit Cover'!E7</f>
        <v>28006502017</v>
      </c>
      <c r="B2" s="2560"/>
      <c r="C2" s="2560"/>
      <c r="D2" s="2560"/>
    </row>
    <row r="3" spans="1:11" s="991" customFormat="1" ht="12.75" x14ac:dyDescent="0.2">
      <c r="A3" s="2557" t="s">
        <v>1495</v>
      </c>
      <c r="B3" s="2558"/>
      <c r="C3" s="2558"/>
      <c r="D3" s="255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Hall High SD 502</v>
      </c>
      <c r="B1" s="2562"/>
      <c r="C1" s="2562"/>
      <c r="D1" s="2562"/>
      <c r="E1" s="2562"/>
    </row>
    <row r="2" spans="1:5" x14ac:dyDescent="0.2">
      <c r="A2" s="2563">
        <f>'Single Audit Cover'!E7</f>
        <v>28006502017</v>
      </c>
      <c r="B2" s="2563"/>
      <c r="C2" s="2563"/>
      <c r="D2" s="2563"/>
      <c r="E2" s="2563"/>
    </row>
    <row r="3" spans="1:5" ht="4.5" customHeight="1" x14ac:dyDescent="0.2"/>
    <row r="4" spans="1:5" x14ac:dyDescent="0.2">
      <c r="A4" s="2562" t="s">
        <v>1233</v>
      </c>
      <c r="B4" s="2562"/>
      <c r="C4" s="2562"/>
      <c r="D4" s="2562"/>
      <c r="E4" s="2562"/>
    </row>
    <row r="5" spans="1:5" x14ac:dyDescent="0.2">
      <c r="A5" s="2565" t="str">
        <f>'Single Audit Cover'!A4</f>
        <v>Year Ending June 30, 2020</v>
      </c>
      <c r="B5" s="2565"/>
      <c r="C5" s="2565"/>
      <c r="D5" s="2565"/>
      <c r="E5" s="2565"/>
    </row>
    <row r="6" spans="1:5" x14ac:dyDescent="0.2">
      <c r="A6" s="2562" t="s">
        <v>1232</v>
      </c>
      <c r="B6" s="2562"/>
      <c r="C6" s="2562"/>
      <c r="D6" s="2562"/>
      <c r="E6" s="2562"/>
    </row>
    <row r="8" spans="1:5" x14ac:dyDescent="0.2">
      <c r="A8" s="1036" t="s">
        <v>1231</v>
      </c>
    </row>
    <row r="10" spans="1:5" x14ac:dyDescent="0.2">
      <c r="A10" s="1037" t="s">
        <v>1230</v>
      </c>
      <c r="B10" s="1038" t="s">
        <v>1229</v>
      </c>
      <c r="C10" s="1038"/>
      <c r="D10" s="1039">
        <f>SUM('Acct Summary 7-8'!C7:K7)</f>
        <v>343935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23817</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-35082</v>
      </c>
    </row>
    <row r="19" spans="1:4" ht="13.5" thickBot="1" x14ac:dyDescent="0.25">
      <c r="A19" s="1041" t="s">
        <v>1223</v>
      </c>
      <c r="D19" s="1042">
        <f>SUM(D10:D17)</f>
        <v>332670</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1221</v>
      </c>
      <c r="D32" s="1039">
        <f>SUM(D19:D30)</f>
        <v>332670</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1215</v>
      </c>
      <c r="C47" s="1048"/>
      <c r="D47" s="1049">
        <f>SUM(D35:D45)</f>
        <v>0</v>
      </c>
    </row>
    <row r="49" spans="2:4" x14ac:dyDescent="0.2">
      <c r="B49" s="1048" t="s">
        <v>1214</v>
      </c>
      <c r="C49" s="1048"/>
      <c r="D49" s="1049">
        <f>D32-D47</f>
        <v>332670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Hall High SD 502</v>
      </c>
      <c r="C1" s="2566"/>
      <c r="D1" s="2566"/>
      <c r="E1" s="2566"/>
      <c r="F1" s="2566"/>
      <c r="G1" s="2566"/>
      <c r="H1" s="2566"/>
      <c r="I1" s="2566"/>
      <c r="J1" s="2566"/>
      <c r="K1" s="2566"/>
      <c r="L1" s="2566"/>
      <c r="M1" s="2566"/>
    </row>
    <row r="2" spans="2:14" ht="15" x14ac:dyDescent="0.2">
      <c r="B2" s="2567">
        <f>'Single Audit Cover'!E7</f>
        <v>28006502017</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1253</v>
      </c>
      <c r="E6" s="1082" t="s">
        <v>523</v>
      </c>
      <c r="F6" s="1083"/>
      <c r="G6" s="1084" t="s">
        <v>1710</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Hall High SD 502</v>
      </c>
      <c r="B1" s="2579"/>
      <c r="C1" s="2579"/>
      <c r="D1" s="2579"/>
      <c r="E1" s="2579"/>
      <c r="F1" s="2579"/>
    </row>
    <row r="2" spans="1:7" ht="13.5" customHeight="1" x14ac:dyDescent="0.2">
      <c r="A2" s="2567">
        <f>'Single Audit Cover'!E7</f>
        <v>28006502017</v>
      </c>
      <c r="B2" s="2567"/>
      <c r="C2" s="2567"/>
      <c r="D2" s="2567"/>
      <c r="E2" s="2567"/>
      <c r="F2" s="2567"/>
      <c r="G2" s="1051"/>
    </row>
    <row r="3" spans="1:7" ht="15.75" customHeight="1" x14ac:dyDescent="0.2">
      <c r="A3" s="2580" t="s">
        <v>1259</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1704</v>
      </c>
      <c r="C6" s="295"/>
      <c r="D6" s="295"/>
    </row>
    <row r="7" spans="1:7" ht="60.95" customHeight="1" x14ac:dyDescent="0.2">
      <c r="A7" s="2578" t="s">
        <v>1705</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8" t="s">
        <v>1707</v>
      </c>
      <c r="B13" s="2578"/>
      <c r="C13" s="2578"/>
      <c r="D13" s="2578"/>
      <c r="E13" s="2578"/>
      <c r="F13" s="2578"/>
    </row>
    <row r="14" spans="1:7" ht="9.75" customHeight="1" x14ac:dyDescent="0.2">
      <c r="C14" s="1036"/>
      <c r="D14" s="1036"/>
    </row>
    <row r="15" spans="1:7" ht="13.5" customHeight="1" x14ac:dyDescent="0.2">
      <c r="C15" s="1476" t="s">
        <v>1258</v>
      </c>
      <c r="D15" s="2576" t="s">
        <v>1257</v>
      </c>
      <c r="E15" s="2576"/>
      <c r="F15" s="2576"/>
    </row>
    <row r="16" spans="1:7" ht="13.5" customHeight="1" x14ac:dyDescent="0.2">
      <c r="A16" s="1058"/>
      <c r="B16" s="1052" t="s">
        <v>1256</v>
      </c>
      <c r="C16" s="1476" t="s">
        <v>1255</v>
      </c>
      <c r="D16" s="2577" t="s">
        <v>1570</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2" t="s">
        <v>1708</v>
      </c>
      <c r="B32" s="2572"/>
      <c r="C32" s="2572"/>
      <c r="D32" s="2572"/>
      <c r="E32" s="2572"/>
      <c r="F32" s="2572"/>
    </row>
    <row r="33" spans="1:6" ht="13.5" customHeight="1" x14ac:dyDescent="0.2">
      <c r="A33" s="306" t="s">
        <v>1416</v>
      </c>
      <c r="B33" s="306"/>
      <c r="C33" s="1064">
        <v>0</v>
      </c>
      <c r="D33" s="1526"/>
      <c r="E33" s="1062"/>
    </row>
    <row r="34" spans="1:6" ht="13.5" customHeight="1" x14ac:dyDescent="0.2">
      <c r="A34" s="306" t="s">
        <v>1810</v>
      </c>
      <c r="B34" s="306"/>
      <c r="C34" s="1065">
        <v>0</v>
      </c>
      <c r="D34" s="1526" t="s">
        <v>1571</v>
      </c>
      <c r="E34" s="2573">
        <f>+C33+C34</f>
        <v>0</v>
      </c>
      <c r="F34" s="2574"/>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1572</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1533</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1157</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8" t="s">
        <v>1615</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309</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1311</v>
      </c>
      <c r="B70" s="2171"/>
      <c r="C70" s="2171"/>
      <c r="D70" s="2171"/>
      <c r="E70" s="2172"/>
      <c r="F70" s="2172"/>
      <c r="G70" s="2172"/>
      <c r="H70" s="2172"/>
      <c r="I70" s="217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1308</v>
      </c>
      <c r="B83" s="2173"/>
      <c r="C83" s="2173"/>
      <c r="D83" s="217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4" t="s">
        <v>1988</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6" t="s">
        <v>1988</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2067</v>
      </c>
      <c r="D114" s="216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1318</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Hall High SD 502</v>
      </c>
      <c r="C1" s="2594"/>
      <c r="D1" s="2594"/>
      <c r="E1" s="2594"/>
      <c r="F1" s="2594"/>
      <c r="G1" s="2594"/>
      <c r="H1" s="2594"/>
      <c r="I1" s="2594"/>
      <c r="J1" s="1178"/>
    </row>
    <row r="2" spans="2:10" s="295" customFormat="1" ht="12.75" customHeight="1" x14ac:dyDescent="0.2">
      <c r="B2" s="2595">
        <f>'Single Audit Cover'!E7</f>
        <v>28006502017</v>
      </c>
      <c r="C2" s="2596"/>
      <c r="D2" s="2596"/>
      <c r="E2" s="2596"/>
      <c r="F2" s="2596"/>
      <c r="G2" s="2596"/>
      <c r="H2" s="2596"/>
      <c r="I2" s="2596"/>
      <c r="J2" s="1178"/>
    </row>
    <row r="3" spans="2:10" s="295" customFormat="1" ht="12.75" customHeight="1" x14ac:dyDescent="0.2">
      <c r="B3" s="2597" t="s">
        <v>1273</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1272</v>
      </c>
      <c r="C7" s="2598"/>
      <c r="D7" s="2598"/>
      <c r="E7" s="2598"/>
      <c r="F7" s="2598"/>
      <c r="G7" s="2598"/>
      <c r="H7" s="2598"/>
      <c r="I7" s="2598"/>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9"/>
      <c r="D11" s="2599"/>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00"/>
      <c r="E29" s="2600"/>
      <c r="F29" s="2600"/>
      <c r="G29" s="2600"/>
      <c r="H29" s="2600"/>
      <c r="I29" s="2600"/>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01" t="s">
        <v>1727</v>
      </c>
      <c r="D37" s="2602"/>
      <c r="E37" s="2602"/>
      <c r="F37" s="2603"/>
      <c r="G37" s="2601" t="s">
        <v>1574</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1575</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88"/>
      <c r="F49" s="2588"/>
      <c r="G49" s="2588"/>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Hall High SD 502</v>
      </c>
      <c r="C1" s="2593"/>
      <c r="D1" s="2593"/>
      <c r="E1" s="2593"/>
      <c r="F1" s="2593"/>
      <c r="G1" s="2593"/>
      <c r="H1" s="2593"/>
      <c r="I1" s="2593"/>
      <c r="J1" s="2593"/>
      <c r="K1" s="2593"/>
      <c r="L1" s="1144"/>
      <c r="M1" s="1144"/>
    </row>
    <row r="2" spans="1:13" ht="12" customHeight="1" x14ac:dyDescent="0.2">
      <c r="B2" s="2595">
        <f>'Single Audit Cover'!E7</f>
        <v>28006502017</v>
      </c>
      <c r="C2" s="2595"/>
      <c r="D2" s="2595"/>
      <c r="E2" s="2595"/>
      <c r="F2" s="2595"/>
      <c r="G2" s="2595"/>
      <c r="H2" s="2595"/>
      <c r="I2" s="2595"/>
      <c r="J2" s="2595"/>
      <c r="K2" s="2595"/>
      <c r="L2" s="1145"/>
      <c r="M2" s="1146"/>
    </row>
    <row r="3" spans="1:13" ht="10.35" customHeight="1" x14ac:dyDescent="0.2">
      <c r="B3" s="2609" t="s">
        <v>1273</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1284</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Hall High SD 502</v>
      </c>
      <c r="C1" s="2616"/>
      <c r="D1" s="2616"/>
      <c r="E1" s="2616"/>
      <c r="F1" s="2616"/>
      <c r="G1" s="2616"/>
      <c r="H1" s="2616"/>
      <c r="I1" s="2616"/>
      <c r="J1" s="2616"/>
      <c r="K1" s="2616"/>
      <c r="L1" s="1221"/>
    </row>
    <row r="2" spans="1:12" ht="12.75" customHeight="1" x14ac:dyDescent="0.2">
      <c r="B2" s="2617">
        <f>'Single Audit Cover'!E7</f>
        <v>28006502017</v>
      </c>
      <c r="C2" s="2617"/>
      <c r="D2" s="2617"/>
      <c r="E2" s="2617"/>
      <c r="F2" s="2617"/>
      <c r="G2" s="2617"/>
      <c r="H2" s="2617"/>
      <c r="I2" s="2617"/>
      <c r="J2" s="2617"/>
      <c r="K2" s="2617"/>
      <c r="L2" s="1222"/>
    </row>
    <row r="3" spans="1:12" ht="12.75" customHeight="1" x14ac:dyDescent="0.2">
      <c r="B3" s="2609" t="s">
        <v>1273</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1158</v>
      </c>
      <c r="C5" s="1036"/>
      <c r="L5" s="300"/>
    </row>
    <row r="6" spans="1:12" ht="30.75" customHeight="1" x14ac:dyDescent="0.2">
      <c r="A6" s="300"/>
      <c r="B6" s="2618" t="s">
        <v>1296</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3"/>
      <c r="E14" s="2613"/>
      <c r="F14" s="2613"/>
      <c r="H14" s="1230" t="s">
        <v>1291</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4"/>
      <c r="E16" s="2614"/>
      <c r="F16" s="2614"/>
      <c r="G16" s="2614"/>
      <c r="H16" s="2614"/>
      <c r="I16" s="2614"/>
      <c r="J16" s="2614"/>
      <c r="K16" s="2614"/>
      <c r="L16" s="300"/>
    </row>
    <row r="17" spans="2:12" ht="13.5" customHeight="1" x14ac:dyDescent="0.2">
      <c r="B17" s="1156" t="s">
        <v>1289</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Hall High SD 502</v>
      </c>
      <c r="C1" s="2593"/>
      <c r="D1" s="2593"/>
      <c r="E1" s="1240"/>
    </row>
    <row r="2" spans="2:5" s="1058" customFormat="1" ht="12.75" customHeight="1" x14ac:dyDescent="0.2">
      <c r="B2" s="2595">
        <f>'Single Audit Cover'!E7</f>
        <v>28006502017</v>
      </c>
      <c r="C2" s="2595"/>
      <c r="D2" s="2595"/>
      <c r="E2" s="1241"/>
    </row>
    <row r="3" spans="2:5" ht="12.75" customHeight="1" x14ac:dyDescent="0.2">
      <c r="B3" s="2609" t="s">
        <v>1742</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P16" sqref="P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382</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130534944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1.60877E-2</v>
      </c>
      <c r="E10" s="333" t="s">
        <v>997</v>
      </c>
      <c r="F10" s="332">
        <v>2.4975000000000002E-3</v>
      </c>
      <c r="G10" s="333" t="s">
        <v>997</v>
      </c>
      <c r="H10" s="332">
        <v>1.1999999999999999E-3</v>
      </c>
      <c r="I10" s="333" t="s">
        <v>998</v>
      </c>
      <c r="J10" s="1424">
        <f>ROUND(D10+F10+H10,5)</f>
        <v>1.9789999999999999E-2</v>
      </c>
      <c r="K10" s="217"/>
      <c r="L10" s="332">
        <v>4.7399999999999997E-4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5575053</v>
      </c>
      <c r="E16" s="1547"/>
      <c r="F16" s="1546">
        <f>SUM('Acct Summary 7-8'!C17,'Acct Summary 7-8'!D17,'Acct Summary 7-8'!F17)</f>
        <v>4479603</v>
      </c>
      <c r="G16" s="1547"/>
      <c r="H16" s="1546">
        <f>SUM(D16-F16)</f>
        <v>1095450</v>
      </c>
      <c r="I16" s="1548"/>
      <c r="J16" s="1546">
        <f>SUM('Acct Summary 7-8'!C81,'Acct Summary 7-8'!D81,'Acct Summary 7-8'!F81,'Acct Summary 7-8'!I81)</f>
        <v>4817674</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581</v>
      </c>
      <c r="D31" s="232" t="s">
        <v>1062</v>
      </c>
      <c r="E31" s="217"/>
      <c r="F31" s="217"/>
      <c r="G31" s="340"/>
      <c r="H31" s="1425">
        <f>IF(B31="X",(J7*0.069),IF(B32="X",(J7*0.138),"Enter x in a.or b."))</f>
        <v>9006911.1359999999</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43247028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551</v>
      </c>
      <c r="B2" s="2208"/>
      <c r="C2" s="2208"/>
      <c r="D2" s="2208"/>
      <c r="E2" s="2208"/>
      <c r="F2" s="2208"/>
      <c r="G2" s="2208"/>
      <c r="H2" s="2208"/>
      <c r="I2" s="2208"/>
      <c r="J2" s="2208"/>
      <c r="K2" s="2208"/>
      <c r="L2" s="2208"/>
      <c r="M2" s="2208"/>
      <c r="N2" s="2208"/>
      <c r="O2" s="2208"/>
      <c r="P2" s="2208"/>
      <c r="Q2" s="2208"/>
      <c r="R2" s="2208"/>
    </row>
    <row r="3" spans="1:18" ht="12.75" x14ac:dyDescent="0.2">
      <c r="A3" s="2209" t="s">
        <v>1395</v>
      </c>
      <c r="B3" s="2209"/>
      <c r="C3" s="2209"/>
      <c r="D3" s="2209"/>
      <c r="E3" s="2209"/>
      <c r="F3" s="2209"/>
      <c r="G3" s="2209"/>
      <c r="H3" s="2209"/>
      <c r="I3" s="2209"/>
      <c r="J3" s="2209"/>
      <c r="K3" s="2209"/>
      <c r="L3" s="2209"/>
      <c r="M3" s="2209"/>
      <c r="N3" s="2209"/>
      <c r="O3" s="2209"/>
      <c r="P3" s="2209"/>
      <c r="Q3" s="2209"/>
      <c r="R3" s="2209"/>
    </row>
    <row r="4" spans="1:18" x14ac:dyDescent="0.2">
      <c r="A4" s="2210" t="s">
        <v>1536</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Hall High SD 502</v>
      </c>
      <c r="E7" s="368"/>
      <c r="G7" s="247"/>
      <c r="H7" s="364"/>
      <c r="I7" s="364"/>
      <c r="J7" s="364"/>
      <c r="K7" s="364"/>
      <c r="L7" s="307"/>
      <c r="M7" s="307"/>
      <c r="N7" s="307"/>
      <c r="O7" s="307"/>
      <c r="P7" s="307"/>
    </row>
    <row r="8" spans="1:18" ht="12.75" x14ac:dyDescent="0.2">
      <c r="A8" s="307"/>
      <c r="B8" s="307"/>
      <c r="C8" s="366" t="s">
        <v>1114</v>
      </c>
      <c r="D8" s="369">
        <f>COVER!A13</f>
        <v>28006502017</v>
      </c>
      <c r="E8" s="370"/>
      <c r="G8" s="307"/>
      <c r="H8" s="307"/>
      <c r="I8" s="307"/>
      <c r="J8" s="307"/>
      <c r="K8" s="307"/>
      <c r="L8" s="307"/>
      <c r="M8" s="307"/>
      <c r="N8" s="307"/>
      <c r="O8" s="307"/>
      <c r="P8" s="307"/>
    </row>
    <row r="9" spans="1:18" ht="12.75" x14ac:dyDescent="0.2">
      <c r="A9" s="307"/>
      <c r="B9" s="307"/>
      <c r="C9" s="366" t="s">
        <v>707</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4817674</v>
      </c>
      <c r="I12" s="380"/>
      <c r="J12" s="380"/>
      <c r="K12" s="1559">
        <f>TRUNC((H12/H13*100000),5)/100000</f>
        <v>0.86414855599999996</v>
      </c>
      <c r="L12" s="381"/>
      <c r="M12" s="337" t="s">
        <v>1133</v>
      </c>
      <c r="N12" s="337"/>
      <c r="O12" s="1562">
        <v>0.35</v>
      </c>
      <c r="P12" s="213"/>
      <c r="Q12" s="213"/>
    </row>
    <row r="13" spans="1:18" s="382" customFormat="1" ht="12.75" x14ac:dyDescent="0.2">
      <c r="A13" s="213"/>
      <c r="B13" s="377"/>
      <c r="C13" s="2206" t="s">
        <v>1312</v>
      </c>
      <c r="D13" s="2207"/>
      <c r="E13" s="213"/>
      <c r="F13" s="383" t="s">
        <v>787</v>
      </c>
      <c r="G13" s="378"/>
      <c r="H13" s="1551">
        <f>SUM('Acct Summary 7-8'!C8+'Acct Summary 7-8'!D8+'Acct Summary 7-8'!F8+'Acct Summary 7-8'!I8)+H14</f>
        <v>5575053</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4479603</v>
      </c>
      <c r="I17" s="380"/>
      <c r="J17" s="389"/>
      <c r="K17" s="1559">
        <f>TRUNC((H17/H18*100000),5)/100000</f>
        <v>0.8035085944</v>
      </c>
      <c r="L17" s="381"/>
      <c r="M17" s="390" t="s">
        <v>1160</v>
      </c>
      <c r="O17" s="1565" t="str">
        <f>IF(AND(O16="2", J20 &gt; 2),"1",IF(AND(O16 = "1", J20 &gt; 2),"2",IF(AND(O16="1", J20 &gt;1),"1","0")))</f>
        <v>0</v>
      </c>
      <c r="P17" s="213"/>
    </row>
    <row r="18" spans="1:18" s="382" customFormat="1" ht="11.25" x14ac:dyDescent="0.2">
      <c r="A18" s="213"/>
      <c r="B18" s="377"/>
      <c r="C18" s="2206" t="s">
        <v>1305</v>
      </c>
      <c r="D18" s="2207"/>
      <c r="E18" s="213"/>
      <c r="F18" s="391" t="s">
        <v>788</v>
      </c>
      <c r="G18" s="378"/>
      <c r="H18" s="1551">
        <f>SUM('Acct Summary 7-8'!C8+'Acct Summary 7-8'!D8+'Acct Summary 7-8'!F8+'Acct Summary 7-8'!I8)+H19</f>
        <v>5575053</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3" t="s">
        <v>1394</v>
      </c>
      <c r="D24" s="2203"/>
      <c r="E24" s="213"/>
      <c r="F24" s="213" t="s">
        <v>441</v>
      </c>
      <c r="G24" s="378"/>
      <c r="H24" s="1551">
        <f>SUM('Assets-Liab 5-6'!C4+'Assets-Liab 5-6'!D4+'Assets-Liab 5-6'!F4+'Assets-Liab 5-6'!I4+'Assets-Liab 5-6'!C5+'Assets-Liab 5-6'!D5+'Assets-Liab 5-6'!F5+'Assets-Liab 5-6'!I5)</f>
        <v>4849174</v>
      </c>
      <c r="I24" s="394"/>
      <c r="J24" s="394"/>
      <c r="K24" s="1555">
        <f>TRUNC(((H24/H25*100000)/100000),2)</f>
        <v>389.7</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12443.34167</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2195793.5605000001</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f>IF(K32&gt;=75,"4",IF(K32&gt;=50,"3",IF(K32&gt;=25,"2",1)))</f>
        <v>1</v>
      </c>
      <c r="P31" s="211"/>
    </row>
    <row r="32" spans="1:18" s="382" customFormat="1" ht="11.25" x14ac:dyDescent="0.2">
      <c r="A32" s="213"/>
      <c r="B32" s="377"/>
      <c r="C32" s="213" t="s">
        <v>841</v>
      </c>
      <c r="D32" s="213"/>
      <c r="E32" s="213"/>
      <c r="F32" s="213"/>
      <c r="G32" s="378"/>
      <c r="H32" s="1551">
        <f>'FP Info 3'!H37</f>
        <v>43247028</v>
      </c>
      <c r="I32" s="392"/>
      <c r="J32" s="392"/>
      <c r="K32" s="1555">
        <f>TRUNC(100-((((H32/H33*100))*100)/100),2)</f>
        <v>-380.15</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9006911.1359999999</v>
      </c>
      <c r="I33" s="392"/>
      <c r="J33" s="392"/>
      <c r="K33" s="379"/>
      <c r="L33" s="213"/>
      <c r="M33" s="401" t="s">
        <v>1134</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1" activePane="bottomLeft" state="frozen"/>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3" t="s">
        <v>966</v>
      </c>
      <c r="B3" s="2214"/>
      <c r="C3" s="1306"/>
      <c r="D3" s="1307"/>
      <c r="E3" s="1307"/>
      <c r="F3" s="1307"/>
      <c r="G3" s="1307"/>
      <c r="H3" s="1307"/>
      <c r="I3" s="1307"/>
      <c r="J3" s="1307"/>
      <c r="K3" s="1307"/>
      <c r="L3" s="1307"/>
      <c r="M3" s="1308"/>
      <c r="N3" s="1309"/>
    </row>
    <row r="4" spans="1:14" ht="13.5" customHeight="1" x14ac:dyDescent="0.2">
      <c r="A4" s="427" t="s">
        <v>1631</v>
      </c>
      <c r="B4" s="428"/>
      <c r="C4" s="1572">
        <f>1670613+28+1600</f>
        <v>1672241</v>
      </c>
      <c r="D4" s="1573">
        <v>810939</v>
      </c>
      <c r="E4" s="1573">
        <v>47982</v>
      </c>
      <c r="F4" s="1573">
        <v>124851</v>
      </c>
      <c r="G4" s="1573">
        <v>116950</v>
      </c>
      <c r="H4" s="1573"/>
      <c r="I4" s="1573">
        <v>207198</v>
      </c>
      <c r="J4" s="1574">
        <v>13498</v>
      </c>
      <c r="K4" s="1573"/>
      <c r="L4" s="1573">
        <f>305428+106995</f>
        <v>412423</v>
      </c>
      <c r="M4" s="1575"/>
      <c r="N4" s="1576"/>
    </row>
    <row r="5" spans="1:14" x14ac:dyDescent="0.2">
      <c r="A5" s="427" t="s">
        <v>984</v>
      </c>
      <c r="B5" s="429">
        <v>120</v>
      </c>
      <c r="C5" s="1572">
        <v>128579</v>
      </c>
      <c r="D5" s="1573">
        <v>128579</v>
      </c>
      <c r="E5" s="1573"/>
      <c r="F5" s="1573"/>
      <c r="G5" s="1573"/>
      <c r="H5" s="1573"/>
      <c r="I5" s="1573">
        <v>1776787</v>
      </c>
      <c r="J5" s="1574"/>
      <c r="K5" s="1577"/>
      <c r="L5" s="1578"/>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v>31500</v>
      </c>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1800820</v>
      </c>
      <c r="D13" s="1587">
        <f t="shared" ref="D13:L13" si="0">SUM(D4:D12)</f>
        <v>939518</v>
      </c>
      <c r="E13" s="1587">
        <f t="shared" si="0"/>
        <v>47982</v>
      </c>
      <c r="F13" s="1587">
        <f t="shared" si="0"/>
        <v>124851</v>
      </c>
      <c r="G13" s="1587">
        <f t="shared" si="0"/>
        <v>116950</v>
      </c>
      <c r="H13" s="1587">
        <f t="shared" si="0"/>
        <v>0</v>
      </c>
      <c r="I13" s="1587">
        <f t="shared" si="0"/>
        <v>1983985</v>
      </c>
      <c r="J13" s="1587">
        <f t="shared" si="0"/>
        <v>44998</v>
      </c>
      <c r="K13" s="1587">
        <f t="shared" si="0"/>
        <v>0</v>
      </c>
      <c r="L13" s="1587">
        <f t="shared" si="0"/>
        <v>412423</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51157</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31985115</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235559</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760048</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47982</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42699046</v>
      </c>
    </row>
    <row r="23" spans="1:14" ht="13.5" customHeight="1" thickBot="1" x14ac:dyDescent="0.25">
      <c r="A23" s="1426" t="s">
        <v>637</v>
      </c>
      <c r="B23" s="1429"/>
      <c r="C23" s="1575"/>
      <c r="D23" s="1575"/>
      <c r="E23" s="1575"/>
      <c r="F23" s="1575"/>
      <c r="G23" s="1575"/>
      <c r="H23" s="1575"/>
      <c r="I23" s="1575"/>
      <c r="J23" s="1575"/>
      <c r="K23" s="1575"/>
      <c r="L23" s="1575"/>
      <c r="M23" s="1594">
        <f>SUM(M15:M22)</f>
        <v>33031879</v>
      </c>
      <c r="N23" s="1594">
        <f>SUM(N21:N22)</f>
        <v>42747028</v>
      </c>
    </row>
    <row r="24" spans="1:14" ht="18" customHeight="1" thickTop="1" x14ac:dyDescent="0.2">
      <c r="A24" s="2217" t="s">
        <v>593</v>
      </c>
      <c r="B24" s="2218"/>
      <c r="C24" s="1595"/>
      <c r="D24" s="1590"/>
      <c r="E24" s="1590"/>
      <c r="F24" s="1590"/>
      <c r="G24" s="1590"/>
      <c r="H24" s="1590"/>
      <c r="I24" s="1590"/>
      <c r="J24" s="1590"/>
      <c r="K24" s="1590"/>
      <c r="L24" s="1590"/>
      <c r="M24" s="1589"/>
      <c r="N24" s="1596"/>
    </row>
    <row r="25" spans="1:14" x14ac:dyDescent="0.2">
      <c r="A25" s="430" t="s">
        <v>639</v>
      </c>
      <c r="B25" s="429">
        <v>410</v>
      </c>
      <c r="C25" s="1583">
        <v>31500</v>
      </c>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106995</v>
      </c>
      <c r="M33" s="1575"/>
      <c r="N33" s="1576"/>
    </row>
    <row r="34" spans="1:14" ht="13.5" customHeight="1" thickBot="1" x14ac:dyDescent="0.25">
      <c r="A34" s="1427" t="s">
        <v>648</v>
      </c>
      <c r="B34" s="1428"/>
      <c r="C34" s="1600">
        <f>SUM(C25:C33)</f>
        <v>31500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106995</v>
      </c>
      <c r="M34" s="1575"/>
      <c r="N34" s="1585"/>
    </row>
    <row r="35" spans="1:14" ht="18" customHeight="1" thickTop="1" x14ac:dyDescent="0.2">
      <c r="A35" s="2219" t="s">
        <v>525</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43247028</v>
      </c>
    </row>
    <row r="37" spans="1:14" ht="13.5" thickBot="1" x14ac:dyDescent="0.25">
      <c r="A37" s="1426" t="s">
        <v>647</v>
      </c>
      <c r="B37" s="1429"/>
      <c r="C37" s="1582"/>
      <c r="D37" s="1582"/>
      <c r="E37" s="1582"/>
      <c r="F37" s="1582"/>
      <c r="G37" s="1582"/>
      <c r="H37" s="1582"/>
      <c r="I37" s="1582"/>
      <c r="J37" s="1582"/>
      <c r="K37" s="1582"/>
      <c r="L37" s="1585"/>
      <c r="M37" s="1575"/>
      <c r="N37" s="1594">
        <f>SUM(N36:N36)</f>
        <v>43247028</v>
      </c>
    </row>
    <row r="38" spans="1:14" s="307" customFormat="1" ht="13.5" customHeight="1" thickTop="1" x14ac:dyDescent="0.2">
      <c r="A38" s="438" t="s">
        <v>416</v>
      </c>
      <c r="B38" s="432">
        <v>714</v>
      </c>
      <c r="C38" s="1573">
        <v>111136</v>
      </c>
      <c r="D38" s="1573"/>
      <c r="E38" s="1573"/>
      <c r="F38" s="1573"/>
      <c r="G38" s="1573">
        <v>18531</v>
      </c>
      <c r="H38" s="1573"/>
      <c r="I38" s="1573"/>
      <c r="J38" s="1574"/>
      <c r="K38" s="1573"/>
      <c r="L38" s="1586">
        <f>412423-106995</f>
        <v>305428</v>
      </c>
      <c r="M38" s="1604"/>
      <c r="N38" s="1604"/>
    </row>
    <row r="39" spans="1:14" s="307" customFormat="1" ht="13.5" customHeight="1" x14ac:dyDescent="0.2">
      <c r="A39" s="438" t="s">
        <v>338</v>
      </c>
      <c r="B39" s="432">
        <v>730</v>
      </c>
      <c r="C39" s="1573">
        <f>-31500+1800820-111136</f>
        <v>1658184</v>
      </c>
      <c r="D39" s="1573">
        <v>939518</v>
      </c>
      <c r="E39" s="1573">
        <v>47982</v>
      </c>
      <c r="F39" s="1573">
        <v>124851</v>
      </c>
      <c r="G39" s="1573">
        <f>-18531+116950</f>
        <v>98419</v>
      </c>
      <c r="H39" s="1573"/>
      <c r="I39" s="1573">
        <v>1983985</v>
      </c>
      <c r="J39" s="1574">
        <v>44998</v>
      </c>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33031879</v>
      </c>
      <c r="N40" s="1604"/>
    </row>
    <row r="41" spans="1:14" ht="13.5" customHeight="1" thickBot="1" x14ac:dyDescent="0.25">
      <c r="A41" s="1426" t="s">
        <v>649</v>
      </c>
      <c r="B41" s="1405"/>
      <c r="C41" s="1594">
        <f>(SUM(C34,C37,C38,C39))</f>
        <v>1800820</v>
      </c>
      <c r="D41" s="1594">
        <f t="shared" ref="D41:L41" si="2">SUM(D34,D37,D38:D39)</f>
        <v>939518</v>
      </c>
      <c r="E41" s="1594">
        <f t="shared" si="2"/>
        <v>47982</v>
      </c>
      <c r="F41" s="1594">
        <f t="shared" si="2"/>
        <v>124851</v>
      </c>
      <c r="G41" s="1594">
        <f t="shared" si="2"/>
        <v>116950</v>
      </c>
      <c r="H41" s="1594">
        <f t="shared" si="2"/>
        <v>0</v>
      </c>
      <c r="I41" s="1594">
        <f t="shared" si="2"/>
        <v>1983985</v>
      </c>
      <c r="J41" s="1594">
        <f t="shared" si="2"/>
        <v>44998</v>
      </c>
      <c r="K41" s="1594">
        <f t="shared" si="2"/>
        <v>0</v>
      </c>
      <c r="L41" s="1594">
        <f t="shared" si="2"/>
        <v>412423</v>
      </c>
      <c r="M41" s="1594">
        <f>SUM(M40)</f>
        <v>33031879</v>
      </c>
      <c r="N41" s="1594">
        <f>SUM(N37)</f>
        <v>43247028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6" activePane="bottomLeft" state="frozen"/>
      <selection pane="bottomLeft" activeCell="I76" sqref="I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1" t="s">
        <v>1164</v>
      </c>
      <c r="B3" s="2242"/>
      <c r="C3" s="1311"/>
      <c r="D3" s="1312"/>
      <c r="E3" s="1312"/>
      <c r="F3" s="1312"/>
      <c r="G3" s="1312"/>
      <c r="H3" s="1312"/>
      <c r="I3" s="1312"/>
      <c r="J3" s="1312"/>
      <c r="K3" s="1313"/>
      <c r="L3" s="446"/>
    </row>
    <row r="4" spans="1:13" ht="15.75" customHeight="1" x14ac:dyDescent="0.2">
      <c r="A4" s="1537" t="s">
        <v>1481</v>
      </c>
      <c r="B4" s="1538">
        <v>1000</v>
      </c>
      <c r="C4" s="1606">
        <f>'Revenues 9-14'!C109</f>
        <v>2670476</v>
      </c>
      <c r="D4" s="1606">
        <f>'Revenues 9-14'!D109</f>
        <v>314935</v>
      </c>
      <c r="E4" s="1606">
        <f>'Revenues 9-14'!E109</f>
        <v>2632749</v>
      </c>
      <c r="F4" s="1606">
        <f>'Revenues 9-14'!F109</f>
        <v>149856</v>
      </c>
      <c r="G4" s="1606">
        <f>'Revenues 9-14'!G109</f>
        <v>154396</v>
      </c>
      <c r="H4" s="1606">
        <f>'Revenues 9-14'!H109</f>
        <v>0</v>
      </c>
      <c r="I4" s="1606">
        <f>'Revenues 9-14'!I109</f>
        <v>86027</v>
      </c>
      <c r="J4" s="1606">
        <f>'Revenues 9-14'!J109</f>
        <v>388829</v>
      </c>
      <c r="K4" s="1606">
        <f>'Revenues 9-14'!K109</f>
        <v>0</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1519597</v>
      </c>
      <c r="D6" s="1607">
        <f>'Revenues 9-14'!D170</f>
        <v>450000</v>
      </c>
      <c r="E6" s="1607">
        <f>'Revenues 9-14'!E170</f>
        <v>0</v>
      </c>
      <c r="F6" s="1607">
        <f>'Revenues 9-14'!F170</f>
        <v>40227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337132</v>
      </c>
      <c r="D7" s="1607">
        <f>'Revenues 9-14'!D267</f>
        <v>6803</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4527205</v>
      </c>
      <c r="D8" s="1594">
        <f t="shared" ref="D8:K8" si="0">SUM(D4:D7)</f>
        <v>771738</v>
      </c>
      <c r="E8" s="1594">
        <f t="shared" si="0"/>
        <v>2632749</v>
      </c>
      <c r="F8" s="1594">
        <f t="shared" si="0"/>
        <v>190083</v>
      </c>
      <c r="G8" s="1594">
        <f t="shared" si="0"/>
        <v>154396</v>
      </c>
      <c r="H8" s="1594">
        <f t="shared" si="0"/>
        <v>0</v>
      </c>
      <c r="I8" s="1594">
        <f t="shared" si="0"/>
        <v>86027</v>
      </c>
      <c r="J8" s="1594">
        <f t="shared" si="0"/>
        <v>388829</v>
      </c>
      <c r="K8" s="1594">
        <f t="shared" si="0"/>
        <v>0</v>
      </c>
      <c r="L8" s="325"/>
    </row>
    <row r="9" spans="1:13" ht="15.75" thickTop="1" x14ac:dyDescent="0.2">
      <c r="A9" s="449" t="s">
        <v>1633</v>
      </c>
      <c r="B9" s="450">
        <v>3998</v>
      </c>
      <c r="C9" s="1586">
        <f>2078888+33224</f>
        <v>2112112</v>
      </c>
      <c r="D9" s="1613"/>
      <c r="E9" s="1586"/>
      <c r="F9" s="1586"/>
      <c r="G9" s="1614"/>
      <c r="H9" s="1586"/>
      <c r="I9" s="1609" t="s">
        <v>1158</v>
      </c>
      <c r="J9" s="1583"/>
      <c r="K9" s="1586"/>
      <c r="L9" s="325"/>
    </row>
    <row r="10" spans="1:13" s="452" customFormat="1" ht="13.5" thickBot="1" x14ac:dyDescent="0.25">
      <c r="A10" s="1426" t="s">
        <v>1162</v>
      </c>
      <c r="B10" s="1407"/>
      <c r="C10" s="1594">
        <f>SUM(C8:C9)</f>
        <v>6639317</v>
      </c>
      <c r="D10" s="1594">
        <f t="shared" ref="D10:K10" si="1">SUM(D8:D9)</f>
        <v>771738</v>
      </c>
      <c r="E10" s="1594">
        <f t="shared" si="1"/>
        <v>2632749</v>
      </c>
      <c r="F10" s="1594">
        <f t="shared" si="1"/>
        <v>190083</v>
      </c>
      <c r="G10" s="1594">
        <f t="shared" si="1"/>
        <v>154396</v>
      </c>
      <c r="H10" s="1594">
        <f t="shared" si="1"/>
        <v>0</v>
      </c>
      <c r="I10" s="1594">
        <f t="shared" si="1"/>
        <v>86027</v>
      </c>
      <c r="J10" s="1594">
        <f t="shared" si="1"/>
        <v>388829</v>
      </c>
      <c r="K10" s="1594">
        <f t="shared" si="1"/>
        <v>0</v>
      </c>
      <c r="L10" s="451"/>
    </row>
    <row r="11" spans="1:13" s="452" customFormat="1" ht="16.7" customHeight="1" thickTop="1" x14ac:dyDescent="0.2">
      <c r="A11" s="2215" t="s">
        <v>1165</v>
      </c>
      <c r="B11" s="2216"/>
      <c r="C11" s="1602"/>
      <c r="D11" s="1603"/>
      <c r="E11" s="1603"/>
      <c r="F11" s="1603"/>
      <c r="G11" s="1603"/>
      <c r="H11" s="1603"/>
      <c r="I11" s="1603"/>
      <c r="J11" s="1603"/>
      <c r="K11" s="1615"/>
      <c r="L11" s="451"/>
    </row>
    <row r="12" spans="1:13" ht="15.75" customHeight="1" x14ac:dyDescent="0.2">
      <c r="A12" s="1314" t="s">
        <v>452</v>
      </c>
      <c r="B12" s="1316">
        <v>1000</v>
      </c>
      <c r="C12" s="1606">
        <f>'Expenditures 15-22'!K33</f>
        <v>2797688</v>
      </c>
      <c r="D12" s="1616" t="s">
        <v>1158</v>
      </c>
      <c r="E12" s="1575" t="s">
        <v>1158</v>
      </c>
      <c r="F12" s="1575" t="s">
        <v>1158</v>
      </c>
      <c r="G12" s="1606">
        <f>'Expenditures 15-22'!K229</f>
        <v>58201</v>
      </c>
      <c r="H12" s="1617"/>
      <c r="I12" s="1575" t="s">
        <v>1158</v>
      </c>
      <c r="J12" s="1575" t="s">
        <v>1158</v>
      </c>
      <c r="K12" s="1617" t="s">
        <v>1158</v>
      </c>
      <c r="L12" s="325"/>
    </row>
    <row r="13" spans="1:13" ht="15.75" customHeight="1" x14ac:dyDescent="0.2">
      <c r="A13" s="1314" t="s">
        <v>453</v>
      </c>
      <c r="B13" s="1316">
        <v>2000</v>
      </c>
      <c r="C13" s="1607">
        <f>'Expenditures 15-22'!K74</f>
        <v>910076</v>
      </c>
      <c r="D13" s="1607">
        <f>'Expenditures 15-22'!K129</f>
        <v>505502</v>
      </c>
      <c r="E13" s="1576" t="s">
        <v>1158</v>
      </c>
      <c r="F13" s="1607">
        <f>'Expenditures 15-22'!K184</f>
        <v>118814</v>
      </c>
      <c r="G13" s="1607">
        <f>'Expenditures 15-22'!K279</f>
        <v>91120</v>
      </c>
      <c r="H13" s="1607">
        <f>'Expenditures 15-22'!K303</f>
        <v>0</v>
      </c>
      <c r="I13" s="1575" t="s">
        <v>1158</v>
      </c>
      <c r="J13" s="1607">
        <f>'Expenditures 15-22'!K330</f>
        <v>457323</v>
      </c>
      <c r="K13" s="1618">
        <f>'Expenditures 15-22'!K352</f>
        <v>0</v>
      </c>
      <c r="L13" s="325"/>
    </row>
    <row r="14" spans="1:13" ht="15.75" customHeight="1" x14ac:dyDescent="0.2">
      <c r="A14" s="1314" t="s">
        <v>445</v>
      </c>
      <c r="B14" s="1316">
        <v>3000</v>
      </c>
      <c r="C14" s="1607">
        <f>'Expenditures 15-22'!K75</f>
        <v>11906</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118887</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2648149</v>
      </c>
      <c r="F16" s="1607">
        <f>'Expenditures 15-22'!K208</f>
        <v>16730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3838557</v>
      </c>
      <c r="D17" s="1594">
        <f t="shared" si="2"/>
        <v>505502</v>
      </c>
      <c r="E17" s="1594">
        <f t="shared" si="2"/>
        <v>2648149</v>
      </c>
      <c r="F17" s="1594">
        <f t="shared" si="2"/>
        <v>135544</v>
      </c>
      <c r="G17" s="1594">
        <f t="shared" si="2"/>
        <v>149321</v>
      </c>
      <c r="H17" s="1594">
        <f t="shared" si="2"/>
        <v>0</v>
      </c>
      <c r="I17" s="1575"/>
      <c r="J17" s="1594">
        <f>SUM(J12:J16)</f>
        <v>457323</v>
      </c>
      <c r="K17" s="1594">
        <f>SUM(K12:K16)</f>
        <v>0</v>
      </c>
      <c r="L17" s="325"/>
    </row>
    <row r="18" spans="1:12" ht="15" customHeight="1" thickTop="1" x14ac:dyDescent="0.2">
      <c r="A18" s="1430" t="s">
        <v>1634</v>
      </c>
      <c r="B18" s="1431">
        <v>4180</v>
      </c>
      <c r="C18" s="1606">
        <f t="shared" ref="C18:H18" si="3">C9</f>
        <v>2112112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5950669</v>
      </c>
      <c r="D19" s="1594">
        <f t="shared" si="4"/>
        <v>505502</v>
      </c>
      <c r="E19" s="1594">
        <f t="shared" si="4"/>
        <v>2648149</v>
      </c>
      <c r="F19" s="1594">
        <f t="shared" si="4"/>
        <v>135544</v>
      </c>
      <c r="G19" s="1594">
        <f t="shared" si="4"/>
        <v>149321</v>
      </c>
      <c r="H19" s="1594">
        <f t="shared" si="4"/>
        <v>0</v>
      </c>
      <c r="I19" s="1575"/>
      <c r="J19" s="1594">
        <f>SUM(J17:J18)</f>
        <v>457323</v>
      </c>
      <c r="K19" s="1594">
        <f>SUM(K17:K18)</f>
        <v>0</v>
      </c>
      <c r="L19" s="325"/>
    </row>
    <row r="20" spans="1:12" ht="16.5" thickTop="1" thickBot="1" x14ac:dyDescent="0.25">
      <c r="A20" s="2231" t="s">
        <v>1635</v>
      </c>
      <c r="B20" s="2232"/>
      <c r="C20" s="1622">
        <f>C8-C17</f>
        <v>688648</v>
      </c>
      <c r="D20" s="1622">
        <f t="shared" ref="D20:K20" si="5">D8-D17</f>
        <v>266236</v>
      </c>
      <c r="E20" s="1622">
        <f t="shared" si="5"/>
        <v>-15400</v>
      </c>
      <c r="F20" s="1622">
        <f t="shared" si="5"/>
        <v>54539</v>
      </c>
      <c r="G20" s="1622">
        <f t="shared" si="5"/>
        <v>5075</v>
      </c>
      <c r="H20" s="1622">
        <f t="shared" si="5"/>
        <v>0</v>
      </c>
      <c r="I20" s="1622">
        <f t="shared" si="5"/>
        <v>86027</v>
      </c>
      <c r="J20" s="1622">
        <f t="shared" si="5"/>
        <v>-68494</v>
      </c>
      <c r="K20" s="1622">
        <f t="shared" si="5"/>
        <v>0</v>
      </c>
      <c r="L20" s="325"/>
    </row>
    <row r="21" spans="1:12" ht="16.7" customHeight="1" thickTop="1" x14ac:dyDescent="0.2">
      <c r="A21" s="2243" t="s">
        <v>590</v>
      </c>
      <c r="B21" s="2244"/>
      <c r="C21" s="1602"/>
      <c r="D21" s="1603"/>
      <c r="E21" s="1603"/>
      <c r="F21" s="1603"/>
      <c r="G21" s="1603"/>
      <c r="H21" s="1603"/>
      <c r="I21" s="1603"/>
      <c r="J21" s="1603"/>
      <c r="K21" s="1615"/>
      <c r="L21" s="453"/>
    </row>
    <row r="22" spans="1:12" ht="15.75" customHeight="1" collapsed="1" x14ac:dyDescent="0.2">
      <c r="A22" s="2239" t="s">
        <v>591</v>
      </c>
      <c r="B22" s="2240"/>
      <c r="C22" s="1582"/>
      <c r="D22" s="1582"/>
      <c r="E22" s="1582"/>
      <c r="F22" s="1582"/>
      <c r="G22" s="1582"/>
      <c r="H22" s="1582"/>
      <c r="I22" s="1582"/>
      <c r="J22" s="1582"/>
      <c r="K22" s="1582"/>
      <c r="L22" s="325"/>
    </row>
    <row r="23" spans="1:12" s="433" customFormat="1" ht="15.75" customHeight="1" x14ac:dyDescent="0.2">
      <c r="A23" s="2235" t="s">
        <v>289</v>
      </c>
      <c r="B23" s="2236"/>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7" t="s">
        <v>973</v>
      </c>
      <c r="B32" s="2238"/>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v>4047</v>
      </c>
      <c r="F43" s="1574"/>
      <c r="G43" s="1574"/>
      <c r="H43" s="1574"/>
      <c r="I43" s="1574"/>
      <c r="J43" s="1574"/>
      <c r="K43" s="1574"/>
      <c r="L43" s="453"/>
    </row>
    <row r="44" spans="1:12" s="433" customFormat="1" ht="13.5" customHeight="1" thickBot="1" x14ac:dyDescent="0.25">
      <c r="A44" s="2245" t="s">
        <v>370</v>
      </c>
      <c r="B44" s="2246"/>
      <c r="C44" s="1624">
        <f>SUM(C24:C43)</f>
        <v>0</v>
      </c>
      <c r="D44" s="1624">
        <f t="shared" ref="D44:K44" si="6">SUM(D24:D43)</f>
        <v>0</v>
      </c>
      <c r="E44" s="1624">
        <f t="shared" si="6"/>
        <v>4047</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v>2811</v>
      </c>
      <c r="J75" s="1626"/>
      <c r="K75" s="1628"/>
      <c r="L75" s="453"/>
    </row>
    <row r="76" spans="1:12" s="433" customFormat="1" ht="14.25" thickTop="1" thickBot="1" x14ac:dyDescent="0.25">
      <c r="A76" s="2221" t="s">
        <v>436</v>
      </c>
      <c r="B76" s="2222"/>
      <c r="C76" s="1624">
        <f t="shared" ref="C76:K76" si="7">SUM(C47:C75)</f>
        <v>0</v>
      </c>
      <c r="D76" s="1624">
        <f t="shared" si="7"/>
        <v>0</v>
      </c>
      <c r="E76" s="1624">
        <f t="shared" si="7"/>
        <v>0</v>
      </c>
      <c r="F76" s="1624">
        <f t="shared" si="7"/>
        <v>0</v>
      </c>
      <c r="G76" s="1624">
        <f t="shared" si="7"/>
        <v>0</v>
      </c>
      <c r="H76" s="1624">
        <f t="shared" si="7"/>
        <v>0</v>
      </c>
      <c r="I76" s="1624">
        <f t="shared" si="7"/>
        <v>2811</v>
      </c>
      <c r="J76" s="1624">
        <f t="shared" si="7"/>
        <v>0</v>
      </c>
      <c r="K76" s="1624">
        <f t="shared" si="7"/>
        <v>0</v>
      </c>
      <c r="L76" s="453"/>
    </row>
    <row r="77" spans="1:12" ht="14.25" thickTop="1" thickBot="1" x14ac:dyDescent="0.25">
      <c r="A77" s="2223" t="s">
        <v>1166</v>
      </c>
      <c r="B77" s="2224"/>
      <c r="C77" s="1624">
        <f t="shared" ref="C77:K77" si="8">C44-C76</f>
        <v>0</v>
      </c>
      <c r="D77" s="1624">
        <f t="shared" si="8"/>
        <v>0</v>
      </c>
      <c r="E77" s="1624">
        <f t="shared" si="8"/>
        <v>4047</v>
      </c>
      <c r="F77" s="1624">
        <f t="shared" si="8"/>
        <v>0</v>
      </c>
      <c r="G77" s="1624">
        <f t="shared" si="8"/>
        <v>0</v>
      </c>
      <c r="H77" s="1624">
        <f t="shared" si="8"/>
        <v>0</v>
      </c>
      <c r="I77" s="1624">
        <f t="shared" si="8"/>
        <v>-2811</v>
      </c>
      <c r="J77" s="1624">
        <f t="shared" si="8"/>
        <v>0</v>
      </c>
      <c r="K77" s="1624">
        <f t="shared" si="8"/>
        <v>0</v>
      </c>
      <c r="L77" s="325"/>
    </row>
    <row r="78" spans="1:12" ht="21.75" customHeight="1" thickTop="1" thickBot="1" x14ac:dyDescent="0.25">
      <c r="A78" s="2227" t="s">
        <v>592</v>
      </c>
      <c r="B78" s="2228"/>
      <c r="C78" s="1629">
        <f t="shared" ref="C78:K78" si="9">C20+C77</f>
        <v>688648</v>
      </c>
      <c r="D78" s="1629">
        <f t="shared" si="9"/>
        <v>266236</v>
      </c>
      <c r="E78" s="1629">
        <f t="shared" si="9"/>
        <v>-11353</v>
      </c>
      <c r="F78" s="1629">
        <f t="shared" si="9"/>
        <v>54539</v>
      </c>
      <c r="G78" s="1629">
        <f t="shared" si="9"/>
        <v>5075</v>
      </c>
      <c r="H78" s="1629">
        <f t="shared" si="9"/>
        <v>0</v>
      </c>
      <c r="I78" s="1629">
        <f t="shared" si="9"/>
        <v>83216</v>
      </c>
      <c r="J78" s="1629">
        <f t="shared" si="9"/>
        <v>-68494</v>
      </c>
      <c r="K78" s="1629">
        <f t="shared" si="9"/>
        <v>0</v>
      </c>
      <c r="L78" s="457"/>
    </row>
    <row r="79" spans="1:12" ht="13.5" thickTop="1" x14ac:dyDescent="0.2">
      <c r="A79" s="1844" t="str">
        <f>"Fund Balances - July 1, "&amp;'AFR20'!E2-1</f>
        <v>Fund Balances - July 1, 2019</v>
      </c>
      <c r="B79" s="458"/>
      <c r="C79" s="1583">
        <v>1080672</v>
      </c>
      <c r="D79" s="1630">
        <v>673282</v>
      </c>
      <c r="E79" s="1630">
        <v>59335</v>
      </c>
      <c r="F79" s="1630">
        <v>70312</v>
      </c>
      <c r="G79" s="1630">
        <v>111875</v>
      </c>
      <c r="H79" s="1630"/>
      <c r="I79" s="1630">
        <v>1900769</v>
      </c>
      <c r="J79" s="1630">
        <v>113492</v>
      </c>
      <c r="K79" s="1630"/>
      <c r="L79" s="325"/>
    </row>
    <row r="80" spans="1:12" x14ac:dyDescent="0.2">
      <c r="A80" s="2233" t="s">
        <v>1771</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1769320</v>
      </c>
      <c r="D81" s="1594">
        <f>SUM(D78:D80)</f>
        <v>939518</v>
      </c>
      <c r="E81" s="1594">
        <f t="shared" ref="E81:K81" si="10">SUM(E78:E80)</f>
        <v>47982</v>
      </c>
      <c r="F81" s="1594">
        <f t="shared" si="10"/>
        <v>124851</v>
      </c>
      <c r="G81" s="1594">
        <f t="shared" si="10"/>
        <v>116950</v>
      </c>
      <c r="H81" s="1594">
        <f t="shared" si="10"/>
        <v>0</v>
      </c>
      <c r="I81" s="1594">
        <f t="shared" si="10"/>
        <v>1983985</v>
      </c>
      <c r="J81" s="1594">
        <f t="shared" si="10"/>
        <v>44998</v>
      </c>
      <c r="K81" s="1594">
        <f t="shared" si="10"/>
        <v>0</v>
      </c>
      <c r="L81" s="325"/>
    </row>
    <row r="82" spans="1:12" ht="0.75" customHeight="1" thickTop="1" thickBot="1" x14ac:dyDescent="0.25">
      <c r="A82" s="459" t="s">
        <v>339</v>
      </c>
      <c r="B82" s="460"/>
      <c r="C82" s="461">
        <f>(C81-C79)</f>
        <v>688648</v>
      </c>
      <c r="D82" s="461">
        <f t="shared" ref="D82:K82" si="11">(D81-D79)</f>
        <v>266236</v>
      </c>
      <c r="E82" s="461">
        <f t="shared" si="11"/>
        <v>-11353</v>
      </c>
      <c r="F82" s="461">
        <f t="shared" si="11"/>
        <v>54539</v>
      </c>
      <c r="G82" s="461">
        <f t="shared" si="11"/>
        <v>5075</v>
      </c>
      <c r="H82" s="461">
        <f t="shared" si="11"/>
        <v>0</v>
      </c>
      <c r="I82" s="461">
        <f t="shared" si="11"/>
        <v>83216</v>
      </c>
      <c r="J82" s="461">
        <f t="shared" si="11"/>
        <v>-68494</v>
      </c>
      <c r="K82" s="461">
        <f t="shared" si="11"/>
        <v>0</v>
      </c>
    </row>
    <row r="83" spans="1:12" ht="14.25" hidden="1" thickTop="1" thickBot="1" x14ac:dyDescent="0.25">
      <c r="A83" s="462" t="s">
        <v>340</v>
      </c>
      <c r="B83" s="428"/>
      <c r="C83" s="463">
        <f>C82/C81</f>
        <v>0.38921619605272084</v>
      </c>
      <c r="D83" s="463">
        <f t="shared" ref="D83:K83" si="12">D82/D81</f>
        <v>0.28337509233458008</v>
      </c>
      <c r="E83" s="463">
        <f t="shared" si="12"/>
        <v>-0.23660956191905297</v>
      </c>
      <c r="F83" s="463">
        <f t="shared" si="12"/>
        <v>0.43683270458386397</v>
      </c>
      <c r="G83" s="463">
        <f t="shared" si="12"/>
        <v>4.3394613082513897E-2</v>
      </c>
      <c r="H83" s="463" t="e">
        <f t="shared" si="12"/>
        <v>#DIV/0!</v>
      </c>
      <c r="I83" s="463">
        <f t="shared" si="12"/>
        <v>4.1943865503015397E-2</v>
      </c>
      <c r="J83" s="463">
        <f t="shared" si="12"/>
        <v>-1.5221565402906796</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5" activePane="bottomLeft" state="frozen"/>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421</v>
      </c>
      <c r="D1" s="417" t="s">
        <v>422</v>
      </c>
      <c r="E1" s="417" t="s">
        <v>423</v>
      </c>
      <c r="F1" s="417" t="s">
        <v>424</v>
      </c>
      <c r="G1" s="417" t="s">
        <v>425</v>
      </c>
      <c r="H1" s="417" t="s">
        <v>426</v>
      </c>
      <c r="I1" s="417" t="s">
        <v>427</v>
      </c>
      <c r="J1" s="417" t="s">
        <v>428</v>
      </c>
      <c r="K1" s="417" t="s">
        <v>750</v>
      </c>
    </row>
    <row r="2" spans="1:12" ht="36" x14ac:dyDescent="0.2">
      <c r="A2" s="223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2006436</v>
      </c>
      <c r="D5" s="1586">
        <v>311557</v>
      </c>
      <c r="E5" s="1573">
        <v>2630606</v>
      </c>
      <c r="F5" s="1631">
        <v>149548</v>
      </c>
      <c r="G5" s="1573">
        <v>59608</v>
      </c>
      <c r="H5" s="1573"/>
      <c r="I5" s="1573">
        <v>62310</v>
      </c>
      <c r="J5" s="1574">
        <v>387454</v>
      </c>
      <c r="K5" s="1573"/>
    </row>
    <row r="6" spans="1:12" ht="15" x14ac:dyDescent="0.2">
      <c r="A6" s="427" t="s">
        <v>1642</v>
      </c>
      <c r="B6" s="429">
        <v>1130</v>
      </c>
      <c r="C6" s="1573">
        <v>62310</v>
      </c>
      <c r="D6" s="1573"/>
      <c r="E6" s="1580"/>
      <c r="F6" s="1580"/>
      <c r="G6" s="1575"/>
      <c r="H6" s="1575"/>
      <c r="I6" s="1575"/>
      <c r="J6" s="1575"/>
      <c r="K6" s="1575"/>
    </row>
    <row r="7" spans="1:12" x14ac:dyDescent="0.2">
      <c r="A7" s="427" t="s">
        <v>110</v>
      </c>
      <c r="B7" s="471">
        <v>1140</v>
      </c>
      <c r="C7" s="1573">
        <v>24923</v>
      </c>
      <c r="D7" s="1573"/>
      <c r="E7" s="1575"/>
      <c r="F7" s="1574"/>
      <c r="G7" s="1574"/>
      <c r="H7" s="1574"/>
      <c r="I7" s="1575"/>
      <c r="J7" s="1575"/>
      <c r="K7" s="1575"/>
    </row>
    <row r="8" spans="1:12" x14ac:dyDescent="0.2">
      <c r="A8" s="427" t="s">
        <v>409</v>
      </c>
      <c r="B8" s="429">
        <v>1150</v>
      </c>
      <c r="C8" s="1580"/>
      <c r="D8" s="1580"/>
      <c r="E8" s="1582"/>
      <c r="F8" s="1582"/>
      <c r="G8" s="1586">
        <v>90413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2093669</v>
      </c>
      <c r="D12" s="1633">
        <f t="shared" si="0"/>
        <v>311557</v>
      </c>
      <c r="E12" s="1633">
        <f t="shared" si="0"/>
        <v>2630606</v>
      </c>
      <c r="F12" s="1633">
        <f t="shared" si="0"/>
        <v>149548</v>
      </c>
      <c r="G12" s="1633">
        <f t="shared" si="0"/>
        <v>150021</v>
      </c>
      <c r="H12" s="1633">
        <f t="shared" si="0"/>
        <v>0</v>
      </c>
      <c r="I12" s="1633">
        <f t="shared" si="0"/>
        <v>62310</v>
      </c>
      <c r="J12" s="1633">
        <f t="shared" si="0"/>
        <v>387454</v>
      </c>
      <c r="K12" s="1594">
        <f t="shared" si="0"/>
        <v>0</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144027</v>
      </c>
      <c r="D16" s="1573"/>
      <c r="E16" s="1573"/>
      <c r="F16" s="1573"/>
      <c r="G16" s="1573">
        <v>4000</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144027</v>
      </c>
      <c r="D18" s="1635">
        <f t="shared" ref="D18:K18" si="1">SUM(D14:D17)</f>
        <v>0</v>
      </c>
      <c r="E18" s="1635">
        <f t="shared" si="1"/>
        <v>0</v>
      </c>
      <c r="F18" s="1635">
        <f t="shared" si="1"/>
        <v>0</v>
      </c>
      <c r="G18" s="1635">
        <f t="shared" si="1"/>
        <v>4000</v>
      </c>
      <c r="H18" s="1635">
        <f t="shared" si="1"/>
        <v>0</v>
      </c>
      <c r="I18" s="1635">
        <f t="shared" si="1"/>
        <v>0</v>
      </c>
      <c r="J18" s="1635">
        <f t="shared" si="1"/>
        <v>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5848</v>
      </c>
      <c r="D65" s="1573">
        <v>3378</v>
      </c>
      <c r="E65" s="1573">
        <v>2143</v>
      </c>
      <c r="F65" s="1574">
        <v>308</v>
      </c>
      <c r="G65" s="1573">
        <v>375</v>
      </c>
      <c r="H65" s="1573"/>
      <c r="I65" s="1573">
        <v>23717</v>
      </c>
      <c r="J65" s="1574">
        <v>381</v>
      </c>
      <c r="K65" s="1573"/>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5848</v>
      </c>
      <c r="D67" s="1594">
        <f t="shared" ref="D67:K67" si="2">SUM(D65:D66)</f>
        <v>3378</v>
      </c>
      <c r="E67" s="1594">
        <f t="shared" si="2"/>
        <v>2143</v>
      </c>
      <c r="F67" s="1594">
        <f t="shared" si="2"/>
        <v>308</v>
      </c>
      <c r="G67" s="1594">
        <f t="shared" si="2"/>
        <v>375</v>
      </c>
      <c r="H67" s="1594">
        <f t="shared" si="2"/>
        <v>0</v>
      </c>
      <c r="I67" s="1594">
        <f t="shared" si="2"/>
        <v>23717</v>
      </c>
      <c r="J67" s="1594">
        <f t="shared" si="2"/>
        <v>381</v>
      </c>
      <c r="K67" s="1594">
        <f t="shared" si="2"/>
        <v>0</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97586</v>
      </c>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270</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543</v>
      </c>
      <c r="B75" s="1407"/>
      <c r="C75" s="1594">
        <f>SUM(C69:C74)</f>
        <v>97586</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36811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v>26462</v>
      </c>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63273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33250</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v>15355</v>
      </c>
      <c r="D92" s="1575"/>
      <c r="E92" s="1575"/>
      <c r="F92" s="1575"/>
      <c r="G92" s="1575"/>
      <c r="H92" s="1575"/>
      <c r="I92" s="1575"/>
      <c r="J92" s="1575"/>
      <c r="K92" s="1575"/>
    </row>
    <row r="93" spans="1:11" ht="12.75" customHeight="1" thickBot="1" x14ac:dyDescent="0.25">
      <c r="A93" s="1406" t="s">
        <v>241</v>
      </c>
      <c r="B93" s="1407"/>
      <c r="C93" s="1594">
        <f>SUM(C84:C92)</f>
        <v>48605</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c r="E95" s="1617"/>
      <c r="F95" s="1617"/>
      <c r="G95" s="1617"/>
      <c r="H95" s="1617"/>
      <c r="I95" s="1617"/>
      <c r="J95" s="1617"/>
      <c r="K95" s="1617"/>
    </row>
    <row r="96" spans="1:11" ht="12.75" customHeight="1" x14ac:dyDescent="0.2">
      <c r="A96" s="427" t="s">
        <v>387</v>
      </c>
      <c r="B96" s="429">
        <v>1920</v>
      </c>
      <c r="C96" s="1632">
        <v>6940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8932</v>
      </c>
      <c r="D98" s="1573"/>
      <c r="E98" s="1612"/>
      <c r="F98" s="1573"/>
      <c r="G98" s="1612"/>
      <c r="H98" s="1612"/>
      <c r="I98" s="1610"/>
      <c r="J98" s="1612"/>
      <c r="K98" s="1612"/>
    </row>
    <row r="99" spans="1:12" ht="12.75" customHeight="1" x14ac:dyDescent="0.2">
      <c r="A99" s="427" t="s">
        <v>815</v>
      </c>
      <c r="B99" s="429">
        <v>1950</v>
      </c>
      <c r="C99" s="1598">
        <v>966</v>
      </c>
      <c r="D99" s="1573"/>
      <c r="E99" s="1573"/>
      <c r="F99" s="1573"/>
      <c r="G99" s="1573"/>
      <c r="H99" s="1573"/>
      <c r="I99" s="1575"/>
      <c r="J99" s="1574"/>
      <c r="K99" s="1573"/>
    </row>
    <row r="100" spans="1:12" ht="12.75" customHeight="1" x14ac:dyDescent="0.2">
      <c r="A100" s="427" t="s">
        <v>243</v>
      </c>
      <c r="B100" s="429">
        <v>1960</v>
      </c>
      <c r="C100" s="1598">
        <v>172728</v>
      </c>
      <c r="D100" s="1598"/>
      <c r="E100" s="1598"/>
      <c r="F100" s="1598"/>
      <c r="G100" s="1598"/>
      <c r="H100" s="1598"/>
      <c r="I100" s="1574"/>
      <c r="J100" s="1598"/>
      <c r="K100" s="1574"/>
    </row>
    <row r="101" spans="1:12" ht="12.75" customHeight="1" x14ac:dyDescent="0.2">
      <c r="A101" s="427" t="s">
        <v>244</v>
      </c>
      <c r="B101" s="429">
        <v>1970</v>
      </c>
      <c r="C101" s="1598">
        <v>25823</v>
      </c>
      <c r="D101" s="1623"/>
      <c r="E101" s="1585"/>
      <c r="F101" s="1623"/>
      <c r="G101" s="1580"/>
      <c r="H101" s="1623"/>
      <c r="I101" s="1575"/>
      <c r="J101" s="1580"/>
      <c r="K101" s="1580"/>
    </row>
    <row r="102" spans="1:12" ht="12.75" customHeight="1" x14ac:dyDescent="0.2">
      <c r="A102" s="427" t="s">
        <v>245</v>
      </c>
      <c r="B102" s="429">
        <v>1980</v>
      </c>
      <c r="C102" s="1598">
        <v>1377</v>
      </c>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v>702</v>
      </c>
      <c r="D107" s="1573"/>
      <c r="E107" s="1573"/>
      <c r="F107" s="1573"/>
      <c r="G107" s="1573"/>
      <c r="H107" s="1573"/>
      <c r="I107" s="1573"/>
      <c r="J107" s="1574">
        <v>994</v>
      </c>
      <c r="K107" s="1573"/>
    </row>
    <row r="108" spans="1:12" ht="12.75" customHeight="1" thickBot="1" x14ac:dyDescent="0.25">
      <c r="A108" s="1406" t="s">
        <v>483</v>
      </c>
      <c r="B108" s="1408"/>
      <c r="C108" s="1633">
        <f>SUM(C95:C107)</f>
        <v>217468</v>
      </c>
      <c r="D108" s="1633">
        <f t="shared" ref="D108:K108" si="3">SUM(D95:D107)</f>
        <v>0</v>
      </c>
      <c r="E108" s="1633">
        <f t="shared" si="3"/>
        <v>0</v>
      </c>
      <c r="F108" s="1633">
        <f t="shared" si="3"/>
        <v>0</v>
      </c>
      <c r="G108" s="1633">
        <f t="shared" si="3"/>
        <v>0</v>
      </c>
      <c r="H108" s="1633">
        <f t="shared" si="3"/>
        <v>0</v>
      </c>
      <c r="I108" s="1633">
        <f t="shared" si="3"/>
        <v>0</v>
      </c>
      <c r="J108" s="1633">
        <f t="shared" si="3"/>
        <v>994</v>
      </c>
      <c r="K108" s="1594">
        <f t="shared" si="3"/>
        <v>0</v>
      </c>
    </row>
    <row r="109" spans="1:12" ht="14.25" thickTop="1" thickBot="1" x14ac:dyDescent="0.25">
      <c r="A109" s="1409" t="s">
        <v>246</v>
      </c>
      <c r="B109" s="1410" t="s">
        <v>565</v>
      </c>
      <c r="C109" s="1641">
        <f t="shared" ref="C109:K109" si="4">SUM(C12,C18,C40,C63,C67,C75,C82,C93,C108,)</f>
        <v>2670476</v>
      </c>
      <c r="D109" s="1641">
        <f t="shared" si="4"/>
        <v>314935</v>
      </c>
      <c r="E109" s="1641">
        <f t="shared" si="4"/>
        <v>2632749</v>
      </c>
      <c r="F109" s="1641">
        <f t="shared" si="4"/>
        <v>149856</v>
      </c>
      <c r="G109" s="1641">
        <f t="shared" si="4"/>
        <v>154396</v>
      </c>
      <c r="H109" s="1641">
        <f t="shared" si="4"/>
        <v>0</v>
      </c>
      <c r="I109" s="1641">
        <f t="shared" si="4"/>
        <v>86027</v>
      </c>
      <c r="J109" s="1641">
        <f t="shared" si="4"/>
        <v>388829</v>
      </c>
      <c r="K109" s="1629">
        <f t="shared" si="4"/>
        <v>0</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1478327</v>
      </c>
      <c r="D117" s="1586">
        <v>450000</v>
      </c>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1478327</v>
      </c>
      <c r="D122" s="1633">
        <f t="shared" si="5"/>
        <v>450000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9177</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9177</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v>13745</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13745</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1177</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17171</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17899</v>
      </c>
      <c r="G152" s="1574"/>
      <c r="H152" s="1575"/>
      <c r="I152" s="1575"/>
      <c r="J152" s="1575"/>
      <c r="K152" s="1575"/>
    </row>
    <row r="153" spans="1:11" ht="12.75" customHeight="1" x14ac:dyDescent="0.2">
      <c r="A153" s="427" t="s">
        <v>1047</v>
      </c>
      <c r="B153" s="478">
        <v>3510</v>
      </c>
      <c r="C153" s="1632"/>
      <c r="D153" s="1573"/>
      <c r="E153" s="1640"/>
      <c r="F153" s="1573">
        <v>22328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40227</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394</v>
      </c>
      <c r="B169" s="2250"/>
      <c r="C169" s="1658">
        <f t="shared" ref="C169:K169" si="6">SUM(C132,C141,C145,C146:C150,C155,C156:C167,C168)</f>
        <v>41270</v>
      </c>
      <c r="D169" s="1658">
        <f t="shared" si="6"/>
        <v>0</v>
      </c>
      <c r="E169" s="1658">
        <f t="shared" si="6"/>
        <v>0</v>
      </c>
      <c r="F169" s="1658">
        <f t="shared" si="6"/>
        <v>40227</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1519597</v>
      </c>
      <c r="D170" s="1641">
        <f t="shared" si="7"/>
        <v>450000</v>
      </c>
      <c r="E170" s="1641">
        <f t="shared" si="7"/>
        <v>0</v>
      </c>
      <c r="F170" s="1641">
        <f t="shared" si="7"/>
        <v>40227</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1" t="s">
        <v>1474</v>
      </c>
      <c r="B172" s="2252"/>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5" t="s">
        <v>1645</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1644</v>
      </c>
      <c r="B176" s="2260"/>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v>6803</v>
      </c>
      <c r="E180" s="1575"/>
      <c r="F180" s="1573"/>
      <c r="G180" s="1573"/>
      <c r="H180" s="1573"/>
      <c r="I180" s="1575"/>
      <c r="J180" s="1575"/>
      <c r="K180" s="1573"/>
    </row>
    <row r="181" spans="1:11" ht="13.5" thickBot="1" x14ac:dyDescent="0.25">
      <c r="A181" s="2257" t="s">
        <v>779</v>
      </c>
      <c r="B181" s="2258"/>
      <c r="C181" s="1633">
        <f>SUM(C177:C180)</f>
        <v>0</v>
      </c>
      <c r="D181" s="1633">
        <f>SUM(D177:D180)</f>
        <v>6803</v>
      </c>
      <c r="E181" s="1575"/>
      <c r="F181" s="1633">
        <f>SUM(F177:F180)</f>
        <v>0</v>
      </c>
      <c r="G181" s="1633">
        <f>SUM(G177:G180)</f>
        <v>0</v>
      </c>
      <c r="H181" s="1633">
        <f>SUM(H177:H180)</f>
        <v>0</v>
      </c>
      <c r="I181" s="1575"/>
      <c r="J181" s="1575"/>
      <c r="K181" s="1594">
        <f>SUM(K177:K180)</f>
        <v>0</v>
      </c>
    </row>
    <row r="182" spans="1:11" ht="22.5" customHeight="1" thickTop="1" x14ac:dyDescent="0.2">
      <c r="A182" s="2253" t="s">
        <v>1779</v>
      </c>
      <c r="B182" s="2254"/>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82235</v>
      </c>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v>13413</v>
      </c>
      <c r="D193" s="1575"/>
      <c r="E193" s="1640"/>
      <c r="F193" s="1575"/>
      <c r="G193" s="1664"/>
      <c r="H193" s="1575"/>
      <c r="I193" s="1575"/>
      <c r="J193" s="1575"/>
      <c r="K193" s="1575"/>
    </row>
    <row r="194" spans="1:11" ht="12.75" customHeight="1" x14ac:dyDescent="0.2">
      <c r="A194" s="427" t="s">
        <v>1433</v>
      </c>
      <c r="B194" s="429">
        <v>4225</v>
      </c>
      <c r="C194" s="1632">
        <v>30627</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126275</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120856</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120856</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10000</v>
      </c>
      <c r="D206" s="1573"/>
      <c r="E206" s="1575"/>
      <c r="F206" s="1573"/>
      <c r="G206" s="1573"/>
      <c r="H206" s="1575"/>
      <c r="I206" s="1575"/>
      <c r="J206" s="1575"/>
      <c r="K206" s="1575"/>
    </row>
    <row r="207" spans="1:11" ht="12.75" customHeight="1" x14ac:dyDescent="0.2">
      <c r="A207" s="427" t="s">
        <v>1435</v>
      </c>
      <c r="B207" s="429">
        <v>4421</v>
      </c>
      <c r="C207" s="1632">
        <v>16021</v>
      </c>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26021</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v>12893</v>
      </c>
      <c r="D213" s="1573"/>
      <c r="E213" s="1575"/>
      <c r="F213" s="1573"/>
      <c r="G213" s="1573"/>
      <c r="H213" s="1575"/>
      <c r="I213" s="1575"/>
      <c r="J213" s="1575"/>
      <c r="K213" s="1575"/>
    </row>
    <row r="214" spans="1:11" ht="12.75" customHeight="1" x14ac:dyDescent="0.2">
      <c r="A214" s="427" t="s">
        <v>1044</v>
      </c>
      <c r="B214" s="429">
        <v>4625</v>
      </c>
      <c r="C214" s="1632"/>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12893</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9348</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6657</v>
      </c>
      <c r="D263" s="1651"/>
      <c r="E263" s="1575"/>
      <c r="F263" s="1651"/>
      <c r="G263" s="1651"/>
      <c r="H263" s="1575"/>
      <c r="I263" s="1575"/>
      <c r="J263" s="1575"/>
      <c r="K263" s="1575"/>
    </row>
    <row r="264" spans="1:11" ht="12.75" customHeight="1" thickTop="1" thickBot="1" x14ac:dyDescent="0.25">
      <c r="A264" s="427" t="s">
        <v>373</v>
      </c>
      <c r="B264" s="429">
        <v>4992</v>
      </c>
      <c r="C264" s="1650">
        <v>35082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337132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337132</v>
      </c>
      <c r="D267" s="1641">
        <f>SUM(D175,D181,D266)</f>
        <v>6803</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4527205</v>
      </c>
      <c r="D268" s="1641">
        <f t="shared" si="12"/>
        <v>771738</v>
      </c>
      <c r="E268" s="1641">
        <f t="shared" si="12"/>
        <v>2632749</v>
      </c>
      <c r="F268" s="1641">
        <f t="shared" si="12"/>
        <v>190083</v>
      </c>
      <c r="G268" s="1641">
        <f t="shared" si="12"/>
        <v>154396</v>
      </c>
      <c r="H268" s="1641">
        <f t="shared" si="12"/>
        <v>0</v>
      </c>
      <c r="I268" s="1641">
        <f t="shared" si="12"/>
        <v>86027</v>
      </c>
      <c r="J268" s="1641">
        <f t="shared" si="12"/>
        <v>388829</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167" activePane="bottomLeft" state="frozen"/>
      <selection pane="bottomLeft" activeCell="C180" sqref="C18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1"/>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7" t="s">
        <v>293</v>
      </c>
      <c r="B3" s="2268"/>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1082904</v>
      </c>
      <c r="D5" s="1573">
        <v>327237</v>
      </c>
      <c r="E5" s="1573">
        <v>29621</v>
      </c>
      <c r="F5" s="1573">
        <v>20287</v>
      </c>
      <c r="G5" s="1573"/>
      <c r="H5" s="1573"/>
      <c r="I5" s="1574"/>
      <c r="J5" s="1574"/>
      <c r="K5" s="1672">
        <f>SUM(C5:J5)</f>
        <v>1460049</v>
      </c>
      <c r="L5" s="1573">
        <v>1560613</v>
      </c>
    </row>
    <row r="6" spans="1:14" x14ac:dyDescent="0.2">
      <c r="A6" s="1274" t="s">
        <v>1415</v>
      </c>
      <c r="B6" s="503" t="s">
        <v>1413</v>
      </c>
      <c r="C6" s="1582"/>
      <c r="D6" s="1582"/>
      <c r="E6" s="1573"/>
      <c r="F6" s="1582"/>
      <c r="G6" s="1582"/>
      <c r="H6" s="1582"/>
      <c r="I6" s="1582"/>
      <c r="J6" s="1582"/>
      <c r="K6" s="1672">
        <f>SUM(C6,E6)</f>
        <v>0</v>
      </c>
      <c r="L6" s="1573"/>
    </row>
    <row r="7" spans="1:14" x14ac:dyDescent="0.2">
      <c r="A7" s="1274" t="s">
        <v>162</v>
      </c>
      <c r="B7" s="503" t="s">
        <v>960</v>
      </c>
      <c r="C7" s="1574"/>
      <c r="D7" s="1574"/>
      <c r="E7" s="1574"/>
      <c r="F7" s="1574"/>
      <c r="G7" s="1574"/>
      <c r="H7" s="1574"/>
      <c r="I7" s="1574"/>
      <c r="J7" s="1574"/>
      <c r="K7" s="1672">
        <f t="shared" ref="K7:K32" si="0">SUM(C7:J7)</f>
        <v>0</v>
      </c>
      <c r="L7" s="1573"/>
    </row>
    <row r="8" spans="1:14" x14ac:dyDescent="0.2">
      <c r="A8" s="1274" t="s">
        <v>163</v>
      </c>
      <c r="B8" s="503">
        <v>1200</v>
      </c>
      <c r="C8" s="1573">
        <v>396887</v>
      </c>
      <c r="D8" s="1573">
        <v>141399</v>
      </c>
      <c r="E8" s="1573">
        <v>623</v>
      </c>
      <c r="F8" s="1573">
        <v>3676</v>
      </c>
      <c r="G8" s="1573"/>
      <c r="H8" s="1573"/>
      <c r="I8" s="1574"/>
      <c r="J8" s="1574"/>
      <c r="K8" s="1672">
        <f t="shared" si="0"/>
        <v>542585</v>
      </c>
      <c r="L8" s="1573">
        <v>555903</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v>100485</v>
      </c>
      <c r="D10" s="1573">
        <v>19606</v>
      </c>
      <c r="E10" s="1573">
        <v>2102</v>
      </c>
      <c r="F10" s="1573">
        <v>18821</v>
      </c>
      <c r="G10" s="1573"/>
      <c r="H10" s="1573"/>
      <c r="I10" s="1574"/>
      <c r="J10" s="1574"/>
      <c r="K10" s="1672">
        <f t="shared" si="0"/>
        <v>141014</v>
      </c>
      <c r="L10" s="1573">
        <v>95638</v>
      </c>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v>221921</v>
      </c>
      <c r="D13" s="1573">
        <v>48122</v>
      </c>
      <c r="E13" s="1573"/>
      <c r="F13" s="1573">
        <v>12581</v>
      </c>
      <c r="G13" s="1573"/>
      <c r="H13" s="1573"/>
      <c r="I13" s="1574"/>
      <c r="J13" s="1574"/>
      <c r="K13" s="1672">
        <f t="shared" si="0"/>
        <v>282624</v>
      </c>
      <c r="L13" s="1573">
        <v>291043</v>
      </c>
    </row>
    <row r="14" spans="1:14" x14ac:dyDescent="0.2">
      <c r="A14" s="1274" t="s">
        <v>956</v>
      </c>
      <c r="B14" s="503">
        <v>1500</v>
      </c>
      <c r="C14" s="1573">
        <v>182929</v>
      </c>
      <c r="D14" s="1573">
        <v>22580</v>
      </c>
      <c r="E14" s="1573">
        <v>22714</v>
      </c>
      <c r="F14" s="1573">
        <v>7449</v>
      </c>
      <c r="G14" s="1573"/>
      <c r="H14" s="1573">
        <f>-150+17152</f>
        <v>17002</v>
      </c>
      <c r="I14" s="1574"/>
      <c r="J14" s="1574"/>
      <c r="K14" s="1672">
        <f t="shared" si="0"/>
        <v>252674</v>
      </c>
      <c r="L14" s="1573">
        <v>262613</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v>78186</v>
      </c>
      <c r="D17" s="1574">
        <v>22272</v>
      </c>
      <c r="E17" s="1574"/>
      <c r="F17" s="1574">
        <v>1230</v>
      </c>
      <c r="G17" s="1574"/>
      <c r="H17" s="1574"/>
      <c r="I17" s="1574"/>
      <c r="J17" s="1574"/>
      <c r="K17" s="1672">
        <f t="shared" si="0"/>
        <v>101688</v>
      </c>
      <c r="L17" s="1573">
        <v>98910</v>
      </c>
    </row>
    <row r="18" spans="1:12" x14ac:dyDescent="0.2">
      <c r="A18" s="1274" t="s">
        <v>1077</v>
      </c>
      <c r="B18" s="503">
        <v>1800</v>
      </c>
      <c r="C18" s="1573"/>
      <c r="D18" s="1573"/>
      <c r="E18" s="1573">
        <v>192</v>
      </c>
      <c r="F18" s="1573"/>
      <c r="G18" s="1573"/>
      <c r="H18" s="1573"/>
      <c r="I18" s="1574"/>
      <c r="J18" s="1574"/>
      <c r="K18" s="1672">
        <f t="shared" si="0"/>
        <v>192</v>
      </c>
      <c r="L18" s="1573">
        <v>250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v>16862</v>
      </c>
      <c r="I22" s="1673"/>
      <c r="J22" s="1582"/>
      <c r="K22" s="1672">
        <f t="shared" si="0"/>
        <v>16862</v>
      </c>
      <c r="L22" s="1577">
        <v>23400</v>
      </c>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1648</v>
      </c>
      <c r="B33" s="1381" t="s">
        <v>565</v>
      </c>
      <c r="C33" s="1674">
        <f>SUM(C5:C32)</f>
        <v>2063312</v>
      </c>
      <c r="D33" s="1674">
        <f t="shared" ref="D33:L33" si="1">SUM(D5:D32)</f>
        <v>581216</v>
      </c>
      <c r="E33" s="1674">
        <f t="shared" si="1"/>
        <v>55252</v>
      </c>
      <c r="F33" s="1674">
        <f t="shared" si="1"/>
        <v>64044</v>
      </c>
      <c r="G33" s="1674">
        <f t="shared" si="1"/>
        <v>0</v>
      </c>
      <c r="H33" s="1674">
        <f t="shared" si="1"/>
        <v>33864</v>
      </c>
      <c r="I33" s="1674">
        <f t="shared" si="1"/>
        <v>0</v>
      </c>
      <c r="J33" s="1674">
        <f t="shared" si="1"/>
        <v>0</v>
      </c>
      <c r="K33" s="1674">
        <f t="shared" si="1"/>
        <v>2797688</v>
      </c>
      <c r="L33" s="1674">
        <f t="shared" si="1"/>
        <v>2888370</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c r="D36" s="1586"/>
      <c r="E36" s="1586"/>
      <c r="F36" s="1586"/>
      <c r="G36" s="1586"/>
      <c r="H36" s="1586"/>
      <c r="I36" s="1574"/>
      <c r="J36" s="1574"/>
      <c r="K36" s="1672">
        <f t="shared" ref="K36:K41" si="2">SUM(C36:J36)</f>
        <v>0</v>
      </c>
      <c r="L36" s="1573"/>
    </row>
    <row r="37" spans="1:14" x14ac:dyDescent="0.2">
      <c r="A37" s="1274" t="s">
        <v>1080</v>
      </c>
      <c r="B37" s="503">
        <v>2120</v>
      </c>
      <c r="C37" s="1573">
        <v>171034</v>
      </c>
      <c r="D37" s="1573">
        <v>40672</v>
      </c>
      <c r="E37" s="1573">
        <v>163</v>
      </c>
      <c r="F37" s="1573">
        <v>3733</v>
      </c>
      <c r="G37" s="1573"/>
      <c r="H37" s="1573"/>
      <c r="I37" s="1574"/>
      <c r="J37" s="1574"/>
      <c r="K37" s="1672">
        <f t="shared" si="2"/>
        <v>215602</v>
      </c>
      <c r="L37" s="1573">
        <v>216232</v>
      </c>
    </row>
    <row r="38" spans="1:14" x14ac:dyDescent="0.2">
      <c r="A38" s="1274" t="s">
        <v>196</v>
      </c>
      <c r="B38" s="503">
        <v>2130</v>
      </c>
      <c r="C38" s="1573">
        <v>23293</v>
      </c>
      <c r="D38" s="1573">
        <v>35</v>
      </c>
      <c r="E38" s="1573"/>
      <c r="F38" s="1573">
        <v>526</v>
      </c>
      <c r="G38" s="1573"/>
      <c r="H38" s="1573"/>
      <c r="I38" s="1574"/>
      <c r="J38" s="1574"/>
      <c r="K38" s="1672">
        <f t="shared" si="2"/>
        <v>23854</v>
      </c>
      <c r="L38" s="1573">
        <v>24480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10351</v>
      </c>
      <c r="F40" s="1573"/>
      <c r="G40" s="1573"/>
      <c r="H40" s="1573"/>
      <c r="I40" s="1574"/>
      <c r="J40" s="1574"/>
      <c r="K40" s="1672">
        <f t="shared" si="2"/>
        <v>10351</v>
      </c>
      <c r="L40" s="1573">
        <v>15000</v>
      </c>
    </row>
    <row r="41" spans="1:14" x14ac:dyDescent="0.2">
      <c r="A41" s="1274" t="s">
        <v>1649</v>
      </c>
      <c r="B41" s="503">
        <v>2190</v>
      </c>
      <c r="C41" s="1573"/>
      <c r="D41" s="1573"/>
      <c r="E41" s="1573"/>
      <c r="F41" s="1573"/>
      <c r="G41" s="1573"/>
      <c r="H41" s="1573"/>
      <c r="I41" s="1574"/>
      <c r="J41" s="1574"/>
      <c r="K41" s="1672">
        <f t="shared" si="2"/>
        <v>0</v>
      </c>
      <c r="L41" s="1573"/>
    </row>
    <row r="42" spans="1:14" ht="12.75" customHeight="1" thickBot="1" x14ac:dyDescent="0.25">
      <c r="A42" s="1380" t="s">
        <v>555</v>
      </c>
      <c r="B42" s="1381" t="s">
        <v>710</v>
      </c>
      <c r="C42" s="1674">
        <f>SUM(C36:C41)</f>
        <v>194327</v>
      </c>
      <c r="D42" s="1674">
        <f t="shared" ref="D42:L42" si="3">SUM(D36:D41)</f>
        <v>40707</v>
      </c>
      <c r="E42" s="1674">
        <f t="shared" si="3"/>
        <v>10514</v>
      </c>
      <c r="F42" s="1674">
        <f t="shared" si="3"/>
        <v>4259</v>
      </c>
      <c r="G42" s="1674">
        <f t="shared" si="3"/>
        <v>0</v>
      </c>
      <c r="H42" s="1674">
        <f t="shared" si="3"/>
        <v>0</v>
      </c>
      <c r="I42" s="1674">
        <f t="shared" si="3"/>
        <v>0</v>
      </c>
      <c r="J42" s="1674">
        <f t="shared" si="3"/>
        <v>0</v>
      </c>
      <c r="K42" s="1674">
        <f t="shared" si="3"/>
        <v>249807</v>
      </c>
      <c r="L42" s="1674">
        <f t="shared" si="3"/>
        <v>255712</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c r="D44" s="1586"/>
      <c r="E44" s="1586">
        <v>7998</v>
      </c>
      <c r="F44" s="1586"/>
      <c r="G44" s="1586"/>
      <c r="H44" s="1586"/>
      <c r="I44" s="1574"/>
      <c r="J44" s="1574"/>
      <c r="K44" s="1678">
        <f>SUM(C44:J44)</f>
        <v>7998</v>
      </c>
      <c r="L44" s="1586">
        <v>13561</v>
      </c>
    </row>
    <row r="45" spans="1:14" x14ac:dyDescent="0.2">
      <c r="A45" s="1274" t="s">
        <v>809</v>
      </c>
      <c r="B45" s="503">
        <v>2220</v>
      </c>
      <c r="C45" s="1573">
        <v>36461</v>
      </c>
      <c r="D45" s="1573">
        <v>8402</v>
      </c>
      <c r="E45" s="1573">
        <v>8153</v>
      </c>
      <c r="F45" s="1573">
        <v>22653</v>
      </c>
      <c r="G45" s="1573"/>
      <c r="H45" s="1573"/>
      <c r="I45" s="1574"/>
      <c r="J45" s="1574"/>
      <c r="K45" s="1678">
        <f>SUM(C45:J45)</f>
        <v>75669</v>
      </c>
      <c r="L45" s="1573">
        <v>99161</v>
      </c>
    </row>
    <row r="46" spans="1:14" x14ac:dyDescent="0.2">
      <c r="A46" s="1274" t="s">
        <v>810</v>
      </c>
      <c r="B46" s="503">
        <v>2230</v>
      </c>
      <c r="C46" s="1573"/>
      <c r="D46" s="1573"/>
      <c r="E46" s="1573">
        <v>350</v>
      </c>
      <c r="F46" s="1573"/>
      <c r="G46" s="1573"/>
      <c r="H46" s="1573"/>
      <c r="I46" s="1574"/>
      <c r="J46" s="1574"/>
      <c r="K46" s="1678">
        <f>SUM(C46:J46)</f>
        <v>350</v>
      </c>
      <c r="L46" s="1573"/>
    </row>
    <row r="47" spans="1:14" ht="12.75" customHeight="1" thickBot="1" x14ac:dyDescent="0.25">
      <c r="A47" s="1380" t="s">
        <v>556</v>
      </c>
      <c r="B47" s="1381" t="s">
        <v>32</v>
      </c>
      <c r="C47" s="1674">
        <f>SUM(C44:C46)</f>
        <v>36461</v>
      </c>
      <c r="D47" s="1674">
        <f t="shared" ref="D47:K47" si="4">SUM(D44:D46)</f>
        <v>8402</v>
      </c>
      <c r="E47" s="1674">
        <f t="shared" si="4"/>
        <v>16501</v>
      </c>
      <c r="F47" s="1674">
        <f t="shared" si="4"/>
        <v>22653</v>
      </c>
      <c r="G47" s="1674">
        <f t="shared" si="4"/>
        <v>0</v>
      </c>
      <c r="H47" s="1674">
        <f t="shared" si="4"/>
        <v>0</v>
      </c>
      <c r="I47" s="1674">
        <f t="shared" si="4"/>
        <v>0</v>
      </c>
      <c r="J47" s="1674">
        <f t="shared" si="4"/>
        <v>0</v>
      </c>
      <c r="K47" s="1674">
        <f t="shared" si="4"/>
        <v>84017</v>
      </c>
      <c r="L47" s="1674">
        <f>SUM(L44:L46)</f>
        <v>112722</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f>783+2428</f>
        <v>3211</v>
      </c>
      <c r="D49" s="1586"/>
      <c r="E49" s="1586">
        <f>7214+11200+3145</f>
        <v>21559</v>
      </c>
      <c r="F49" s="1586">
        <v>226</v>
      </c>
      <c r="G49" s="1586"/>
      <c r="H49" s="1586">
        <v>8168</v>
      </c>
      <c r="I49" s="1574"/>
      <c r="J49" s="1574"/>
      <c r="K49" s="1678">
        <f>SUM(C49:J49)</f>
        <v>33164</v>
      </c>
      <c r="L49" s="1586">
        <v>43461</v>
      </c>
    </row>
    <row r="50" spans="1:14" x14ac:dyDescent="0.2">
      <c r="A50" s="1274" t="s">
        <v>812</v>
      </c>
      <c r="B50" s="503">
        <v>2320</v>
      </c>
      <c r="C50" s="1573">
        <f>62651+6432</f>
        <v>69083</v>
      </c>
      <c r="D50" s="1573">
        <v>38555</v>
      </c>
      <c r="E50" s="1573">
        <v>381</v>
      </c>
      <c r="F50" s="1573">
        <v>12</v>
      </c>
      <c r="G50" s="1573"/>
      <c r="H50" s="1573">
        <v>75</v>
      </c>
      <c r="I50" s="1574"/>
      <c r="J50" s="1574"/>
      <c r="K50" s="1678">
        <f>SUM(C50:J50)</f>
        <v>108106</v>
      </c>
      <c r="L50" s="1573">
        <v>113765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72294</v>
      </c>
      <c r="D53" s="1674">
        <f t="shared" ref="D53:L53" si="5">SUM(D49:D52)</f>
        <v>38555</v>
      </c>
      <c r="E53" s="1674">
        <f t="shared" si="5"/>
        <v>21940</v>
      </c>
      <c r="F53" s="1674">
        <f t="shared" si="5"/>
        <v>238</v>
      </c>
      <c r="G53" s="1674">
        <f t="shared" si="5"/>
        <v>0</v>
      </c>
      <c r="H53" s="1674">
        <f t="shared" si="5"/>
        <v>8243</v>
      </c>
      <c r="I53" s="1674">
        <f t="shared" si="5"/>
        <v>0</v>
      </c>
      <c r="J53" s="1674">
        <f t="shared" si="5"/>
        <v>0</v>
      </c>
      <c r="K53" s="1674">
        <f t="shared" si="5"/>
        <v>141270</v>
      </c>
      <c r="L53" s="1674">
        <f t="shared" si="5"/>
        <v>157226</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f>92807+37213</f>
        <v>130020</v>
      </c>
      <c r="D55" s="1586">
        <v>72685</v>
      </c>
      <c r="E55" s="1586">
        <v>502</v>
      </c>
      <c r="F55" s="1586"/>
      <c r="G55" s="1586"/>
      <c r="H55" s="1586">
        <f>2632+710</f>
        <v>3342</v>
      </c>
      <c r="I55" s="1574"/>
      <c r="J55" s="1574"/>
      <c r="K55" s="1678">
        <f>SUM(C55:J55)</f>
        <v>206549</v>
      </c>
      <c r="L55" s="1586">
        <v>203585</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130020</v>
      </c>
      <c r="D57" s="1679">
        <f t="shared" ref="D57:K57" si="6">SUM(D55:D56)</f>
        <v>72685</v>
      </c>
      <c r="E57" s="1679">
        <f t="shared" si="6"/>
        <v>502</v>
      </c>
      <c r="F57" s="1679">
        <f t="shared" si="6"/>
        <v>0</v>
      </c>
      <c r="G57" s="1679">
        <f t="shared" si="6"/>
        <v>0</v>
      </c>
      <c r="H57" s="1679">
        <f t="shared" si="6"/>
        <v>3342</v>
      </c>
      <c r="I57" s="1679">
        <f t="shared" si="6"/>
        <v>0</v>
      </c>
      <c r="J57" s="1679">
        <f t="shared" si="6"/>
        <v>0</v>
      </c>
      <c r="K57" s="1679">
        <f t="shared" si="6"/>
        <v>206549</v>
      </c>
      <c r="L57" s="1674">
        <f>SUM(L55:L56)</f>
        <v>203585</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459</v>
      </c>
      <c r="B60" s="503">
        <v>2520</v>
      </c>
      <c r="C60" s="1573">
        <v>40612</v>
      </c>
      <c r="D60" s="1573">
        <v>8402</v>
      </c>
      <c r="E60" s="1573">
        <v>7874</v>
      </c>
      <c r="F60" s="1573">
        <v>449</v>
      </c>
      <c r="G60" s="1573"/>
      <c r="H60" s="1573"/>
      <c r="I60" s="1574"/>
      <c r="J60" s="1574"/>
      <c r="K60" s="1678">
        <f t="shared" si="7"/>
        <v>57337</v>
      </c>
      <c r="L60" s="1573">
        <v>62070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54487</v>
      </c>
      <c r="D63" s="1573">
        <v>18323</v>
      </c>
      <c r="E63" s="1573">
        <v>155</v>
      </c>
      <c r="F63" s="1573">
        <v>97526</v>
      </c>
      <c r="G63" s="1573"/>
      <c r="H63" s="1573"/>
      <c r="I63" s="1574"/>
      <c r="J63" s="1574"/>
      <c r="K63" s="1678">
        <f t="shared" si="7"/>
        <v>170491</v>
      </c>
      <c r="L63" s="1573">
        <v>196411</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95099</v>
      </c>
      <c r="D65" s="1674">
        <f t="shared" ref="D65:L65" si="8">SUM(D59:D64)</f>
        <v>26725</v>
      </c>
      <c r="E65" s="1674">
        <f t="shared" si="8"/>
        <v>8029</v>
      </c>
      <c r="F65" s="1674">
        <f t="shared" si="8"/>
        <v>97975</v>
      </c>
      <c r="G65" s="1674">
        <f t="shared" si="8"/>
        <v>0</v>
      </c>
      <c r="H65" s="1674">
        <f t="shared" si="8"/>
        <v>0</v>
      </c>
      <c r="I65" s="1674">
        <f t="shared" si="8"/>
        <v>0</v>
      </c>
      <c r="J65" s="1674">
        <f t="shared" si="8"/>
        <v>0</v>
      </c>
      <c r="K65" s="1674">
        <f t="shared" si="8"/>
        <v>227828</v>
      </c>
      <c r="L65" s="1674">
        <f t="shared" si="8"/>
        <v>258481</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c r="D69" s="1573"/>
      <c r="E69" s="1573">
        <v>605</v>
      </c>
      <c r="F69" s="1573"/>
      <c r="G69" s="1573"/>
      <c r="H69" s="1573"/>
      <c r="I69" s="1574"/>
      <c r="J69" s="1574"/>
      <c r="K69" s="1678">
        <f>SUM(C69:J69)</f>
        <v>605</v>
      </c>
      <c r="L69" s="1573">
        <v>1500</v>
      </c>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605</v>
      </c>
      <c r="F72" s="1674">
        <f t="shared" si="9"/>
        <v>0</v>
      </c>
      <c r="G72" s="1674">
        <f t="shared" si="9"/>
        <v>0</v>
      </c>
      <c r="H72" s="1674">
        <f t="shared" si="9"/>
        <v>0</v>
      </c>
      <c r="I72" s="1674">
        <f t="shared" si="9"/>
        <v>0</v>
      </c>
      <c r="J72" s="1674">
        <f t="shared" si="9"/>
        <v>0</v>
      </c>
      <c r="K72" s="1674">
        <f t="shared" si="9"/>
        <v>605</v>
      </c>
      <c r="L72" s="1674">
        <f>SUM(L67:L71)</f>
        <v>1500</v>
      </c>
      <c r="M72" s="501"/>
      <c r="N72" s="501"/>
    </row>
    <row r="73" spans="1:14" s="321" customFormat="1" ht="14.25" thickTop="1" thickBot="1" x14ac:dyDescent="0.25">
      <c r="A73" s="1280" t="s">
        <v>972</v>
      </c>
      <c r="B73" s="515" t="s">
        <v>569</v>
      </c>
      <c r="C73" s="1649"/>
      <c r="D73" s="1649"/>
      <c r="E73" s="1649"/>
      <c r="F73" s="1649"/>
      <c r="G73" s="1649"/>
      <c r="H73" s="1649"/>
      <c r="I73" s="1627"/>
      <c r="J73" s="1627"/>
      <c r="K73" s="1674">
        <f>SUM(C73:J73)</f>
        <v>0</v>
      </c>
      <c r="L73" s="1651">
        <v>150</v>
      </c>
      <c r="M73" s="501"/>
      <c r="N73" s="501"/>
    </row>
    <row r="74" spans="1:14" ht="12.75" customHeight="1" thickTop="1" thickBot="1" x14ac:dyDescent="0.25">
      <c r="A74" s="1380" t="s">
        <v>805</v>
      </c>
      <c r="B74" s="1384">
        <v>2000</v>
      </c>
      <c r="C74" s="1681">
        <f>SUM(C42,C47,C53,C57,C65,C72,C73)</f>
        <v>528201</v>
      </c>
      <c r="D74" s="1681">
        <f t="shared" ref="D74:K74" si="10">SUM(D42,D47,D53,D57,D65,D72,D73)</f>
        <v>187074</v>
      </c>
      <c r="E74" s="1681">
        <f t="shared" si="10"/>
        <v>58091</v>
      </c>
      <c r="F74" s="1681">
        <f t="shared" si="10"/>
        <v>125125</v>
      </c>
      <c r="G74" s="1681">
        <f t="shared" si="10"/>
        <v>0</v>
      </c>
      <c r="H74" s="1681">
        <f t="shared" si="10"/>
        <v>11585</v>
      </c>
      <c r="I74" s="1681">
        <f t="shared" si="10"/>
        <v>0</v>
      </c>
      <c r="J74" s="1681">
        <f t="shared" si="10"/>
        <v>0</v>
      </c>
      <c r="K74" s="1681">
        <f t="shared" si="10"/>
        <v>910076</v>
      </c>
      <c r="L74" s="1681">
        <f>SUM(L42,L47,L53,L57,L65,L72,L73)</f>
        <v>989376</v>
      </c>
    </row>
    <row r="75" spans="1:14" s="254" customFormat="1" ht="15.75" customHeight="1" thickTop="1" thickBot="1" x14ac:dyDescent="0.25">
      <c r="A75" s="1348" t="s">
        <v>47</v>
      </c>
      <c r="B75" s="1349" t="s">
        <v>570</v>
      </c>
      <c r="C75" s="1649">
        <v>3750</v>
      </c>
      <c r="D75" s="1649"/>
      <c r="E75" s="1649">
        <v>8156</v>
      </c>
      <c r="F75" s="1649"/>
      <c r="G75" s="1649"/>
      <c r="H75" s="1649"/>
      <c r="I75" s="1627"/>
      <c r="J75" s="1627"/>
      <c r="K75" s="1674">
        <f>SUM(C75:J75)</f>
        <v>11906</v>
      </c>
      <c r="L75" s="1651">
        <v>17987</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v>500</v>
      </c>
    </row>
    <row r="79" spans="1:14" x14ac:dyDescent="0.2">
      <c r="A79" s="1274" t="s">
        <v>300</v>
      </c>
      <c r="B79" s="503">
        <v>4120</v>
      </c>
      <c r="C79" s="1673"/>
      <c r="D79" s="1673"/>
      <c r="E79" s="1573">
        <v>51200</v>
      </c>
      <c r="F79" s="1673"/>
      <c r="G79" s="1673"/>
      <c r="H79" s="1573"/>
      <c r="I79" s="1582"/>
      <c r="J79" s="1582"/>
      <c r="K79" s="1672">
        <f t="shared" si="11"/>
        <v>51200</v>
      </c>
      <c r="L79" s="1573">
        <v>60000</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v>1593</v>
      </c>
      <c r="F81" s="1673"/>
      <c r="G81" s="1673"/>
      <c r="H81" s="1573"/>
      <c r="I81" s="1582"/>
      <c r="J81" s="1582"/>
      <c r="K81" s="1672">
        <f t="shared" si="11"/>
        <v>1593</v>
      </c>
      <c r="L81" s="1573">
        <v>1593</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v>6681</v>
      </c>
      <c r="F83" s="1673"/>
      <c r="G83" s="1673"/>
      <c r="H83" s="1573"/>
      <c r="I83" s="1582"/>
      <c r="J83" s="1582"/>
      <c r="K83" s="1672">
        <f t="shared" si="11"/>
        <v>6681</v>
      </c>
      <c r="L83" s="1573">
        <v>7174</v>
      </c>
    </row>
    <row r="84" spans="1:12" ht="13.5" thickBot="1" x14ac:dyDescent="0.25">
      <c r="A84" s="1380" t="s">
        <v>1467</v>
      </c>
      <c r="B84" s="1385">
        <v>4100</v>
      </c>
      <c r="C84" s="1673"/>
      <c r="D84" s="1673"/>
      <c r="E84" s="1674">
        <f>SUM(E78:E83)</f>
        <v>59474</v>
      </c>
      <c r="F84" s="1673"/>
      <c r="G84" s="1673"/>
      <c r="H84" s="1674">
        <f>SUM(H78:H83)</f>
        <v>0</v>
      </c>
      <c r="I84" s="1582"/>
      <c r="J84" s="1582"/>
      <c r="K84" s="1674">
        <f>SUM(K78:K83)</f>
        <v>59474</v>
      </c>
      <c r="L84" s="1674">
        <f>SUM(L78:L83)</f>
        <v>69267</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v>6538</v>
      </c>
      <c r="I86" s="1582"/>
      <c r="J86" s="1582"/>
      <c r="K86" s="1681">
        <f t="shared" ref="K86:K98" si="12">H86</f>
        <v>6538</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v>52875</v>
      </c>
      <c r="I88" s="1582"/>
      <c r="J88" s="1582"/>
      <c r="K88" s="1681">
        <f t="shared" si="12"/>
        <v>52875</v>
      </c>
      <c r="L88" s="1626">
        <v>55000</v>
      </c>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59413</v>
      </c>
      <c r="I92" s="1582"/>
      <c r="J92" s="1582"/>
      <c r="K92" s="1681">
        <f t="shared" si="12"/>
        <v>59413</v>
      </c>
      <c r="L92" s="1674">
        <f>SUM(L85:L91)</f>
        <v>55000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59474</v>
      </c>
      <c r="F102" s="1673"/>
      <c r="G102" s="1673"/>
      <c r="H102" s="1681">
        <f>SUM(H84,H92,H100,H101)</f>
        <v>59413</v>
      </c>
      <c r="I102" s="1582"/>
      <c r="J102" s="1582"/>
      <c r="K102" s="1681">
        <f>SUM(K84,K92,K100,K101)</f>
        <v>118887</v>
      </c>
      <c r="L102" s="1681">
        <f>SUM(L84,L92,L100,L101)</f>
        <v>124267</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2595263</v>
      </c>
      <c r="D114" s="1674">
        <f t="shared" ref="D114:K114" si="13">SUM(D33,D74,D75,D102,D112,D113)</f>
        <v>768290</v>
      </c>
      <c r="E114" s="1674">
        <f t="shared" si="13"/>
        <v>180973</v>
      </c>
      <c r="F114" s="1674">
        <f t="shared" si="13"/>
        <v>189169</v>
      </c>
      <c r="G114" s="1674">
        <f t="shared" si="13"/>
        <v>0</v>
      </c>
      <c r="H114" s="1674">
        <f>SUM(H33,H74,H75,H102,H112,H113)</f>
        <v>104862</v>
      </c>
      <c r="I114" s="1674">
        <f t="shared" si="13"/>
        <v>0</v>
      </c>
      <c r="J114" s="1674">
        <f t="shared" si="13"/>
        <v>0</v>
      </c>
      <c r="K114" s="1674">
        <f t="shared" si="13"/>
        <v>3838557</v>
      </c>
      <c r="L114" s="1674">
        <f>SUM(L33,L74,L75,L102,L112,L113)</f>
        <v>4020000</v>
      </c>
    </row>
    <row r="115" spans="1:14" ht="13.5" thickTop="1" x14ac:dyDescent="0.2">
      <c r="A115" s="2286" t="s">
        <v>988</v>
      </c>
      <c r="B115" s="2287"/>
      <c r="C115" s="1675"/>
      <c r="D115" s="1675"/>
      <c r="E115" s="1675"/>
      <c r="F115" s="1675"/>
      <c r="G115" s="1675"/>
      <c r="H115" s="1675"/>
      <c r="I115" s="1675"/>
      <c r="J115" s="1675"/>
      <c r="K115" s="1689">
        <f>'Revenues 9-14'!C268-'Expenditures 15-22'!K114</f>
        <v>688648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292</v>
      </c>
      <c r="B117" s="2265"/>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1962</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211920</v>
      </c>
      <c r="D124" s="1573">
        <v>54658</v>
      </c>
      <c r="E124" s="1573">
        <v>52330</v>
      </c>
      <c r="F124" s="1573">
        <f>26977+1701+24232+65332+5643</f>
        <v>123885</v>
      </c>
      <c r="G124" s="1573">
        <v>62507</v>
      </c>
      <c r="H124" s="1573">
        <v>202</v>
      </c>
      <c r="I124" s="1574"/>
      <c r="J124" s="1574"/>
      <c r="K124" s="1674">
        <f>SUM(C124:J124)</f>
        <v>505502</v>
      </c>
      <c r="L124" s="1573">
        <v>722028</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211920</v>
      </c>
      <c r="D127" s="1674">
        <f t="shared" ref="D127:L127" si="14">SUM(D122:D126)</f>
        <v>54658</v>
      </c>
      <c r="E127" s="1674">
        <f t="shared" si="14"/>
        <v>52330</v>
      </c>
      <c r="F127" s="1674">
        <f t="shared" si="14"/>
        <v>123885</v>
      </c>
      <c r="G127" s="1674">
        <f t="shared" si="14"/>
        <v>62507</v>
      </c>
      <c r="H127" s="1674">
        <f t="shared" si="14"/>
        <v>202</v>
      </c>
      <c r="I127" s="1674">
        <f t="shared" si="14"/>
        <v>0</v>
      </c>
      <c r="J127" s="1674">
        <f t="shared" si="14"/>
        <v>0</v>
      </c>
      <c r="K127" s="1674">
        <f t="shared" si="14"/>
        <v>505502</v>
      </c>
      <c r="L127" s="1674">
        <f t="shared" si="14"/>
        <v>722028</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211920</v>
      </c>
      <c r="D129" s="1681">
        <f t="shared" ref="D129:L129" si="15">SUM(D120,D127,D128)</f>
        <v>54658</v>
      </c>
      <c r="E129" s="1681">
        <f t="shared" si="15"/>
        <v>52330</v>
      </c>
      <c r="F129" s="1681">
        <f t="shared" si="15"/>
        <v>123885</v>
      </c>
      <c r="G129" s="1681">
        <f t="shared" si="15"/>
        <v>62507</v>
      </c>
      <c r="H129" s="1681">
        <f t="shared" si="15"/>
        <v>202</v>
      </c>
      <c r="I129" s="1681">
        <f t="shared" si="15"/>
        <v>0</v>
      </c>
      <c r="J129" s="1681">
        <f t="shared" si="15"/>
        <v>0</v>
      </c>
      <c r="K129" s="1681">
        <f t="shared" si="15"/>
        <v>505502</v>
      </c>
      <c r="L129" s="1681">
        <f t="shared" si="15"/>
        <v>722028</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1815</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76" t="s">
        <v>615</v>
      </c>
      <c r="B151" s="2258"/>
      <c r="C151" s="1674">
        <f>SUM(C129,C130,C139,C149,C150)</f>
        <v>211920</v>
      </c>
      <c r="D151" s="1674">
        <f t="shared" ref="D151:K151" si="16">SUM(D129,D130,D139,D149,D150)</f>
        <v>54658</v>
      </c>
      <c r="E151" s="1674">
        <f t="shared" si="16"/>
        <v>52330</v>
      </c>
      <c r="F151" s="1674">
        <f t="shared" si="16"/>
        <v>123885</v>
      </c>
      <c r="G151" s="1674">
        <f t="shared" si="16"/>
        <v>62507</v>
      </c>
      <c r="H151" s="1674">
        <f t="shared" si="16"/>
        <v>202</v>
      </c>
      <c r="I151" s="1674">
        <f t="shared" si="16"/>
        <v>0</v>
      </c>
      <c r="J151" s="1674">
        <f t="shared" si="16"/>
        <v>0</v>
      </c>
      <c r="K151" s="1674">
        <f t="shared" si="16"/>
        <v>505502</v>
      </c>
      <c r="L151" s="1674">
        <f>SUM(L129,L130,L139,L149,L150)</f>
        <v>722028</v>
      </c>
    </row>
    <row r="152" spans="1:14" ht="12.75" customHeight="1" thickTop="1" x14ac:dyDescent="0.2">
      <c r="A152" s="2279" t="s">
        <v>1167</v>
      </c>
      <c r="B152" s="2280"/>
      <c r="C152" s="1675"/>
      <c r="D152" s="1675"/>
      <c r="E152" s="1675"/>
      <c r="F152" s="1675"/>
      <c r="G152" s="1675"/>
      <c r="H152" s="1675"/>
      <c r="I152" s="1675"/>
      <c r="J152" s="1673"/>
      <c r="K152" s="1689">
        <f>'Revenues 9-14'!D268-'Expenditures 15-22'!K151</f>
        <v>266236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616</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1766149</v>
      </c>
      <c r="I169" s="1673"/>
      <c r="J169" s="1673"/>
      <c r="K169" s="1672">
        <f>SUM(C169:H169)</f>
        <v>1766149</v>
      </c>
      <c r="L169" s="1695">
        <v>1847954</v>
      </c>
    </row>
    <row r="170" spans="1:14" ht="33.75" customHeight="1" x14ac:dyDescent="0.2">
      <c r="A170" s="543" t="s">
        <v>1650</v>
      </c>
      <c r="B170" s="545" t="s">
        <v>31</v>
      </c>
      <c r="C170" s="1673"/>
      <c r="D170" s="1673"/>
      <c r="E170" s="1673"/>
      <c r="F170" s="1673"/>
      <c r="G170" s="1673"/>
      <c r="H170" s="1646">
        <v>880000</v>
      </c>
      <c r="I170" s="1673"/>
      <c r="J170" s="1673"/>
      <c r="K170" s="1672">
        <f>SUM(C170:J170)</f>
        <v>880000</v>
      </c>
      <c r="L170" s="1646">
        <v>800000</v>
      </c>
    </row>
    <row r="171" spans="1:14" ht="15.75" customHeight="1" x14ac:dyDescent="0.2">
      <c r="A171" s="507" t="s">
        <v>760</v>
      </c>
      <c r="B171" s="546" t="s">
        <v>84</v>
      </c>
      <c r="C171" s="1673"/>
      <c r="D171" s="1673"/>
      <c r="E171" s="1573"/>
      <c r="F171" s="1673"/>
      <c r="G171" s="1673"/>
      <c r="H171" s="1646">
        <v>2000</v>
      </c>
      <c r="I171" s="1582"/>
      <c r="J171" s="1673"/>
      <c r="K171" s="1672">
        <f>SUM(C171:J171)</f>
        <v>2000</v>
      </c>
      <c r="L171" s="1646">
        <v>1500</v>
      </c>
    </row>
    <row r="172" spans="1:14" ht="12.75" customHeight="1" thickBot="1" x14ac:dyDescent="0.25">
      <c r="A172" s="1380" t="s">
        <v>632</v>
      </c>
      <c r="B172" s="1381" t="s">
        <v>488</v>
      </c>
      <c r="C172" s="1673"/>
      <c r="D172" s="1673"/>
      <c r="E172" s="1681">
        <f>SUM(E168,E169,E170,E171)</f>
        <v>0</v>
      </c>
      <c r="F172" s="1673"/>
      <c r="G172" s="1673"/>
      <c r="H172" s="1681">
        <f>SUM(H168,H169,H170,H171)</f>
        <v>2648149</v>
      </c>
      <c r="I172" s="1684"/>
      <c r="J172" s="1673"/>
      <c r="K172" s="1681">
        <f>SUM(K168,K169,K170,K171)</f>
        <v>2648149</v>
      </c>
      <c r="L172" s="1681">
        <f>SUM(L168,L169,L170,L171)</f>
        <v>2649454</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2648149</v>
      </c>
      <c r="I174" s="1684"/>
      <c r="J174" s="1673"/>
      <c r="K174" s="1681">
        <f>SUM(K160,K172,K173)</f>
        <v>2648149</v>
      </c>
      <c r="L174" s="1681">
        <f>SUM(L160,L172,L173)</f>
        <v>2649454</v>
      </c>
    </row>
    <row r="175" spans="1:14" ht="13.5" thickTop="1" x14ac:dyDescent="0.2">
      <c r="A175" s="2286" t="s">
        <v>988</v>
      </c>
      <c r="B175" s="2287"/>
      <c r="C175" s="1673"/>
      <c r="D175" s="1673"/>
      <c r="E175" s="1673"/>
      <c r="F175" s="1673"/>
      <c r="G175" s="1673"/>
      <c r="H175" s="1675"/>
      <c r="I175" s="1673"/>
      <c r="J175" s="1673"/>
      <c r="K175" s="1689">
        <f>'Revenues 9-14'!E268-'Expenditures 15-22'!K174</f>
        <v>-15400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1609</v>
      </c>
      <c r="D182" s="1573">
        <v>588</v>
      </c>
      <c r="E182" s="1573">
        <v>113146</v>
      </c>
      <c r="F182" s="1573">
        <v>3471</v>
      </c>
      <c r="G182" s="1573"/>
      <c r="H182" s="1573"/>
      <c r="I182" s="1574"/>
      <c r="J182" s="1574"/>
      <c r="K182" s="1672">
        <f>SUM(C182:J182)</f>
        <v>118814</v>
      </c>
      <c r="L182" s="1573">
        <v>185207</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1609</v>
      </c>
      <c r="D184" s="1681">
        <f t="shared" ref="D184:J184" si="17">SUM(D180,D182,D183)</f>
        <v>588</v>
      </c>
      <c r="E184" s="1681">
        <f t="shared" si="17"/>
        <v>113146</v>
      </c>
      <c r="F184" s="1681">
        <f t="shared" si="17"/>
        <v>3471</v>
      </c>
      <c r="G184" s="1681">
        <f t="shared" si="17"/>
        <v>0</v>
      </c>
      <c r="H184" s="1681">
        <f t="shared" si="17"/>
        <v>0</v>
      </c>
      <c r="I184" s="1681">
        <f t="shared" si="17"/>
        <v>0</v>
      </c>
      <c r="J184" s="1681">
        <f t="shared" si="17"/>
        <v>0</v>
      </c>
      <c r="K184" s="1681">
        <f>SUM(K180,K182,K183)</f>
        <v>118814</v>
      </c>
      <c r="L184" s="1681">
        <f>SUM(L180, L182:L183)</f>
        <v>185207</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1208</v>
      </c>
      <c r="I205" s="1673"/>
      <c r="J205" s="1673"/>
      <c r="K205" s="1696">
        <f>SUM(H205)</f>
        <v>1208</v>
      </c>
      <c r="L205" s="1630">
        <v>1209</v>
      </c>
    </row>
    <row r="206" spans="1:14" ht="30" customHeight="1" x14ac:dyDescent="0.2">
      <c r="A206" s="555" t="s">
        <v>1651</v>
      </c>
      <c r="B206" s="546" t="s">
        <v>31</v>
      </c>
      <c r="C206" s="1673"/>
      <c r="D206" s="1673"/>
      <c r="E206" s="1673"/>
      <c r="F206" s="1673"/>
      <c r="G206" s="1673"/>
      <c r="H206" s="1573">
        <v>15522</v>
      </c>
      <c r="I206" s="1673"/>
      <c r="J206" s="1673"/>
      <c r="K206" s="1672">
        <f>SUM(H206)</f>
        <v>15522</v>
      </c>
      <c r="L206" s="1573">
        <v>15522</v>
      </c>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16730</v>
      </c>
      <c r="I208" s="1673"/>
      <c r="J208" s="1673"/>
      <c r="K208" s="1681">
        <f>SUM(K204,K205,K206,K207)</f>
        <v>16730</v>
      </c>
      <c r="L208" s="1681">
        <f>SUM(L204,L205,L206,L207)</f>
        <v>16731</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1609</v>
      </c>
      <c r="D210" s="1674">
        <f>SUM(D184,D185)</f>
        <v>588</v>
      </c>
      <c r="E210" s="1674">
        <f>SUM(E184,E185,E196)</f>
        <v>113146</v>
      </c>
      <c r="F210" s="1674">
        <f>SUM(F184,F185)</f>
        <v>3471</v>
      </c>
      <c r="G210" s="1674">
        <f>SUM(G184,G185)</f>
        <v>0</v>
      </c>
      <c r="H210" s="1674">
        <f>SUM(H184,H185,H196,H208,H209)</f>
        <v>16730</v>
      </c>
      <c r="I210" s="1674">
        <f>SUM(I184,I185)</f>
        <v>0</v>
      </c>
      <c r="J210" s="1674">
        <f>SUM(J184,J185)</f>
        <v>0</v>
      </c>
      <c r="K210" s="1672">
        <f>SUM(K184,K185,K196,K208,K209)</f>
        <v>135544</v>
      </c>
      <c r="L210" s="1674">
        <f>SUM(L184,L185,L196,L208,L209)</f>
        <v>201938</v>
      </c>
    </row>
    <row r="211" spans="1:14" ht="13.5" thickTop="1" x14ac:dyDescent="0.2">
      <c r="A211" s="2286" t="s">
        <v>988</v>
      </c>
      <c r="B211" s="2287"/>
      <c r="C211" s="1675"/>
      <c r="D211" s="1675"/>
      <c r="E211" s="1675"/>
      <c r="F211" s="1675"/>
      <c r="G211" s="1675"/>
      <c r="H211" s="1675"/>
      <c r="I211" s="1673"/>
      <c r="J211" s="1673"/>
      <c r="K211" s="1689">
        <f>'Revenues 9-14'!F268-'Expenditures 15-22'!K210</f>
        <v>54539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958</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f>3026+19578</f>
        <v>22604</v>
      </c>
      <c r="E215" s="1673"/>
      <c r="F215" s="1673"/>
      <c r="G215" s="1673"/>
      <c r="H215" s="1673"/>
      <c r="I215" s="1673"/>
      <c r="J215" s="1673"/>
      <c r="K215" s="1672">
        <f>D215</f>
        <v>22604</v>
      </c>
      <c r="L215" s="1573">
        <v>25127</v>
      </c>
    </row>
    <row r="216" spans="1:14" x14ac:dyDescent="0.2">
      <c r="A216" s="1274" t="s">
        <v>162</v>
      </c>
      <c r="B216" s="503" t="s">
        <v>960</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f>7264+11922</f>
        <v>19186</v>
      </c>
      <c r="E217" s="1673"/>
      <c r="F217" s="1673"/>
      <c r="G217" s="1673"/>
      <c r="H217" s="1673"/>
      <c r="I217" s="1673"/>
      <c r="J217" s="1673"/>
      <c r="K217" s="1672">
        <f t="shared" si="19"/>
        <v>19186</v>
      </c>
      <c r="L217" s="1573">
        <v>21174</v>
      </c>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f>1356+1457</f>
        <v>2813</v>
      </c>
      <c r="E219" s="1673"/>
      <c r="F219" s="1673"/>
      <c r="G219" s="1673"/>
      <c r="H219" s="1673"/>
      <c r="I219" s="1673"/>
      <c r="J219" s="1673"/>
      <c r="K219" s="1672">
        <f t="shared" si="19"/>
        <v>2813</v>
      </c>
      <c r="L219" s="1573">
        <v>2797</v>
      </c>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3195</v>
      </c>
      <c r="E222" s="1673"/>
      <c r="F222" s="1673"/>
      <c r="G222" s="1673"/>
      <c r="H222" s="1673"/>
      <c r="I222" s="1673"/>
      <c r="J222" s="1673"/>
      <c r="K222" s="1672">
        <f t="shared" si="19"/>
        <v>3195</v>
      </c>
      <c r="L222" s="1573">
        <v>3382</v>
      </c>
    </row>
    <row r="223" spans="1:14" x14ac:dyDescent="0.2">
      <c r="A223" s="1274" t="s">
        <v>956</v>
      </c>
      <c r="B223" s="503">
        <v>1500</v>
      </c>
      <c r="C223" s="1673"/>
      <c r="D223" s="1573">
        <f>1346+8073</f>
        <v>9419</v>
      </c>
      <c r="E223" s="1673"/>
      <c r="F223" s="1673"/>
      <c r="G223" s="1673"/>
      <c r="H223" s="1673"/>
      <c r="I223" s="1673"/>
      <c r="J223" s="1673"/>
      <c r="K223" s="1672">
        <f t="shared" si="19"/>
        <v>9419</v>
      </c>
      <c r="L223" s="1573">
        <v>9244</v>
      </c>
    </row>
    <row r="224" spans="1:14" x14ac:dyDescent="0.2">
      <c r="A224" s="1274" t="s">
        <v>957</v>
      </c>
      <c r="B224" s="503">
        <v>1600</v>
      </c>
      <c r="C224" s="1673"/>
      <c r="D224" s="1573"/>
      <c r="E224" s="1673"/>
      <c r="F224" s="1673"/>
      <c r="G224" s="1673"/>
      <c r="H224" s="1673"/>
      <c r="I224" s="1673"/>
      <c r="J224" s="1673"/>
      <c r="K224" s="1672">
        <f t="shared" si="19"/>
        <v>0</v>
      </c>
      <c r="L224" s="1573"/>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984</v>
      </c>
      <c r="E226" s="1673"/>
      <c r="F226" s="1673"/>
      <c r="G226" s="1673"/>
      <c r="H226" s="1673"/>
      <c r="I226" s="1673"/>
      <c r="J226" s="1673"/>
      <c r="K226" s="1672">
        <f t="shared" si="19"/>
        <v>984</v>
      </c>
      <c r="L226" s="1573">
        <v>1055</v>
      </c>
    </row>
    <row r="227" spans="1:12" x14ac:dyDescent="0.2">
      <c r="A227" s="1274" t="s">
        <v>1077</v>
      </c>
      <c r="B227" s="503">
        <v>1800</v>
      </c>
      <c r="C227" s="1673"/>
      <c r="D227" s="1573"/>
      <c r="E227" s="1673"/>
      <c r="F227" s="1673"/>
      <c r="G227" s="1673"/>
      <c r="H227" s="1673"/>
      <c r="I227" s="1673"/>
      <c r="J227" s="1673"/>
      <c r="K227" s="1672">
        <f t="shared" si="19"/>
        <v>0</v>
      </c>
      <c r="L227" s="1573"/>
    </row>
    <row r="228" spans="1:12" x14ac:dyDescent="0.2">
      <c r="A228" s="1274" t="s">
        <v>1078</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58201</v>
      </c>
      <c r="E229" s="1673"/>
      <c r="F229" s="1673"/>
      <c r="G229" s="1673"/>
      <c r="H229" s="1673"/>
      <c r="I229" s="1673"/>
      <c r="J229" s="1673"/>
      <c r="K229" s="1674">
        <f>SUM(K215:K228)</f>
        <v>58201</v>
      </c>
      <c r="L229" s="1674">
        <f>SUM(L215:L228)</f>
        <v>62779</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c r="E232" s="1673"/>
      <c r="F232" s="1673"/>
      <c r="G232" s="1673"/>
      <c r="H232" s="1673"/>
      <c r="I232" s="1673"/>
      <c r="J232" s="1673"/>
      <c r="K232" s="1672">
        <f t="shared" ref="K232:K237" si="20">D232</f>
        <v>0</v>
      </c>
      <c r="L232" s="1573"/>
    </row>
    <row r="233" spans="1:12" x14ac:dyDescent="0.2">
      <c r="A233" s="1274" t="s">
        <v>1080</v>
      </c>
      <c r="B233" s="503">
        <v>2120</v>
      </c>
      <c r="C233" s="1673"/>
      <c r="D233" s="1573">
        <f>2764+4711</f>
        <v>7475</v>
      </c>
      <c r="E233" s="1673"/>
      <c r="F233" s="1673"/>
      <c r="G233" s="1673"/>
      <c r="H233" s="1673"/>
      <c r="I233" s="1673"/>
      <c r="J233" s="1673"/>
      <c r="K233" s="1672">
        <f t="shared" si="20"/>
        <v>7475</v>
      </c>
      <c r="L233" s="1573">
        <v>7331</v>
      </c>
    </row>
    <row r="234" spans="1:12" x14ac:dyDescent="0.2">
      <c r="A234" s="1274" t="s">
        <v>196</v>
      </c>
      <c r="B234" s="503">
        <v>2130</v>
      </c>
      <c r="C234" s="1673"/>
      <c r="D234" s="1573">
        <f>3564+3564</f>
        <v>7128</v>
      </c>
      <c r="E234" s="1673"/>
      <c r="F234" s="1673"/>
      <c r="G234" s="1673"/>
      <c r="H234" s="1673"/>
      <c r="I234" s="1673"/>
      <c r="J234" s="1673"/>
      <c r="K234" s="1672">
        <f t="shared" si="20"/>
        <v>7128</v>
      </c>
      <c r="L234" s="1573">
        <v>7128</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555</v>
      </c>
      <c r="B238" s="1383" t="s">
        <v>710</v>
      </c>
      <c r="C238" s="1673"/>
      <c r="D238" s="1674">
        <f>SUM(D232:D237)</f>
        <v>14603</v>
      </c>
      <c r="E238" s="1673"/>
      <c r="F238" s="1673"/>
      <c r="G238" s="1673"/>
      <c r="H238" s="1673"/>
      <c r="I238" s="1673"/>
      <c r="J238" s="1673"/>
      <c r="K238" s="1674">
        <f>SUM(K232:K237)</f>
        <v>14603</v>
      </c>
      <c r="L238" s="1674">
        <f>SUM(L232:L237)</f>
        <v>14459</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c r="E240" s="1673"/>
      <c r="F240" s="1673"/>
      <c r="G240" s="1673"/>
      <c r="H240" s="1673"/>
      <c r="I240" s="1673"/>
      <c r="J240" s="1673"/>
      <c r="K240" s="1678">
        <f>D240</f>
        <v>0</v>
      </c>
      <c r="L240" s="1586"/>
    </row>
    <row r="241" spans="1:12" x14ac:dyDescent="0.2">
      <c r="A241" s="1274" t="s">
        <v>809</v>
      </c>
      <c r="B241" s="503">
        <v>2220</v>
      </c>
      <c r="C241" s="1673"/>
      <c r="D241" s="1573">
        <v>6192</v>
      </c>
      <c r="E241" s="1673"/>
      <c r="F241" s="1673"/>
      <c r="G241" s="1673"/>
      <c r="H241" s="1673"/>
      <c r="I241" s="1673"/>
      <c r="J241" s="1673"/>
      <c r="K241" s="1678">
        <f>D241</f>
        <v>6192</v>
      </c>
      <c r="L241" s="1573">
        <v>6200</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6192</v>
      </c>
      <c r="E243" s="1673"/>
      <c r="F243" s="1673"/>
      <c r="G243" s="1673"/>
      <c r="H243" s="1673"/>
      <c r="I243" s="1673"/>
      <c r="J243" s="1673"/>
      <c r="K243" s="1674">
        <f>SUM(K240:K242)</f>
        <v>6192</v>
      </c>
      <c r="L243" s="1674">
        <f>SUM(L240:L242)</f>
        <v>6200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f>11+60+186</f>
        <v>257</v>
      </c>
      <c r="E245" s="1673"/>
      <c r="F245" s="1673"/>
      <c r="G245" s="1673"/>
      <c r="H245" s="1673"/>
      <c r="I245" s="1673"/>
      <c r="J245" s="1673"/>
      <c r="K245" s="1678">
        <f>D245</f>
        <v>257</v>
      </c>
      <c r="L245" s="1586">
        <v>235</v>
      </c>
    </row>
    <row r="246" spans="1:12" x14ac:dyDescent="0.2">
      <c r="A246" s="1274" t="s">
        <v>812</v>
      </c>
      <c r="B246" s="503">
        <v>2320</v>
      </c>
      <c r="C246" s="1673"/>
      <c r="D246" s="1573">
        <f>1136+2697</f>
        <v>3833</v>
      </c>
      <c r="E246" s="1673"/>
      <c r="F246" s="1673"/>
      <c r="G246" s="1673"/>
      <c r="H246" s="1673"/>
      <c r="I246" s="1673"/>
      <c r="J246" s="1673"/>
      <c r="K246" s="1678">
        <f t="shared" ref="K246:K256" si="21">D246</f>
        <v>3833</v>
      </c>
      <c r="L246" s="1573">
        <v>3784</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1781</v>
      </c>
      <c r="B249" s="557" t="s">
        <v>279</v>
      </c>
      <c r="C249" s="1673"/>
      <c r="D249" s="1579"/>
      <c r="E249" s="1673"/>
      <c r="F249" s="1673"/>
      <c r="G249" s="1673"/>
      <c r="H249" s="1673"/>
      <c r="I249" s="1673"/>
      <c r="J249" s="1673"/>
      <c r="K249" s="1678">
        <f t="shared" si="21"/>
        <v>0</v>
      </c>
      <c r="L249" s="1573"/>
    </row>
    <row r="250" spans="1:12" x14ac:dyDescent="0.2">
      <c r="A250" s="1275" t="s">
        <v>1782</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c r="E254" s="1673"/>
      <c r="F254" s="1673"/>
      <c r="G254" s="1673"/>
      <c r="H254" s="1673"/>
      <c r="I254" s="1673"/>
      <c r="J254" s="1673"/>
      <c r="K254" s="1678">
        <f t="shared" si="21"/>
        <v>0</v>
      </c>
      <c r="L254" s="1573"/>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4090</v>
      </c>
      <c r="E257" s="1673"/>
      <c r="F257" s="1673"/>
      <c r="G257" s="1673"/>
      <c r="H257" s="1673"/>
      <c r="I257" s="1673"/>
      <c r="J257" s="1673"/>
      <c r="K257" s="1674">
        <f>SUM(K245:K256)</f>
        <v>4090</v>
      </c>
      <c r="L257" s="1674">
        <f>SUM(L245:L256)</f>
        <v>4019</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9569</v>
      </c>
      <c r="E259" s="1673"/>
      <c r="F259" s="1673"/>
      <c r="G259" s="1673"/>
      <c r="H259" s="1673"/>
      <c r="I259" s="1673"/>
      <c r="J259" s="1673"/>
      <c r="K259" s="1678">
        <f>D259</f>
        <v>9569</v>
      </c>
      <c r="L259" s="1586">
        <v>9463</v>
      </c>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9569</v>
      </c>
      <c r="E261" s="1673"/>
      <c r="F261" s="1673"/>
      <c r="G261" s="1673"/>
      <c r="H261" s="1673"/>
      <c r="I261" s="1673"/>
      <c r="J261" s="1673"/>
      <c r="K261" s="1674">
        <f>SUM(K259:K260)</f>
        <v>9569</v>
      </c>
      <c r="L261" s="1674">
        <f>SUM(L259:L260)</f>
        <v>9463</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c r="E263" s="1673"/>
      <c r="F263" s="1673"/>
      <c r="G263" s="1673"/>
      <c r="H263" s="1673"/>
      <c r="I263" s="1673"/>
      <c r="J263" s="1673"/>
      <c r="K263" s="1678">
        <f>D263</f>
        <v>0</v>
      </c>
      <c r="L263" s="1586"/>
    </row>
    <row r="264" spans="1:14" x14ac:dyDescent="0.2">
      <c r="A264" s="1274" t="s">
        <v>459</v>
      </c>
      <c r="B264" s="559">
        <v>2520</v>
      </c>
      <c r="C264" s="1673"/>
      <c r="D264" s="1573">
        <f>3934+3973</f>
        <v>7907</v>
      </c>
      <c r="E264" s="1673"/>
      <c r="F264" s="1673"/>
      <c r="G264" s="1673"/>
      <c r="H264" s="1673"/>
      <c r="I264" s="1673"/>
      <c r="J264" s="1673"/>
      <c r="K264" s="1678">
        <f t="shared" ref="K264:K269" si="22">D264</f>
        <v>7907</v>
      </c>
      <c r="L264" s="1573">
        <v>8020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39430</v>
      </c>
      <c r="E266" s="1673"/>
      <c r="F266" s="1673"/>
      <c r="G266" s="1673"/>
      <c r="H266" s="1673"/>
      <c r="I266" s="1673"/>
      <c r="J266" s="1673"/>
      <c r="K266" s="1678">
        <f t="shared" si="22"/>
        <v>39430</v>
      </c>
      <c r="L266" s="1573">
        <v>39666</v>
      </c>
    </row>
    <row r="267" spans="1:14" x14ac:dyDescent="0.2">
      <c r="A267" s="1274" t="s">
        <v>946</v>
      </c>
      <c r="B267" s="503">
        <v>2550</v>
      </c>
      <c r="C267" s="1673"/>
      <c r="D267" s="1573">
        <v>23</v>
      </c>
      <c r="E267" s="1673"/>
      <c r="F267" s="1673"/>
      <c r="G267" s="1673"/>
      <c r="H267" s="1673"/>
      <c r="I267" s="1673"/>
      <c r="J267" s="1673"/>
      <c r="K267" s="1678">
        <f t="shared" si="22"/>
        <v>23</v>
      </c>
      <c r="L267" s="1573">
        <v>23</v>
      </c>
    </row>
    <row r="268" spans="1:14" x14ac:dyDescent="0.2">
      <c r="A268" s="1274" t="s">
        <v>100</v>
      </c>
      <c r="B268" s="503">
        <v>2560</v>
      </c>
      <c r="C268" s="1673"/>
      <c r="D268" s="1573">
        <f>4625+4681</f>
        <v>9306</v>
      </c>
      <c r="E268" s="1673"/>
      <c r="F268" s="1673"/>
      <c r="G268" s="1673"/>
      <c r="H268" s="1673"/>
      <c r="I268" s="1673"/>
      <c r="J268" s="1673"/>
      <c r="K268" s="1678">
        <f t="shared" si="22"/>
        <v>9306</v>
      </c>
      <c r="L268" s="1573">
        <v>9663</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56666</v>
      </c>
      <c r="E270" s="1673"/>
      <c r="F270" s="1673"/>
      <c r="G270" s="1673"/>
      <c r="H270" s="1673"/>
      <c r="I270" s="1673"/>
      <c r="J270" s="1673"/>
      <c r="K270" s="1674">
        <f>SUM(K263:K269)</f>
        <v>56666</v>
      </c>
      <c r="L270" s="1674">
        <f>SUM(L263:L269)</f>
        <v>57372</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91120</v>
      </c>
      <c r="E279" s="1673"/>
      <c r="F279" s="1673"/>
      <c r="G279" s="1673"/>
      <c r="H279" s="1673"/>
      <c r="I279" s="1673"/>
      <c r="J279" s="1673"/>
      <c r="K279" s="1681">
        <f>SUM(K238,K243,K257,K261,K270,K277,K278)</f>
        <v>91120</v>
      </c>
      <c r="L279" s="1681">
        <f>SUM(L238,L243,L257,L261,L270,L277,L278)</f>
        <v>91513</v>
      </c>
    </row>
    <row r="280" spans="1:12" ht="15.75" customHeight="1" thickTop="1" thickBot="1" x14ac:dyDescent="0.25">
      <c r="A280" s="1362" t="s">
        <v>869</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1815</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77" t="s">
        <v>501</v>
      </c>
      <c r="B295" s="2278"/>
      <c r="C295" s="1673"/>
      <c r="D295" s="1674">
        <f>SUM(D229,D279,D280,D285)</f>
        <v>149321</v>
      </c>
      <c r="E295" s="1673"/>
      <c r="F295" s="1673"/>
      <c r="G295" s="1673"/>
      <c r="H295" s="1674">
        <f>H293</f>
        <v>0</v>
      </c>
      <c r="I295" s="1673"/>
      <c r="J295" s="1673"/>
      <c r="K295" s="1674">
        <f>SUM(K229,K279,K280,K285,K293,K294)</f>
        <v>149321</v>
      </c>
      <c r="L295" s="1674">
        <f>SUM(L229,L279,L280,L285,L293,L294)</f>
        <v>154292</v>
      </c>
    </row>
    <row r="296" spans="1:14" ht="13.5" thickTop="1" x14ac:dyDescent="0.2">
      <c r="A296" s="2286" t="s">
        <v>988</v>
      </c>
      <c r="B296" s="2287"/>
      <c r="C296" s="1673"/>
      <c r="D296" s="1675"/>
      <c r="E296" s="1673"/>
      <c r="F296" s="1673"/>
      <c r="G296" s="1673"/>
      <c r="H296" s="1707"/>
      <c r="I296" s="1673"/>
      <c r="J296" s="1673"/>
      <c r="K296" s="1689">
        <f>'Revenues 9-14'!G268-'Expenditures 15-22'!K295</f>
        <v>5075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c r="F301" s="1573"/>
      <c r="G301" s="1573"/>
      <c r="H301" s="1573"/>
      <c r="I301" s="1574"/>
      <c r="J301" s="1574"/>
      <c r="K301" s="1672">
        <f>SUM(C301:J301)</f>
        <v>0</v>
      </c>
      <c r="L301" s="1574"/>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4" t="s">
        <v>274</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988</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891</v>
      </c>
      <c r="B317" s="2284"/>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279</v>
      </c>
      <c r="C320" s="1574"/>
      <c r="D320" s="1574"/>
      <c r="E320" s="1574">
        <v>19785</v>
      </c>
      <c r="F320" s="1574"/>
      <c r="G320" s="1574"/>
      <c r="H320" s="1574"/>
      <c r="I320" s="1574"/>
      <c r="J320" s="1574"/>
      <c r="K320" s="1672">
        <f t="shared" ref="K320:K327" si="24">SUM(C320:J320)</f>
        <v>19785</v>
      </c>
      <c r="L320" s="1574">
        <v>19785</v>
      </c>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281</v>
      </c>
      <c r="C322" s="1574"/>
      <c r="D322" s="1574"/>
      <c r="E322" s="1574"/>
      <c r="F322" s="1574"/>
      <c r="G322" s="1574"/>
      <c r="H322" s="1574"/>
      <c r="I322" s="1574"/>
      <c r="J322" s="1574"/>
      <c r="K322" s="1672">
        <f t="shared" si="24"/>
        <v>0</v>
      </c>
      <c r="L322" s="1574">
        <v>37284</v>
      </c>
      <c r="M322" s="539"/>
      <c r="N322" s="539"/>
    </row>
    <row r="323" spans="1:14" s="548" customFormat="1" x14ac:dyDescent="0.2">
      <c r="A323" s="1289" t="s">
        <v>696</v>
      </c>
      <c r="B323" s="567" t="s">
        <v>282</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369498</v>
      </c>
      <c r="D325" s="1574"/>
      <c r="E325" s="1574">
        <v>18680</v>
      </c>
      <c r="F325" s="1574"/>
      <c r="G325" s="1574"/>
      <c r="H325" s="1574"/>
      <c r="I325" s="1574"/>
      <c r="J325" s="1574"/>
      <c r="K325" s="1672">
        <f t="shared" si="24"/>
        <v>388178</v>
      </c>
      <c r="L325" s="1574">
        <v>390698</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12076</v>
      </c>
      <c r="F327" s="1574"/>
      <c r="G327" s="1574"/>
      <c r="H327" s="1574"/>
      <c r="I327" s="1574"/>
      <c r="J327" s="1574"/>
      <c r="K327" s="1672">
        <f t="shared" si="24"/>
        <v>12076</v>
      </c>
      <c r="L327" s="1574">
        <v>10000</v>
      </c>
      <c r="M327" s="539"/>
      <c r="N327" s="539"/>
    </row>
    <row r="328" spans="1:14" s="548" customFormat="1" x14ac:dyDescent="0.2">
      <c r="A328" s="1290" t="s">
        <v>468</v>
      </c>
      <c r="B328" s="562" t="s">
        <v>1121</v>
      </c>
      <c r="C328" s="1579"/>
      <c r="D328" s="1579"/>
      <c r="E328" s="1579">
        <v>37284</v>
      </c>
      <c r="F328" s="1579"/>
      <c r="G328" s="1579"/>
      <c r="H328" s="1579"/>
      <c r="I328" s="1579"/>
      <c r="J328" s="1579"/>
      <c r="K328" s="1713">
        <f>SUM(C328:J328)</f>
        <v>37284</v>
      </c>
      <c r="L328" s="1579"/>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369498</v>
      </c>
      <c r="D330" s="1674">
        <f t="shared" ref="D330:J330" si="25">SUM(D319:D329)</f>
        <v>0</v>
      </c>
      <c r="E330" s="1674">
        <f t="shared" si="25"/>
        <v>87825</v>
      </c>
      <c r="F330" s="1674">
        <f t="shared" si="25"/>
        <v>0</v>
      </c>
      <c r="G330" s="1674">
        <f t="shared" si="25"/>
        <v>0</v>
      </c>
      <c r="H330" s="1674">
        <f t="shared" si="25"/>
        <v>0</v>
      </c>
      <c r="I330" s="1674">
        <f t="shared" si="25"/>
        <v>0</v>
      </c>
      <c r="J330" s="1674">
        <f t="shared" si="25"/>
        <v>0</v>
      </c>
      <c r="K330" s="1674">
        <f>SUM(K319:K329)</f>
        <v>457323</v>
      </c>
      <c r="L330" s="1674">
        <f>SUM(L319:L329)</f>
        <v>457767</v>
      </c>
      <c r="M330" s="539"/>
      <c r="N330" s="539"/>
    </row>
    <row r="331" spans="1:14" s="548" customFormat="1" ht="12.75" customHeight="1" thickTop="1" x14ac:dyDescent="0.2">
      <c r="A331" s="1467" t="s">
        <v>1821</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369498</v>
      </c>
      <c r="D342" s="1674">
        <f>SUM(D330)</f>
        <v>0</v>
      </c>
      <c r="E342" s="1674">
        <f>SUM(E330)</f>
        <v>87825</v>
      </c>
      <c r="F342" s="1674">
        <f>SUM(F330)</f>
        <v>0</v>
      </c>
      <c r="G342" s="1674">
        <f>SUM(G330)</f>
        <v>0</v>
      </c>
      <c r="H342" s="1674">
        <f>SUM(H330,H334,H340)</f>
        <v>0</v>
      </c>
      <c r="I342" s="1674">
        <f>SUM(I330)</f>
        <v>0</v>
      </c>
      <c r="J342" s="1674">
        <f>SUM(J330)</f>
        <v>0</v>
      </c>
      <c r="K342" s="1674">
        <f>SUM(K330,K334,K340)</f>
        <v>457323</v>
      </c>
      <c r="L342" s="1681">
        <f>SUM(L330,L334,L340,L341)</f>
        <v>457767</v>
      </c>
    </row>
    <row r="343" spans="1:14" ht="12.75" customHeight="1" thickTop="1" x14ac:dyDescent="0.2">
      <c r="A343" s="2272" t="s">
        <v>988</v>
      </c>
      <c r="B343" s="2273"/>
      <c r="C343" s="1673"/>
      <c r="D343" s="1673"/>
      <c r="E343" s="1673"/>
      <c r="F343" s="1673"/>
      <c r="G343" s="1673"/>
      <c r="H343" s="1673"/>
      <c r="I343" s="1673"/>
      <c r="J343" s="1673"/>
      <c r="K343" s="1689">
        <f>'Revenues 9-14'!J268-'Expenditures 15-22'!K342</f>
        <v>-68494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959</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988</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www.w3.org/XML/1998/namespace"/>
    <ds:schemaRef ds:uri="http://purl.org/dc/terms/"/>
    <ds:schemaRef ds:uri="http://purl.org/dc/dcmitype/"/>
    <ds:schemaRef ds:uri="d21dc803-237d-4c68-8692-8d731fd29118"/>
    <ds:schemaRef ds:uri="http://schemas.microsoft.com/office/infopath/2007/PartnerControls"/>
    <ds:schemaRef ds:uri="http://schemas.openxmlformats.org/package/2006/metadata/core-properties"/>
    <ds:schemaRef ds:uri="4d435f69-8686-490b-bd6d-b153bf22ab50"/>
    <ds:schemaRef ds:uri="http://schemas.microsoft.com/sharepoint/v3"/>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2020-09-21T23:18:44Z</cp:lastPrinted>
  <dcterms:created xsi:type="dcterms:W3CDTF">2003-10-29T19:06:34Z</dcterms:created>
  <dcterms:modified xsi:type="dcterms:W3CDTF">2020-10-05T12:44:38Z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