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B5736CF-8DD1-4123-9A71-61E9643285CB}" xr6:coauthVersionLast="36" xr6:coauthVersionMax="36" xr10:uidLastSave="{00000000-0000-0000-0000-000000000000}"/>
  <bookViews>
    <workbookView xWindow="28680" yWindow="-12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3" l="1"/>
  <c r="C39" i="3"/>
  <c r="L12" i="3"/>
  <c r="L4" i="3"/>
  <c r="D39" i="3"/>
  <c r="D4" i="3"/>
  <c r="C4" i="3"/>
  <c r="J4" i="3"/>
  <c r="M63" i="184" l="1"/>
  <c r="J13" i="11" l="1"/>
  <c r="E13" i="11"/>
  <c r="J31" i="8" l="1"/>
  <c r="J39" i="3" l="1"/>
  <c r="C9" i="4" l="1"/>
  <c r="C325" i="29" l="1"/>
  <c r="D268" i="29"/>
  <c r="D232" i="29"/>
  <c r="D267" i="29"/>
  <c r="D266" i="29"/>
  <c r="D264" i="29"/>
  <c r="D259" i="29"/>
  <c r="D246" i="29"/>
  <c r="D241" i="29"/>
  <c r="D233" i="29"/>
  <c r="D222" i="29"/>
  <c r="D219" i="29"/>
  <c r="D217" i="29"/>
  <c r="E124" i="29"/>
  <c r="C55" i="29"/>
  <c r="C50" i="29"/>
  <c r="F45" i="29"/>
  <c r="E45" i="29"/>
  <c r="D45" i="29"/>
  <c r="C45" i="29"/>
  <c r="F5" i="29"/>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64" i="34" l="1"/>
  <c r="H33" i="118"/>
  <c r="B7696" i="106"/>
  <c r="D7696" i="106" s="1"/>
  <c r="E66" i="184"/>
  <c r="N66" i="184" s="1"/>
  <c r="B7171" i="106"/>
  <c r="D7171" i="106" s="1"/>
  <c r="E62" i="184"/>
  <c r="N62" i="184" s="1"/>
  <c r="B7198" i="106"/>
  <c r="D7198" i="106" s="1"/>
  <c r="E65" i="184"/>
  <c r="N65" i="184" s="1"/>
  <c r="B7162" i="106"/>
  <c r="D7162" i="106" s="1"/>
  <c r="E61" i="184"/>
  <c r="N61" i="184" s="1"/>
  <c r="H15" i="184"/>
  <c r="B7126" i="106"/>
  <c r="D7126" i="106" s="1"/>
  <c r="E57" i="184"/>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B7135" i="106"/>
  <c r="D7135" i="106" s="1"/>
  <c r="E58" i="184"/>
  <c r="N58" i="184" s="1"/>
  <c r="H12" i="184"/>
  <c r="H19" i="184" s="1"/>
  <c r="L20" i="184" s="1"/>
  <c r="C342" i="29"/>
  <c r="B7216" i="106" s="1"/>
  <c r="D7216" i="106" s="1"/>
  <c r="B7705" i="106"/>
  <c r="D7705" i="106" s="1"/>
  <c r="E67" i="184"/>
  <c r="N67" i="184" s="1"/>
  <c r="B7180" i="106"/>
  <c r="D7180" i="106" s="1"/>
  <c r="E63" i="184"/>
  <c r="N63" i="184"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B1381" i="106"/>
  <c r="D1381" i="106" s="1"/>
  <c r="F41" i="108"/>
  <c r="G43" i="108" s="1"/>
  <c r="B5527" i="106"/>
  <c r="D5527" i="106" s="1"/>
  <c r="B6216" i="106"/>
  <c r="D6216" i="106" s="1"/>
  <c r="D44" i="36"/>
  <c r="L114" i="29"/>
  <c r="K342" i="29"/>
  <c r="F13" i="34" s="1"/>
  <c r="G170" i="5"/>
  <c r="B5778" i="106" s="1"/>
  <c r="D5778" i="106" s="1"/>
  <c r="N57" i="184"/>
  <c r="N68" i="184" s="1"/>
  <c r="E68" i="184"/>
  <c r="E19" i="184"/>
  <c r="E367" i="29"/>
  <c r="B3636" i="106" s="1"/>
  <c r="D3636" i="106" s="1"/>
  <c r="B3635" i="106"/>
  <c r="B1328" i="106"/>
  <c r="D1328"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<sst xmlns="http://schemas.openxmlformats.org/spreadsheetml/2006/main" count="5164" uniqueCount="2087">
  <si>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</si>
  <si>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</si>
  <si>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</si>
  <si>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</si>
  <si>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</si>
  <si>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</si>
  <si>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</si>
  <si>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</si>
  <si>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</si>
  <si>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</si>
  <si>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</si>
  <si>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</si>
  <si>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</si>
  <si>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</si>
  <si>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</si>
  <si>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</si>
  <si>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</si>
  <si>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</si>
  <si>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</si>
  <si>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</si>
  <si>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</si>
  <si>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</si>
  <si>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</si>
  <si>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</si>
  <si>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</si>
  <si>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</si>
  <si>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</si>
  <si>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</si>
  <si>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</si>
  <si>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</si>
  <si>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</si>
  <si>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</si>
  <si>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</si>
  <si>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</si>
  <si>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</si>
  <si>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</si>
  <si>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</si>
  <si>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</si>
  <si>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</si>
  <si>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</si>
  <si>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</si>
  <si>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</si>
  <si>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</si>
  <si>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</si>
  <si>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</si>
  <si>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</si>
  <si>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</si>
  <si>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</si>
  <si>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</si>
  <si>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</si>
  <si>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</si>
  <si>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</si>
  <si>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</si>
  <si>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</si>
  <si>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</si>
  <si>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</si>
  <si>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</si>
  <si>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</si>
  <si>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</si>
  <si>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</si>
  <si>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</si>
  <si>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</si>
  <si>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</si>
  <si>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</si>
  <si>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</si>
  <si>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</si>
  <si>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</si>
  <si>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</si>
  <si>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</si>
  <si>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</si>
  <si>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</si>
  <si>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</si>
  <si>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</si>
  <si>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</si>
  <si>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</si>
  <si>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</si>
  <si>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</si>
  <si>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</si>
  <si>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</si>
  <si>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</si>
  <si>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</si>
  <si>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</si>
  <si>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</si>
  <si>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</si>
  <si>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</si>
  <si>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</si>
  <si>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</si>
  <si>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</si>
  <si>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</si>
  <si>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</si>
  <si>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</si>
  <si>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</si>
  <si>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</si>
  <si>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</si>
  <si>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</si>
  <si>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</si>
  <si>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</si>
  <si>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</si>
  <si>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</si>
  <si>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</si>
  <si>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</si>
  <si>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</si>
  <si>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</si>
  <si>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</si>
  <si>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</si>
  <si>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</si>
  <si>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</si>
  <si>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</si>
  <si>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</si>
  <si>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</si>
  <si>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</si>
  <si>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</si>
  <si>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</si>
  <si>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</si>
  <si>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</si>
  <si>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</si>
  <si>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</si>
  <si>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</si>
  <si>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</si>
  <si>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</si>
  <si>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</si>
  <si>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</si>
  <si>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</si>
  <si>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</si>
  <si>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</si>
  <si>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</si>
  <si>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</si>
  <si>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</si>
  <si>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</si>
  <si>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</si>
  <si>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</si>
  <si>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</si>
  <si>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</si>
  <si>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</si>
  <si>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</si>
  <si>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</si>
  <si>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</si>
  <si>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</si>
  <si>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</si>
  <si>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</si>
  <si>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</si>
  <si>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</si>
  <si>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</si>
  <si>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</si>
  <si>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</si>
  <si>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</si>
  <si>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</si>
  <si>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</si>
  <si>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</si>
  <si>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</si>
  <si>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</si>
  <si>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</si>
  <si>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</si>
  <si>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</si>
  <si>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</si>
  <si>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</si>
  <si>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</si>
  <si>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</si>
  <si>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</si>
  <si>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</si>
  <si>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</si>
  <si>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</si>
  <si>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</si>
  <si>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</si>
  <si>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</si>
  <si>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</si>
  <si>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</si>
  <si>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</si>
  <si>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</si>
  <si>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</si>
  <si>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</si>
  <si>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</si>
  <si>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</si>
  <si>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</si>
  <si>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</si>
  <si>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</si>
  <si>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</si>
  <si>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</si>
  <si>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</si>
  <si>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</si>
  <si>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</si>
  <si>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</si>
  <si>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</si>
  <si>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</si>
  <si>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</si>
  <si>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</si>
  <si>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</si>
  <si>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</si>
  <si>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</si>
  <si>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</si>
  <si>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</si>
  <si>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</si>
  <si>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</si>
  <si>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</si>
  <si>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</si>
  <si>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</si>
  <si>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</si>
  <si>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</si>
  <si>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</si>
  <si>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</si>
  <si>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</si>
  <si>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</si>
  <si>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</si>
  <si>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</si>
  <si>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</si>
  <si>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</si>
  <si>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</si>
  <si>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</si>
  <si>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</si>
  <si>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</si>
  <si>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</si>
  <si>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</si>
  <si>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</si>
  <si>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</si>
  <si>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</si>
  <si>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</si>
  <si>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</si>
  <si>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</si>
  <si>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</si>
  <si>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</si>
  <si>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</si>
  <si>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</si>
  <si>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</si>
  <si>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</si>
  <si>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</si>
  <si>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</si>
  <si>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</si>
  <si>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</si>
  <si>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</si>
  <si>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</si>
  <si>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</si>
  <si>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</si>
  <si>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</si>
  <si>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</si>
  <si>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</si>
  <si>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</si>
  <si>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</si>
  <si>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</si>
  <si>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</si>
  <si>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</si>
  <si>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</si>
  <si>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</si>
  <si>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</si>
  <si>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</si>
  <si>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</si>
  <si>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</si>
  <si>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</si>
  <si>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</si>
  <si>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</si>
  <si>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</si>
  <si>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</si>
  <si>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</si>
  <si>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</si>
  <si>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</si>
  <si>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</si>
  <si>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</si>
  <si>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</si>
  <si>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</si>
  <si>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</si>
  <si>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</si>
  <si>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</si>
  <si>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</si>
  <si>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</si>
  <si>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</si>
  <si>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</si>
  <si>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</si>
  <si>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</si>
  <si>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</si>
  <si>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</si>
  <si>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</si>
  <si>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</si>
  <si>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</si>
  <si>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</si>
  <si>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</si>
  <si>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</si>
  <si>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</si>
  <si>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</si>
  <si>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</si>
  <si>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</si>
  <si>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</si>
  <si>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</si>
  <si>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</si>
  <si>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</si>
  <si>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</si>
  <si>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</si>
  <si>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</si>
  <si>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</si>
  <si>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</si>
  <si>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</si>
  <si>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</si>
  <si>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</si>
  <si>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</si>
  <si>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</si>
  <si>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</si>
  <si>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</si>
  <si>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</si>
  <si>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</si>
  <si>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</si>
  <si>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</si>
  <si>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</si>
  <si>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</si>
  <si>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</si>
  <si>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</si>
  <si>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</si>
  <si>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</si>
  <si>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</si>
  <si>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</si>
  <si>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</si>
  <si>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</si>
  <si>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</si>
  <si>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</si>
  <si>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</si>
  <si>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</si>
  <si>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</si>
  <si>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</si>
  <si>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</si>
  <si>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</si>
  <si>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</si>
  <si>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</si>
  <si>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</si>
  <si>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</si>
  <si>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</si>
  <si>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</si>
  <si>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</si>
  <si>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</si>
  <si>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</si>
  <si>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</si>
  <si>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</si>
  <si>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</si>
  <si>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</si>
  <si>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</si>
  <si>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</si>
  <si>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</si>
  <si>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</si>
  <si>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</si>
  <si>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</si>
  <si>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</si>
  <si>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</si>
  <si>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</si>
  <si>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</si>
  <si>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</si>
  <si>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</si>
  <si>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</si>
  <si>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</si>
  <si>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</si>
  <si>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</si>
  <si>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</si>
  <si>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</si>
  <si>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</si>
  <si>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</si>
  <si>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</si>
  <si>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</si>
  <si>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</si>
  <si>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</si>
  <si>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</si>
  <si>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</si>
  <si>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</si>
  <si>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</si>
  <si>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</si>
  <si>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</si>
  <si>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</si>
  <si>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</si>
  <si>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</si>
  <si>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</si>
  <si>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</si>
  <si>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</si>
  <si>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</si>
  <si>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</si>
  <si>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</si>
  <si>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</si>
  <si>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</si>
  <si>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</si>
  <si>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</si>
  <si>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</si>
  <si>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</si>
  <si>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</si>
  <si>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</si>
  <si>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</si>
  <si>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</si>
  <si>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</si>
  <si>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</si>
  <si>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</si>
  <si>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</si>
  <si>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</si>
  <si>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</si>
  <si>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</si>
  <si>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</si>
  <si>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</si>
  <si>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</si>
  <si>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</si>
  <si>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</si>
  <si>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</si>
  <si>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</si>
  <si>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</si>
  <si>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</si>
  <si>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</si>
  <si>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</si>
  <si>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</si>
  <si>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</si>
  <si>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</si>
  <si>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</si>
  <si>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</si>
  <si>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</si>
  <si>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</si>
  <si>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</si>
  <si>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</si>
  <si>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</si>
  <si>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</si>
  <si>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</si>
  <si>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</si>
  <si>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</si>
  <si>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</si>
  <si>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</si>
  <si>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</si>
  <si>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</si>
  <si>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</si>
  <si>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</si>
  <si>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</si>
  <si>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</si>
  <si>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</si>
  <si>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</si>
  <si>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</si>
  <si>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</si>
  <si>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</si>
  <si>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</si>
  <si>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</si>
  <si>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</si>
  <si>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</si>
  <si>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</si>
  <si>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</si>
  <si>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</si>
  <si>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</si>
  <si>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</si>
  <si>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</si>
  <si>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</si>
  <si>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</si>
  <si>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</si>
  <si>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</si>
  <si>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</si>
  <si>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</si>
  <si>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</si>
  <si>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</si>
  <si>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</si>
  <si>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</si>
  <si>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</si>
  <si>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</si>
  <si>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</si>
  <si>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</si>
  <si>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</si>
  <si>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</si>
  <si>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</si>
  <si>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</si>
  <si>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</si>
  <si>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</si>
  <si>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</si>
  <si>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</si>
  <si>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</si>
  <si>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</si>
  <si>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</si>
  <si>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</si>
  <si>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</si>
  <si>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</si>
  <si>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</si>
  <si>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</si>
  <si>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</si>
  <si>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</si>
  <si>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</si>
  <si>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</si>
  <si>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</si>
  <si>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</si>
  <si>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</si>
  <si>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</si>
  <si>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</si>
  <si>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</si>
  <si>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</si>
  <si>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</si>
  <si>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</si>
  <si>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</si>
  <si>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</si>
  <si>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</si>
  <si>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</si>
  <si>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</si>
  <si>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</si>
  <si>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</si>
  <si>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</si>
  <si>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</si>
  <si>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</si>
  <si>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</si>
  <si>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</si>
  <si>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</si>
  <si>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</si>
  <si>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</si>
  <si>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</si>
  <si>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</si>
  <si>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</si>
  <si>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</si>
  <si>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</si>
  <si>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</si>
  <si>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</si>
  <si>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</si>
  <si>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</si>
  <si>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</si>
  <si>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</si>
  <si>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</si>
  <si>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</si>
  <si>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</si>
  <si>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</si>
  <si>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</si>
  <si>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</si>
  <si>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</si>
  <si>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</si>
  <si>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</si>
  <si>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</si>
  <si>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</si>
  <si>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</si>
  <si>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</si>
  <si>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</si>
  <si>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</si>
  <si>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</si>
  <si>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</si>
  <si>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</si>
  <si>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</si>
  <si>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</si>
  <si>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</si>
  <si>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</si>
  <si>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</si>
  <si>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</si>
  <si>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</si>
  <si>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</si>
  <si>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</si>
  <si>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</si>
  <si>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</si>
  <si>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</si>
  <si>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</si>
  <si>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</si>
  <si>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</si>
  <si>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</si>
  <si>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</si>
  <si>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</si>
  <si>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</si>
  <si>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</si>
  <si>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</si>
  <si>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</si>
  <si>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</si>
  <si>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</si>
  <si>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</si>
  <si>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</si>
  <si>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</si>
  <si>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</si>
  <si>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</si>
  <si>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</si>
  <si>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</si>
  <si>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</si>
  <si>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</si>
  <si>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</si>
  <si>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</si>
  <si>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</si>
  <si>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</si>
  <si>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</si>
  <si>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</si>
  <si>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</si>
  <si>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</si>
  <si>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</si>
  <si>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</si>
  <si>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</si>
  <si>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</si>
  <si>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</si>
  <si>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</si>
  <si>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</si>
  <si>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</si>
  <si>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</si>
  <si>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</si>
  <si>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</si>
  <si>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</si>
  <si>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</si>
  <si>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</si>
  <si>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</si>
  <si>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</si>
  <si>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</si>
  <si>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</si>
  <si>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</si>
  <si>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</si>
  <si>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</si>
  <si>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</si>
  <si>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</si>
  <si>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</si>
  <si>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</si>
  <si>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</si>
  <si>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</si>
  <si>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</si>
  <si>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</si>
  <si>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</si>
  <si>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</si>
  <si>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</si>
  <si>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</si>
  <si>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</si>
  <si>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</si>
  <si>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</si>
  <si>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</si>
  <si>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</si>
  <si>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</si>
  <si>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</si>
  <si>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</si>
  <si>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</si>
  <si>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</si>
  <si>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</si>
  <si>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</si>
  <si>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</si>
  <si>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</si>
  <si>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</si>
  <si>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</si>
  <si>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</si>
  <si>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</si>
  <si>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</si>
  <si>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</si>
  <si>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</si>
  <si>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</si>
  <si>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</si>
  <si>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</si>
  <si>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</si>
  <si>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</si>
  <si>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</si>
  <si>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</si>
  <si>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</si>
  <si>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</si>
  <si>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</si>
  <si>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</si>
  <si>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</si>
  <si>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</si>
  <si>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</si>
  <si>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</si>
  <si>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</si>
  <si>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</si>
  <si>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</si>
  <si>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</si>
  <si>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</si>
  <si>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</si>
  <si>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</si>
  <si>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</si>
  <si>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</si>
  <si>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</si>
  <si>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</si>
  <si>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</si>
  <si>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</si>
  <si>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</si>
  <si>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</si>
  <si>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</si>
  <si>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</si>
  <si>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</si>
  <si>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</si>
  <si>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</si>
  <si>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</si>
  <si>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</si>
  <si>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</si>
  <si>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</si>
  <si>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</si>
  <si>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</si>
  <si>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</si>
  <si>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</si>
  <si>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</si>
  <si>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</si>
  <si>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</si>
  <si>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</si>
  <si>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</si>
  <si>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</si>
  <si>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</si>
  <si>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</si>
  <si>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</si>
  <si>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</si>
  <si>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</si>
  <si>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</si>
  <si>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</si>
  <si>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</si>
  <si>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</si>
  <si>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</si>
  <si>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</si>
  <si>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</si>
  <si>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</si>
  <si>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</si>
  <si>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</si>
  <si>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</si>
  <si>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</si>
  <si>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</si>
  <si>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</si>
  <si>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</si>
  <si>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</si>
  <si>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</si>
  <si>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</si>
  <si>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</si>
  <si>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</si>
  <si>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</si>
  <si>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</si>
  <si>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</si>
  <si>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</si>
  <si>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</si>
  <si>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</si>
  <si>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</si>
  <si>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</si>
  <si>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</si>
  <si>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</si>
  <si>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</si>
  <si>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</si>
  <si>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</si>
  <si>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</si>
  <si>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</si>
  <si>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</si>
  <si>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</si>
  <si>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</si>
  <si>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</si>
  <si>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</si>
  <si>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</si>
  <si>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</si>
  <si>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</si>
  <si>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</si>
  <si>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</si>
  <si>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</si>
  <si>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</si>
  <si>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</si>
  <si>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</si>
  <si>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</si>
  <si>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</si>
  <si>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</si>
  <si>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</si>
  <si>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</si>
  <si>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</si>
  <si>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</si>
  <si>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</si>
  <si>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</si>
  <si>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</si>
  <si>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</si>
  <si>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</si>
  <si>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</si>
  <si>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</si>
  <si>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</si>
  <si>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</si>
  <si>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</si>
  <si>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</si>
  <si>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</si>
  <si>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</si>
  <si>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</si>
  <si>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</si>
  <si>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</si>
  <si>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</si>
  <si>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</si>
  <si>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</si>
  <si>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</si>
  <si>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</si>
  <si>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</si>
  <si>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</si>
  <si>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</si>
  <si>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</si>
  <si>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</si>
  <si>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</si>
  <si>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</si>
  <si>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</si>
  <si>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</si>
  <si>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</si>
  <si>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</si>
  <si>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</si>
  <si>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</si>
  <si>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</si>
  <si>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</si>
  <si>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</si>
  <si>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</si>
  <si>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</si>
  <si>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</si>
  <si>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</si>
  <si>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</si>
  <si>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</si>
  <si>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</si>
  <si>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</si>
  <si>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</si>
  <si>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</si>
  <si>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</si>
  <si>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</si>
  <si>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</si>
  <si>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</si>
  <si>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</si>
  <si>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</si>
  <si>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</si>
  <si>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</si>
  <si>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</si>
  <si>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</si>
  <si>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</si>
  <si>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</si>
  <si>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</si>
  <si>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</si>
  <si>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</si>
  <si>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</si>
  <si>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</si>
  <si>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</si>
  <si>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</si>
  <si>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</si>
  <si>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</si>
  <si>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</si>
  <si>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</si>
  <si>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</si>
  <si>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</si>
  <si>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</si>
  <si>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</si>
  <si>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</si>
  <si>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</si>
  <si>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</si>
  <si>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</si>
  <si>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</si>
  <si>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</si>
  <si>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</si>
  <si>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</si>
  <si>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</si>
  <si>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</si>
  <si>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</si>
  <si>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</si>
  <si>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</si>
  <si>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</si>
  <si>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</si>
  <si>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</si>
  <si>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</si>
  <si>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</si>
  <si>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</si>
  <si>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</si>
  <si>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</si>
  <si>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</si>
  <si>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</si>
  <si>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</si>
  <si>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</si>
  <si>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</si>
  <si>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</si>
  <si>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</si>
  <si>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</si>
  <si>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</si>
  <si>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</si>
  <si>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</si>
  <si>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</si>
  <si>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</si>
  <si>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</si>
  <si>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</si>
  <si>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</si>
  <si>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</si>
  <si>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</si>
  <si>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</si>
  <si>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</si>
  <si>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</si>
  <si>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</si>
  <si>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</si>
  <si>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</si>
  <si>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</si>
  <si>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</si>
  <si>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</si>
  <si>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</si>
  <si>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</si>
  <si>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</si>
  <si>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</si>
  <si>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</si>
  <si>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</si>
  <si>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</si>
  <si>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</si>
  <si>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</si>
  <si>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</si>
  <si>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</si>
  <si>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</si>
  <si>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</si>
  <si>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</si>
  <si>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</si>
  <si>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</si>
  <si>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</si>
  <si>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</si>
  <si>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</si>
  <si>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</si>
  <si>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</si>
  <si>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</si>
  <si>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</si>
  <si>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</si>
  <si>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</si>
  <si>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</si>
  <si>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</si>
  <si>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</si>
  <si>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</si>
  <si>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</si>
  <si>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</si>
  <si>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</si>
  <si>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</si>
  <si>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</si>
  <si>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</si>
  <si>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</si>
  <si>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</si>
  <si>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</si>
  <si>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</si>
  <si>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</si>
  <si>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</si>
  <si>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</si>
  <si>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</si>
  <si>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</si>
  <si>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</si>
  <si>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</si>
  <si>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</si>
  <si>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</si>
  <si>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</si>
  <si>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</si>
  <si>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</si>
  <si>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</si>
  <si>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</si>
  <si>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</si>
  <si>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</si>
  <si>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</si>
  <si>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</si>
  <si>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</si>
  <si>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</si>
  <si>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</si>
  <si>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</si>
  <si>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</si>
  <si>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</si>
  <si>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</si>
  <si>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</si>
  <si>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</si>
  <si>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</si>
  <si>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</si>
  <si>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</si>
  <si>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</si>
  <si>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</si>
  <si>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</si>
  <si>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</si>
  <si>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</si>
  <si>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</si>
  <si>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</si>
  <si>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</si>
  <si>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</si>
  <si>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</si>
  <si>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</si>
  <si>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</si>
  <si>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</si>
  <si>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</si>
  <si>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</si>
  <si>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</si>
  <si>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</si>
  <si>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</si>
  <si>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</si>
  <si>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</si>
  <si>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</si>
  <si>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</si>
  <si>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</si>
  <si>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</si>
  <si>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</si>
  <si>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</si>
  <si>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</si>
  <si>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</si>
  <si>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</si>
  <si>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</si>
  <si>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</si>
  <si>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</si>
  <si>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</si>
  <si>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</si>
  <si>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</si>
  <si>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</si>
  <si>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</si>
  <si>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</si>
  <si>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</si>
  <si>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</si>
  <si>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</si>
  <si>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</si>
  <si>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</si>
  <si>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</si>
  <si>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</si>
  <si>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</si>
  <si>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</si>
  <si>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</si>
  <si>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</si>
  <si>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</si>
  <si>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</si>
  <si>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</si>
  <si>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</si>
  <si>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</si>
  <si>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</si>
  <si>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</si>
  <si>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</si>
  <si>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</si>
  <si>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</si>
  <si>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</si>
  <si>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</si>
  <si>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</si>
  <si>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</si>
  <si>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</si>
  <si>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</si>
  <si>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</si>
  <si>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</si>
  <si>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</si>
  <si>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</si>
  <si>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</si>
  <si>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</si>
  <si>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</si>
  <si>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</si>
  <si>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</si>
  <si>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</si>
  <si>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</si>
  <si>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</si>
  <si>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</si>
  <si>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</si>
  <si>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</si>
  <si>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</si>
  <si>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</si>
  <si>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</si>
  <si>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</si>
  <si>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</si>
  <si>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</si>
  <si>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</si>
  <si>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</si>
  <si>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</si>
  <si>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</si>
  <si>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</si>
  <si>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</si>
  <si>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</si>
  <si>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</si>
  <si>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</si>
  <si>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</si>
  <si>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</si>
  <si>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</si>
  <si>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</si>
  <si>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</si>
  <si>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</si>
  <si>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</si>
  <si>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</si>
  <si>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</si>
  <si>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</si>
  <si>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</si>
  <si>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</si>
  <si>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</si>
  <si>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</si>
  <si>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</si>
  <si>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</si>
  <si>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</si>
  <si>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</si>
  <si>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</si>
  <si>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</si>
  <si>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</si>
  <si>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</si>
  <si>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</si>
  <si>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</si>
  <si>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</si>
  <si>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</si>
  <si>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</si>
  <si>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</si>
  <si>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</si>
  <si>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</si>
  <si>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</si>
  <si>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</si>
  <si>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</si>
  <si>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</si>
  <si>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</si>
  <si>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</si>
  <si>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</si>
  <si>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</si>
  <si>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</si>
  <si>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</si>
  <si>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</si>
  <si>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</si>
  <si>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</si>
  <si>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</si>
  <si>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</si>
  <si>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</si>
  <si>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</si>
  <si>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</si>
  <si>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</si>
  <si>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</si>
  <si>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</si>
  <si>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</si>
  <si>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</si>
  <si>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</si>
  <si>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</si>
  <si>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</si>
  <si>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</si>
  <si>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</si>
  <si>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</si>
  <si>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</si>
  <si>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</si>
  <si>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</si>
  <si>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</si>
  <si>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</si>
  <si>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</si>
  <si>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</si>
  <si>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</si>
  <si>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</si>
  <si>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</si>
  <si>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</si>
  <si>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</si>
  <si>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</si>
  <si>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</si>
  <si>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</si>
  <si>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</si>
  <si>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</si>
  <si>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</si>
  <si>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</si>
  <si>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</si>
  <si>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</si>
  <si>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</si>
  <si>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</si>
  <si>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</si>
  <si>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</si>
  <si>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</si>
  <si>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</si>
  <si>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</si>
  <si>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</si>
  <si>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</si>
  <si>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</si>
  <si>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</si>
  <si>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</si>
  <si>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</si>
  <si>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</si>
  <si>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</si>
  <si>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</si>
  <si>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</si>
  <si>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</si>
  <si>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</si>
  <si>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</si>
  <si>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</si>
  <si>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</si>
  <si>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</si>
  <si>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</si>
  <si>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</si>
  <si>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</si>
  <si>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</si>
  <si>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</si>
  <si>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</si>
  <si>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</si>
  <si>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</si>
  <si>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</si>
  <si>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</si>
  <si>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</si>
  <si>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</si>
  <si>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</si>
  <si>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</si>
  <si>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</si>
  <si>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</si>
  <si>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</si>
  <si>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</si>
  <si>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</si>
  <si>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</si>
  <si>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</si>
  <si>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</si>
  <si>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</si>
  <si>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</si>
  <si>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</si>
  <si>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</si>
  <si>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</si>
  <si>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</si>
  <si>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</si>
  <si>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</si>
  <si>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</si>
  <si>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</si>
  <si>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</si>
  <si>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</si>
  <si>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</si>
  <si>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</si>
  <si>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</si>
  <si>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</si>
  <si>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</si>
  <si>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</si>
  <si>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</si>
  <si>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</si>
  <si>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</si>
  <si>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</si>
  <si>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</si>
  <si>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</si>
  <si>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</si>
  <si>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</si>
  <si>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</si>
  <si>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</si>
  <si>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</si>
  <si>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</si>
  <si>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</si>
  <si>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</si>
  <si>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</si>
  <si>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</si>
  <si>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</si>
  <si>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</si>
  <si>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</si>
  <si>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</si>
  <si>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</si>
  <si>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</si>
  <si>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</si>
  <si>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</si>
  <si>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</si>
  <si>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</si>
  <si>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</si>
  <si>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</si>
  <si>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</si>
  <si>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</si>
  <si>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</si>
  <si>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</si>
  <si>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</si>
  <si>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</si>
  <si>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</si>
  <si>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</si>
  <si>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</si>
  <si>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</si>
  <si>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</si>
  <si>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</si>
  <si>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</si>
  <si>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</si>
  <si>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</si>
  <si>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</si>
  <si>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</si>
  <si>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</si>
  <si>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</si>
  <si>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</si>
  <si>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</si>
  <si>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</si>
  <si>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</si>
  <si>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</si>
  <si>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</si>
  <si>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</si>
  <si>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</si>
  <si>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</si>
  <si>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</si>
  <si>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</si>
  <si>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</si>
  <si>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</si>
  <si>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</si>
  <si>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</si>
  <si>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</si>
  <si>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</si>
  <si>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</si>
  <si>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</si>
  <si>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</si>
  <si>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</si>
  <si>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</si>
  <si>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</si>
  <si>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</si>
  <si>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</si>
  <si>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</si>
  <si>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</si>
  <si>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</si>
  <si>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</si>
  <si>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</si>
  <si>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</si>
  <si>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</si>
  <si>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</si>
  <si>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</si>
  <si>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</si>
  <si>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</si>
  <si>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</si>
  <si>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</si>
  <si>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</si>
  <si>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</si>
  <si>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</si>
  <si>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</si>
  <si>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</si>
  <si>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</si>
  <si>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</si>
  <si>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</si>
  <si>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</si>
  <si>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</si>
  <si>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</si>
  <si>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</si>
  <si>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</si>
  <si>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</si>
  <si>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</si>
  <si>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</si>
  <si>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</si>
  <si>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</si>
  <si>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</si>
  <si>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</si>
  <si>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</si>
  <si>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</si>
  <si>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</si>
  <si>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</si>
  <si>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</si>
  <si>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</si>
  <si>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</si>
  <si>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</si>
  <si>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</si>
  <si>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</si>
  <si>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</si>
  <si>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</si>
  <si>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</si>
  <si>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</si>
  <si>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</si>
  <si>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</si>
  <si>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</si>
  <si>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</si>
  <si>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</si>
  <si>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</si>
  <si>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</si>
  <si>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</si>
  <si>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</si>
  <si>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</si>
  <si>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</si>
  <si>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</si>
  <si>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</si>
  <si>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</si>
  <si>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</si>
  <si>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</si>
  <si>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</si>
  <si>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</si>
  <si>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</si>
  <si>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</si>
  <si>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</si>
  <si>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</si>
  <si>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</si>
  <si>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</si>
  <si>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</si>
  <si>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</si>
  <si>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</si>
  <si>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</si>
  <si>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</si>
  <si>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</si>
  <si>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</si>
  <si>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</si>
  <si>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</si>
  <si>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</si>
  <si>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</si>
  <si>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</si>
  <si>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</si>
  <si>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</si>
  <si>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</si>
  <si>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</si>
  <si>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</si>
  <si>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</si>
  <si>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</si>
  <si>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</si>
  <si>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</si>
  <si>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</si>
  <si>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</si>
  <si>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</si>
  <si>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</si>
  <si>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</si>
  <si>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</si>
  <si>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</si>
  <si>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</si>
  <si>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</si>
  <si>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</si>
  <si>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</si>
  <si>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</si>
  <si>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</si>
  <si>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</si>
  <si>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</si>
  <si>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</si>
  <si>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</si>
  <si>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</si>
  <si>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</si>
  <si>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</si>
  <si>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</si>
  <si>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</si>
  <si>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</si>
  <si>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</si>
  <si>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</si>
  <si>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</si>
  <si>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</si>
  <si>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</si>
  <si>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</si>
  <si>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</si>
  <si>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</si>
  <si>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</si>
  <si>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</si>
  <si>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</si>
  <si>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</si>
  <si>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</si>
  <si>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</si>
  <si>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</si>
  <si>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</si>
  <si>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</si>
  <si>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</si>
  <si>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</si>
  <si>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</si>
  <si>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</si>
  <si>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</si>
  <si>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</si>
  <si>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</si>
  <si>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</si>
  <si>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</si>
  <si>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</si>
  <si>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</si>
  <si>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</si>
  <si>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</si>
  <si>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</si>
  <si>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</si>
  <si>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</si>
  <si>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</si>
  <si>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</si>
  <si>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</si>
  <si>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</si>
  <si>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</si>
  <si>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</si>
  <si>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</si>
  <si>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</si>
  <si>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</si>
  <si>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</si>
  <si>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</si>
  <si>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</si>
  <si>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</si>
  <si>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</si>
  <si>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</si>
  <si>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</si>
  <si>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</si>
  <si>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</si>
  <si>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</si>
  <si>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</si>
  <si>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</si>
  <si>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</si>
  <si>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</si>
  <si>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</si>
  <si>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</si>
  <si>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</si>
  <si>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</si>
  <si>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</si>
  <si>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</si>
  <si>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</si>
  <si>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</si>
  <si>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</si>
  <si>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</si>
  <si>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</si>
  <si>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</si>
  <si>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</si>
  <si>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</si>
  <si>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</si>
  <si>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</si>
  <si>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</si>
  <si>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</si>
  <si>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</si>
  <si>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</si>
  <si>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</si>
  <si>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</si>
  <si>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</si>
  <si>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</si>
  <si>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</si>
  <si>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</si>
  <si>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</si>
  <si>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</si>
  <si>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</si>
  <si>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</si>
  <si>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</si>
  <si>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</si>
  <si>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</si>
  <si>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</si>
  <si>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</si>
  <si>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</si>
  <si>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</si>
  <si>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</si>
  <si>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</si>
  <si>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</si>
  <si>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</si>
  <si>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</si>
  <si>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</si>
  <si>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</si>
  <si>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</si>
  <si>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</si>
  <si>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</si>
  <si>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</si>
  <si>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</si>
  <si>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</si>
  <si>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</si>
  <si>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</si>
  <si>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</si>
  <si>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</si>
  <si>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</si>
  <si>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</si>
  <si>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</si>
  <si>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</si>
  <si>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</si>
  <si>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</si>
  <si>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</si>
  <si>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</si>
  <si>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</si>
  <si>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</si>
  <si>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</si>
  <si>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</si>
  <si>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</si>
  <si>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</si>
  <si>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</si>
  <si>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</si>
  <si>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</si>
  <si>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</si>
  <si>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</si>
  <si>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</si>
  <si>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</si>
  <si>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</si>
  <si>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</si>
  <si>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</si>
  <si>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</si>
  <si>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</si>
  <si>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</si>
  <si>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</si>
  <si>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</si>
  <si>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</si>
  <si>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</si>
  <si>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</si>
  <si>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</si>
  <si>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</si>
  <si>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</si>
  <si>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</si>
  <si>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</si>
  <si>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</si>
  <si>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</si>
  <si>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</si>
  <si>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</si>
  <si>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</si>
  <si>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</si>
  <si>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</si>
  <si>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</si>
  <si>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</si>
  <si>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</si>
  <si>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</si>
  <si>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</si>
  <si>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</si>
  <si>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</si>
  <si>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</si>
  <si>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</si>
  <si>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</si>
  <si>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</si>
  <si>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</si>
  <si>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</si>
  <si>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</si>
  <si>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</si>
  <si>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</si>
  <si>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</si>
  <si>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</si>
  <si>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</si>
  <si>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</si>
  <si>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</si>
  <si>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</si>
  <si>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</si>
  <si>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</si>
  <si>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</si>
  <si>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</si>
  <si>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</si>
  <si>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</si>
  <si>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</si>
  <si>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</si>
  <si>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</si>
  <si>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</si>
  <si>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</si>
  <si>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</si>
  <si>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</si>
  <si>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</si>
  <si>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</si>
  <si>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</si>
  <si>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</si>
  <si>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</si>
  <si>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</si>
  <si>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</si>
  <si>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</si>
  <si>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</si>
  <si>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</si>
  <si>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</si>
  <si>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</si>
  <si>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</si>
  <si>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</si>
  <si>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</si>
  <si>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</si>
  <si>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</si>
  <si>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</si>
  <si>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</si>
  <si>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</si>
  <si>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</si>
  <si>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</si>
  <si>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</si>
  <si>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</si>
  <si>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</si>
  <si>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</si>
  <si>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</si>
  <si>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</si>
  <si>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</si>
  <si>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</si>
  <si>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</si>
  <si>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</si>
  <si>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</si>
  <si>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</si>
  <si>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</si>
  <si>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</si>
  <si>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</si>
  <si>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</si>
  <si>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</si>
  <si>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</si>
  <si>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</si>
  <si>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</si>
  <si>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</si>
  <si>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</si>
  <si>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</si>
  <si>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</si>
  <si>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</si>
  <si>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</si>
  <si>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</si>
  <si>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</si>
  <si>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</si>
  <si>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</si>
  <si>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</si>
  <si>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</si>
  <si>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</si>
  <si>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</si>
  <si>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</si>
  <si>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</si>
  <si>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</si>
  <si>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</si>
  <si>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</si>
  <si>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</si>
  <si>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</si>
  <si>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</si>
  <si>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</si>
  <si>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</si>
  <si>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</si>
  <si>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</si>
  <si>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</si>
  <si>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</si>
  <si>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</si>
  <si>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</si>
  <si>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</si>
  <si>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</si>
  <si>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</si>
  <si>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</si>
  <si>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</si>
  <si>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</si>
  <si>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</si>
  <si>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</si>
  <si>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</si>
  <si>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</si>
  <si>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</si>
  <si>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</si>
  <si>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</si>
  <si>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</si>
  <si>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</si>
  <si>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</si>
  <si>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</si>
  <si>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</si>
  <si>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</si>
  <si>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</si>
  <si>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</si>
  <si>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</si>
  <si>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</si>
  <si>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</si>
  <si>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</si>
  <si>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</si>
  <si>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</si>
  <si>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</si>
  <si>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</si>
  <si>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</si>
  <si>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</si>
  <si>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</si>
  <si>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</si>
  <si>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</si>
  <si>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</si>
  <si>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</si>
  <si>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</si>
  <si>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</si>
  <si>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</si>
  <si>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</si>
  <si>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</si>
  <si>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</si>
  <si>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</si>
  <si>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</si>
  <si>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</si>
  <si>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</si>
  <si>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</si>
  <si>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</si>
  <si>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</si>
  <si>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</si>
  <si>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</si>
  <si>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</si>
  <si>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</si>
  <si>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</si>
  <si>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</si>
  <si>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</si>
  <si>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</si>
  <si>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</si>
  <si>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</si>
  <si>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</si>
  <si>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</si>
  <si>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</si>
  <si>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</si>
  <si>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</si>
  <si>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</si>
  <si>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</si>
  <si>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</si>
  <si>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</si>
  <si>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</si>
  <si>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</si>
  <si>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</si>
  <si>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</si>
  <si>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</si>
  <si>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</si>
  <si>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</si>
  <si>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</si>
  <si>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</si>
  <si>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</si>
  <si>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</si>
  <si>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</si>
  <si>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</si>
  <si>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</si>
  <si>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</si>
  <si>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</si>
  <si>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</si>
  <si>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</si>
  <si>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</si>
  <si>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</si>
  <si>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</si>
  <si>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</si>
  <si>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</si>
  <si>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</si>
  <si>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</si>
  <si>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</si>
  <si>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</si>
  <si>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</si>
  <si>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</si>
  <si>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</si>
  <si>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</si>
  <si>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</si>
  <si>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</si>
  <si>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</si>
  <si>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</si>
  <si>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</si>
  <si>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</si>
  <si>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</si>
  <si>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</si>
  <si>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</si>
  <si>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</si>
  <si>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</si>
  <si>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</si>
  <si>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</si>
  <si>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</si>
  <si>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</si>
  <si>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</si>
  <si>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</si>
  <si>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</si>
  <si>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</si>
  <si>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</si>
  <si>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</si>
  <si>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</si>
  <si>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</si>
  <si>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</si>
  <si>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</si>
  <si>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</si>
  <si>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</si>
  <si>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</si>
  <si>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</si>
  <si>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</si>
  <si>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</si>
  <si>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</si>
  <si>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</si>
  <si>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</si>
  <si>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</si>
  <si>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</si>
  <si>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</si>
  <si>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</si>
  <si>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</si>
  <si>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</si>
  <si>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</si>
  <si>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</si>
  <si>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</si>
  <si>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</si>
  <si>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</si>
  <si>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</si>
  <si>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</si>
  <si>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</si>
  <si>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</si>
  <si>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</si>
  <si>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</si>
  <si>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</si>
  <si>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</si>
  <si>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</si>
  <si>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</si>
  <si>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</si>
  <si>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</si>
  <si>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</si>
  <si>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</si>
  <si>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</si>
  <si>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</si>
  <si>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</si>
  <si>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</si>
  <si>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</si>
  <si>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</si>
  <si>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</si>
  <si>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</si>
  <si>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</si>
  <si>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</si>
  <si>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</si>
  <si>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</si>
  <si>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</si>
  <si>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</si>
  <si>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</si>
  <si>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</si>
  <si>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</si>
  <si>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</si>
  <si>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</si>
  <si>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</si>
  <si>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</si>
  <si>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</si>
  <si>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</si>
  <si>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</si>
  <si>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</si>
  <si>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</si>
  <si>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</si>
  <si>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</si>
  <si>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</si>
  <si>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</si>
  <si>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</si>
  <si>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</si>
  <si>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</si>
  <si>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</si>
  <si>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</si>
  <si>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</si>
  <si>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</si>
  <si>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</si>
  <si>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</si>
  <si>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</si>
  <si>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</si>
  <si>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</si>
  <si>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</si>
  <si>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</si>
  <si>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</si>
  <si>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</si>
  <si>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</si>
  <si>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</si>
  <si>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</si>
  <si>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</si>
  <si>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</si>
  <si>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</si>
  <si>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</si>
  <si>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</si>
  <si>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</si>
  <si>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</si>
  <si>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</si>
  <si>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</si>
  <si>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</si>
  <si>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</si>
  <si>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</si>
  <si>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</si>
  <si>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</si>
  <si>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</si>
  <si>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</si>
  <si>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</si>
  <si>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</si>
  <si>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</si>
  <si>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</si>
  <si>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</si>
  <si>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</si>
  <si>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</si>
  <si>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</si>
  <si>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</si>
  <si>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</si>
  <si>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</si>
  <si>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</si>
  <si>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</si>
  <si>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</si>
  <si>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</si>
  <si>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</si>
  <si>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</si>
  <si>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</si>
  <si>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</si>
  <si>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</si>
  <si>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</si>
  <si>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</si>
  <si>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</si>
  <si>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</si>
  <si>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</si>
  <si>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</si>
  <si>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</si>
  <si>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</si>
  <si>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</si>
  <si>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</si>
  <si>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</si>
  <si>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</si>
  <si>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</si>
  <si>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</si>
  <si>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</si>
  <si>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</si>
  <si>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</si>
  <si>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</si>
  <si>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</si>
  <si>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</si>
  <si>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</si>
  <si>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</si>
  <si>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</si>
  <si>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</si>
  <si>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</si>
  <si>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</si>
  <si>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</si>
  <si>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</si>
  <si>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</si>
  <si>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</si>
  <si>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</si>
  <si>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</si>
  <si>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</si>
  <si>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</si>
  <si>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</si>
  <si>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</si>
  <si>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</si>
  <si>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</si>
  <si>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</si>
  <si>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</si>
  <si>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</si>
  <si>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</si>
  <si>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</si>
  <si>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</si>
  <si>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</si>
  <si>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</si>
  <si>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</si>
  <si>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</si>
  <si>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</si>
  <si>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</si>
  <si>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</si>
  <si>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</si>
  <si>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</si>
  <si>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</si>
  <si>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</si>
  <si>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</si>
  <si>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</si>
  <si>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</si>
  <si>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</si>
  <si>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</si>
  <si>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</si>
  <si>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</si>
  <si>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</si>
  <si>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</si>
  <si>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</si>
  <si>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</si>
  <si>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</si>
  <si>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</si>
  <si>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</si>
  <si>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</si>
  <si>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</si>
  <si>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</si>
  <si>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</si>
  <si>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</si>
  <si>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</si>
  <si>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</si>
  <si>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</si>
  <si>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</si>
  <si>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</si>
  <si>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</si>
  <si>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</si>
  <si>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</si>
  <si>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</si>
  <si>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</si>
  <si>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</si>
  <si>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</si>
  <si>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</si>
  <si>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</si>
  <si>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</si>
  <si>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</si>
  <si>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</si>
  <si>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</si>
  <si>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</si>
  <si>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</si>
  <si>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</si>
  <si>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</si>
  <si>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</si>
  <si>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</si>
  <si>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</si>
  <si>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</si>
  <si>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</si>
  <si>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</si>
  <si>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</si>
  <si>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</si>
  <si>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</si>
  <si>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</si>
  <si>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</si>
  <si>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</si>
  <si>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</si>
  <si>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</si>
  <si>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</si>
  <si>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</si>
  <si>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</si>
  <si>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</si>
  <si>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</si>
  <si>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</si>
  <si>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</si>
  <si>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</si>
  <si>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</si>
  <si>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</si>
  <si>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</si>
  <si>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</si>
  <si>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</si>
  <si>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</si>
  <si>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</si>
  <si>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</si>
  <si>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</si>
  <si>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</si>
  <si>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</si>
  <si>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</si>
  <si>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</si>
  <si>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</si>
  <si>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</si>
  <si>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</si>
  <si>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</si>
  <si>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</si>
  <si>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</si>
  <si>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</si>
  <si>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</si>
  <si>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</si>
  <si>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</si>
  <si>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</si>
  <si>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</si>
  <si>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</si>
  <si>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</si>
  <si>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</si>
  <si>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</si>
  <si>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</si>
  <si>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</si>
  <si>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</si>
  <si>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</si>
  <si>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</si>
  <si>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</si>
  <si>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</si>
  <si>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</si>
  <si>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</si>
  <si>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</si>
  <si>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</si>
  <si>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</si>
  <si>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</si>
  <si>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</si>
  <si>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</si>
  <si>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</si>
  <si>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</si>
  <si>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</si>
  <si>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</si>
  <si>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</si>
  <si>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</si>
  <si>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</si>
  <si>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</si>
  <si>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</si>
  <si>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</si>
  <si>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</si>
  <si>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</si>
  <si>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</si>
  <si>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</si>
  <si>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</si>
  <si>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</si>
  <si>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</si>
  <si>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</si>
  <si>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</si>
  <si>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</si>
  <si>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</si>
  <si>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</si>
  <si>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</si>
  <si>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</si>
  <si>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</si>
  <si>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</si>
  <si>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</si>
  <si>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</si>
  <si>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</si>
  <si>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</si>
  <si>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</si>
  <si>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</si>
  <si>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</si>
  <si>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</si>
  <si>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</si>
  <si>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</si>
  <si>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</si>
  <si>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</si>
  <si>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</si>
  <si>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</si>
  <si>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</si>
  <si>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</si>
  <si>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</si>
  <si>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Bureau</t>
  </si>
  <si>
    <t>101 S Euclid Ave</t>
  </si>
  <si>
    <t xml:space="preserve">Princeton  </t>
  </si>
  <si>
    <t>kharing@phs-il.org</t>
  </si>
  <si>
    <t>Kirk Haring</t>
  </si>
  <si>
    <t>815-875-3308</t>
  </si>
  <si>
    <t>Hopkins &amp; Associates, CPAs</t>
  </si>
  <si>
    <t>Kim Bird</t>
  </si>
  <si>
    <t>314 S McCoy St</t>
  </si>
  <si>
    <t>Granville</t>
  </si>
  <si>
    <t>IL</t>
  </si>
  <si>
    <t>815-339-6630</t>
  </si>
  <si>
    <t>815-339-6643</t>
  </si>
  <si>
    <t>066-004501</t>
  </si>
  <si>
    <t>kim@hopkinsoffice.com</t>
  </si>
  <si>
    <t>2016 GO Bonds</t>
  </si>
  <si>
    <t>Bus Lease</t>
  </si>
  <si>
    <t>2020 GO Bonds</t>
  </si>
  <si>
    <t>Lease</t>
  </si>
  <si>
    <t>Taylor's Way</t>
  </si>
  <si>
    <t>Pipco Companies</t>
  </si>
  <si>
    <t>Kone, Inc.</t>
  </si>
  <si>
    <t>O&amp;M-Plant Maint-Purchase Services</t>
  </si>
  <si>
    <t>American Protection</t>
  </si>
  <si>
    <t>Sonitrol Great Lakes - IL</t>
  </si>
  <si>
    <t>LaSalle Co Food Coop</t>
  </si>
  <si>
    <t>BMP Special Ed Coop</t>
  </si>
  <si>
    <t>Princeton Elementary School</t>
  </si>
  <si>
    <t>LaSalle-Peru Area Career Center</t>
  </si>
  <si>
    <t>Ed 1690 Other Food Service - $8,598 Other receipts</t>
  </si>
  <si>
    <t>Ed 1790 Other District/Activity - $15,762 Participation Fees</t>
  </si>
  <si>
    <t>Ed 1999 Other Local - $4,030 Activity Fees, O&amp;M $8,390 building usage reimbursements &amp; IPRF education grant</t>
  </si>
  <si>
    <t>Ed 4090 E-rate</t>
  </si>
  <si>
    <t>Ed 4998 - DHS Step Services</t>
  </si>
  <si>
    <t>Debt Schedule includes bus leases which are paid from the Transportation and not Debt Service Fund.</t>
  </si>
  <si>
    <t>Princeton Twp HSD 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</si>
</sst>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866775</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401</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2002</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520</v>
      </c>
      <c r="J4" s="2080"/>
      <c r="K4" s="2080"/>
      <c r="L4" s="2080"/>
      <c r="M4" s="2080"/>
      <c r="N4" s="2080"/>
      <c r="O4" s="2080"/>
      <c r="P4" s="2080"/>
      <c r="Q4" s="2080"/>
      <c r="R4" s="2080"/>
      <c r="S4" s="2080"/>
    </row>
    <row r="5" spans="1:32" ht="14.1" customHeight="1" x14ac:dyDescent="0.2">
      <c r="B5" s="101" t="s">
        <v>2050</v>
      </c>
      <c r="C5" s="26" t="s">
        <v>903</v>
      </c>
      <c r="D5" s="81"/>
      <c r="E5" s="81"/>
      <c r="H5" s="38"/>
      <c r="I5" s="2089" t="s">
        <v>674</v>
      </c>
      <c r="J5" s="2088"/>
      <c r="K5" s="2088"/>
      <c r="L5" s="2088"/>
      <c r="M5" s="2088"/>
      <c r="N5" s="2088"/>
      <c r="O5" s="2088"/>
      <c r="P5" s="2088"/>
      <c r="Q5" s="2088"/>
      <c r="R5" s="2088"/>
      <c r="S5" s="2088"/>
      <c r="AF5" s="1827"/>
    </row>
    <row r="6" spans="1:32" ht="14.1" customHeight="1" x14ac:dyDescent="0.2">
      <c r="B6" s="101"/>
      <c r="C6" s="26" t="s">
        <v>904</v>
      </c>
      <c r="D6" s="81"/>
      <c r="E6" s="81"/>
      <c r="I6" s="2087" t="s">
        <v>876</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668</v>
      </c>
      <c r="J9" s="2085"/>
      <c r="K9" s="2085"/>
      <c r="L9" s="2085"/>
      <c r="M9" s="2085"/>
      <c r="N9" s="2085"/>
      <c r="O9" s="2085"/>
      <c r="P9" s="2085"/>
      <c r="Q9" s="2085"/>
      <c r="R9" s="2085"/>
      <c r="S9" s="2086"/>
      <c r="T9" s="2137" t="s">
        <v>529</v>
      </c>
      <c r="U9" s="2138"/>
      <c r="V9" s="2138"/>
      <c r="W9" s="2138"/>
      <c r="X9" s="2138"/>
      <c r="Y9" s="2138"/>
      <c r="Z9" s="2138"/>
      <c r="AA9" s="2139"/>
    </row>
    <row r="10" spans="1:32" ht="13.5" customHeight="1" x14ac:dyDescent="0.2">
      <c r="A10" s="2144" t="s">
        <v>669</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948</v>
      </c>
      <c r="B11" s="2148"/>
      <c r="C11" s="2148"/>
      <c r="D11" s="2148"/>
      <c r="E11" s="2148"/>
      <c r="F11" s="2148"/>
      <c r="G11" s="2148"/>
      <c r="H11" s="2149"/>
      <c r="I11" s="27"/>
      <c r="J11" s="71"/>
      <c r="K11" s="27"/>
      <c r="O11" s="144" t="s">
        <v>2050</v>
      </c>
      <c r="P11" s="97" t="s">
        <v>199</v>
      </c>
      <c r="Q11" s="30"/>
      <c r="R11" s="28"/>
      <c r="S11" s="27"/>
      <c r="T11" s="2141"/>
      <c r="U11" s="2142"/>
      <c r="V11" s="2142"/>
      <c r="W11" s="2142"/>
      <c r="X11" s="2142"/>
      <c r="Y11" s="2142"/>
      <c r="Z11" s="2142"/>
      <c r="AA11" s="214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0">
        <v>28006500015</v>
      </c>
      <c r="B13" s="2101"/>
      <c r="C13" s="2101"/>
      <c r="D13" s="2101"/>
      <c r="E13" s="2101"/>
      <c r="F13" s="2101"/>
      <c r="G13" s="2101"/>
      <c r="H13" s="2102"/>
      <c r="I13" s="31"/>
      <c r="J13" s="30"/>
      <c r="K13" s="28"/>
      <c r="L13" s="30"/>
      <c r="M13" s="30"/>
      <c r="N13" s="30"/>
      <c r="O13" s="30"/>
      <c r="P13" s="30"/>
      <c r="Q13" s="30"/>
      <c r="R13" s="30"/>
      <c r="S13" s="30"/>
      <c r="T13" s="2106" t="s">
        <v>2057</v>
      </c>
      <c r="U13" s="2107"/>
      <c r="V13" s="2107"/>
      <c r="W13" s="2107"/>
      <c r="X13" s="2107"/>
      <c r="Y13" s="2108"/>
      <c r="Z13" s="2108"/>
      <c r="AA13" s="210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3" t="s">
        <v>2051</v>
      </c>
      <c r="B15" s="2104"/>
      <c r="C15" s="2104"/>
      <c r="D15" s="2104"/>
      <c r="E15" s="2104"/>
      <c r="F15" s="2104"/>
      <c r="G15" s="2104"/>
      <c r="H15" s="2105"/>
      <c r="T15" s="2110" t="s">
        <v>2058</v>
      </c>
      <c r="U15" s="2067"/>
      <c r="V15" s="2067"/>
      <c r="W15" s="2067"/>
      <c r="X15" s="2067"/>
      <c r="Y15" s="2111"/>
      <c r="Z15" s="2111"/>
      <c r="AA15" s="211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3" t="s">
        <v>2086</v>
      </c>
      <c r="B17" s="2074"/>
      <c r="C17" s="2074"/>
      <c r="D17" s="2074"/>
      <c r="E17" s="2074"/>
      <c r="F17" s="2074"/>
      <c r="G17" s="2074"/>
      <c r="H17" s="2099"/>
      <c r="T17" s="2117" t="s">
        <v>2059</v>
      </c>
      <c r="U17" s="2118"/>
      <c r="V17" s="2118"/>
      <c r="W17" s="2118"/>
      <c r="X17" s="2118"/>
      <c r="Y17" s="2118"/>
      <c r="Z17" s="2118"/>
      <c r="AA17" s="2119"/>
    </row>
    <row r="18" spans="1:27" ht="13.5" customHeight="1" x14ac:dyDescent="0.2">
      <c r="A18" s="82" t="s">
        <v>526</v>
      </c>
      <c r="B18" s="73"/>
      <c r="C18" s="69"/>
      <c r="D18" s="73"/>
      <c r="E18" s="73"/>
      <c r="F18" s="73"/>
      <c r="G18" s="73"/>
      <c r="H18" s="53"/>
      <c r="I18" s="2098" t="s">
        <v>670</v>
      </c>
      <c r="J18" s="2049"/>
      <c r="K18" s="2049"/>
      <c r="L18" s="2049"/>
      <c r="M18" s="2049"/>
      <c r="N18" s="2049"/>
      <c r="O18" s="2049"/>
      <c r="P18" s="2049"/>
      <c r="Q18" s="2049"/>
      <c r="R18" s="2049"/>
      <c r="S18" s="2050"/>
      <c r="T18" s="82" t="s">
        <v>705</v>
      </c>
      <c r="U18" s="48"/>
      <c r="V18" s="69"/>
      <c r="W18" s="47"/>
      <c r="X18" s="82" t="s">
        <v>263</v>
      </c>
      <c r="Y18" s="78"/>
      <c r="Z18" s="154" t="s">
        <v>671</v>
      </c>
      <c r="AA18" s="44"/>
    </row>
    <row r="19" spans="1:27" ht="13.5" customHeight="1" x14ac:dyDescent="0.2">
      <c r="A19" s="2103" t="s">
        <v>2052</v>
      </c>
      <c r="B19" s="2059"/>
      <c r="C19" s="2059"/>
      <c r="D19" s="2059"/>
      <c r="E19" s="2059"/>
      <c r="F19" s="2059"/>
      <c r="G19" s="2059"/>
      <c r="H19" s="2039"/>
      <c r="I19" s="30"/>
      <c r="J19" s="96"/>
      <c r="K19" s="40"/>
      <c r="L19" s="38"/>
      <c r="M19" s="109" t="s">
        <v>311</v>
      </c>
      <c r="P19" s="27"/>
      <c r="Q19" s="27"/>
      <c r="R19" s="27"/>
      <c r="S19" s="31"/>
      <c r="T19" s="2103" t="s">
        <v>2060</v>
      </c>
      <c r="U19" s="2038"/>
      <c r="V19" s="2038"/>
      <c r="W19" s="2039"/>
      <c r="X19" s="2115" t="s">
        <v>2061</v>
      </c>
      <c r="Y19" s="2116"/>
      <c r="Z19" s="2113">
        <v>61326</v>
      </c>
      <c r="AA19" s="211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7" t="s">
        <v>2053</v>
      </c>
      <c r="B21" s="2038"/>
      <c r="C21" s="2038"/>
      <c r="D21" s="2038"/>
      <c r="E21" s="2038"/>
      <c r="F21" s="2038"/>
      <c r="G21" s="2038"/>
      <c r="H21" s="2039"/>
      <c r="I21" s="2093" t="s">
        <v>672</v>
      </c>
      <c r="J21" s="2088"/>
      <c r="K21" s="2088"/>
      <c r="L21" s="2088"/>
      <c r="M21" s="2088"/>
      <c r="N21" s="2088"/>
      <c r="O21" s="2088"/>
      <c r="P21" s="2088"/>
      <c r="Q21" s="2088"/>
      <c r="R21" s="2088"/>
      <c r="S21" s="2094"/>
      <c r="T21" s="2128" t="s">
        <v>2062</v>
      </c>
      <c r="U21" s="2129"/>
      <c r="V21" s="2129"/>
      <c r="W21" s="2129"/>
      <c r="X21" s="2134" t="s">
        <v>2063</v>
      </c>
      <c r="Y21" s="2135"/>
      <c r="Z21" s="2135"/>
      <c r="AA21" s="2136"/>
    </row>
    <row r="22" spans="1:27" ht="13.5" customHeight="1" x14ac:dyDescent="0.2">
      <c r="A22" s="84" t="s">
        <v>527</v>
      </c>
      <c r="B22" s="56"/>
      <c r="C22" s="56"/>
      <c r="D22" s="56"/>
      <c r="E22" s="56"/>
      <c r="F22" s="56"/>
      <c r="G22" s="56"/>
      <c r="H22" s="57"/>
      <c r="I22" s="2095" t="s">
        <v>1411</v>
      </c>
      <c r="J22" s="2096"/>
      <c r="K22" s="2096"/>
      <c r="L22" s="2096"/>
      <c r="M22" s="2096"/>
      <c r="N22" s="2096"/>
      <c r="O22" s="2096"/>
      <c r="P22" s="2096"/>
      <c r="Q22" s="2096"/>
      <c r="R22" s="2096"/>
      <c r="S22" s="2097"/>
      <c r="T22" s="82" t="s">
        <v>1498</v>
      </c>
      <c r="U22" s="48"/>
      <c r="V22" s="69"/>
      <c r="W22" s="48"/>
      <c r="X22" s="155" t="s">
        <v>1306</v>
      </c>
      <c r="Z22" s="43"/>
      <c r="AA22" s="44"/>
    </row>
    <row r="23" spans="1:27" ht="13.5" customHeight="1" x14ac:dyDescent="0.2">
      <c r="A23" s="2090" t="s">
        <v>2054</v>
      </c>
      <c r="B23" s="2091"/>
      <c r="C23" s="2091"/>
      <c r="D23" s="2091"/>
      <c r="E23" s="2091"/>
      <c r="F23" s="2091"/>
      <c r="G23" s="2091"/>
      <c r="H23" s="2092"/>
      <c r="T23" s="2073" t="s">
        <v>2064</v>
      </c>
      <c r="U23" s="2127"/>
      <c r="V23" s="2127"/>
      <c r="W23" s="2127"/>
      <c r="X23" s="2131">
        <v>44530</v>
      </c>
      <c r="Y23" s="2132"/>
      <c r="Z23" s="2132"/>
      <c r="AA23" s="2133"/>
    </row>
    <row r="24" spans="1:27" ht="14.1" customHeight="1" x14ac:dyDescent="0.2">
      <c r="A24" s="85" t="s">
        <v>671</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527</v>
      </c>
      <c r="U24" s="103"/>
      <c r="V24" s="103"/>
      <c r="W24" s="103"/>
      <c r="X24" s="104"/>
      <c r="Y24" s="104"/>
      <c r="Z24" s="104"/>
      <c r="AA24" s="105"/>
    </row>
    <row r="25" spans="1:27" ht="14.1" customHeight="1" x14ac:dyDescent="0.2">
      <c r="A25" s="2037">
        <v>61356</v>
      </c>
      <c r="B25" s="2038"/>
      <c r="C25" s="2038"/>
      <c r="D25" s="2038"/>
      <c r="E25" s="2038"/>
      <c r="F25" s="2038"/>
      <c r="G25" s="2038"/>
      <c r="H25" s="2039"/>
      <c r="I25" s="110"/>
      <c r="J25" s="2062"/>
      <c r="K25" s="2062"/>
      <c r="L25" s="2062"/>
      <c r="M25" s="2062"/>
      <c r="N25" s="2062"/>
      <c r="O25" s="2062"/>
      <c r="P25" s="2062"/>
      <c r="Q25" s="2062"/>
      <c r="R25" s="2062"/>
      <c r="S25" s="2063"/>
      <c r="T25" s="2124" t="s">
        <v>2065</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8" t="s">
        <v>1493</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2050</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3" t="s">
        <v>2055</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527</v>
      </c>
      <c r="B39" s="2044"/>
      <c r="C39" s="69"/>
      <c r="D39" s="66"/>
      <c r="E39" s="66"/>
      <c r="F39" s="76"/>
      <c r="G39" s="66"/>
      <c r="H39" s="53"/>
      <c r="I39" s="2043" t="s">
        <v>527</v>
      </c>
      <c r="J39" s="2044"/>
      <c r="K39" s="2044"/>
      <c r="L39" s="2044"/>
      <c r="M39" s="2044"/>
      <c r="N39" s="64"/>
      <c r="O39" s="69"/>
      <c r="P39" s="69"/>
      <c r="Q39" s="75"/>
      <c r="R39" s="69"/>
      <c r="S39" s="53"/>
      <c r="T39" s="69" t="s">
        <v>527</v>
      </c>
      <c r="U39" s="48"/>
      <c r="V39" s="69"/>
      <c r="W39" s="47"/>
      <c r="X39" s="75"/>
      <c r="Y39" s="43"/>
      <c r="Z39" s="43"/>
      <c r="AA39" s="44"/>
    </row>
    <row r="40" spans="1:27" ht="13.5" customHeight="1" x14ac:dyDescent="0.2">
      <c r="A40" s="2051" t="s">
        <v>2054</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5" t="s">
        <v>2056</v>
      </c>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1144</v>
      </c>
      <c r="B4" s="1721">
        <f>'Revenues 9-14'!C5</f>
        <v>2438769</v>
      </c>
      <c r="C4" s="1722"/>
      <c r="D4" s="1723">
        <f>B4-C4</f>
        <v>2438769</v>
      </c>
      <c r="E4" s="1722">
        <v>2522576</v>
      </c>
      <c r="F4" s="1723">
        <f>E4-C4</f>
        <v>2522576</v>
      </c>
    </row>
    <row r="5" spans="1:8" ht="13.7" customHeight="1" x14ac:dyDescent="0.2">
      <c r="A5" s="579" t="s">
        <v>864</v>
      </c>
      <c r="B5" s="1724">
        <f>'Revenues 9-14'!D5</f>
        <v>662704</v>
      </c>
      <c r="C5" s="1664"/>
      <c r="D5" s="1725">
        <f t="shared" ref="D5:D18" si="0">B5-C5</f>
        <v>662704</v>
      </c>
      <c r="E5" s="1664">
        <v>685483</v>
      </c>
      <c r="F5" s="1725">
        <f>E5-C5</f>
        <v>685483</v>
      </c>
    </row>
    <row r="6" spans="1:8" ht="13.7" customHeight="1" x14ac:dyDescent="0.2">
      <c r="A6" s="579" t="s">
        <v>407</v>
      </c>
      <c r="B6" s="1724">
        <f>'Revenues 9-14'!E5</f>
        <v>819297</v>
      </c>
      <c r="C6" s="1664"/>
      <c r="D6" s="1725">
        <f t="shared" si="0"/>
        <v>819297</v>
      </c>
      <c r="E6" s="1664">
        <v>820495</v>
      </c>
      <c r="F6" s="1725">
        <f t="shared" ref="F6:F18" si="1">E6-C6</f>
        <v>820495</v>
      </c>
    </row>
    <row r="7" spans="1:8" ht="13.7" customHeight="1" x14ac:dyDescent="0.2">
      <c r="A7" s="579" t="s">
        <v>154</v>
      </c>
      <c r="B7" s="1724">
        <f>'Revenues 9-14'!F5</f>
        <v>318099</v>
      </c>
      <c r="C7" s="1664"/>
      <c r="D7" s="1725">
        <f t="shared" si="0"/>
        <v>318099</v>
      </c>
      <c r="E7" s="1664">
        <v>329032</v>
      </c>
      <c r="F7" s="1725">
        <f t="shared" si="1"/>
        <v>329032</v>
      </c>
    </row>
    <row r="8" spans="1:8" ht="13.7" customHeight="1" x14ac:dyDescent="0.2">
      <c r="A8" s="579" t="s">
        <v>1168</v>
      </c>
      <c r="B8" s="1724">
        <f>'Revenues 9-14'!G5</f>
        <v>124301</v>
      </c>
      <c r="C8" s="1664"/>
      <c r="D8" s="1725">
        <f t="shared" si="0"/>
        <v>124301</v>
      </c>
      <c r="E8" s="1664">
        <v>74909</v>
      </c>
      <c r="F8" s="1725">
        <f t="shared" si="1"/>
        <v>74909</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132540</v>
      </c>
      <c r="C10" s="1664"/>
      <c r="D10" s="1725">
        <f t="shared" si="0"/>
        <v>132540</v>
      </c>
      <c r="E10" s="1664">
        <v>137097</v>
      </c>
      <c r="F10" s="1725">
        <f t="shared" si="1"/>
        <v>137097</v>
      </c>
    </row>
    <row r="11" spans="1:8" x14ac:dyDescent="0.2">
      <c r="A11" s="579" t="s">
        <v>405</v>
      </c>
      <c r="B11" s="1724">
        <f>'Revenues 9-14'!J5</f>
        <v>596498</v>
      </c>
      <c r="C11" s="1664"/>
      <c r="D11" s="1725">
        <f t="shared" si="0"/>
        <v>596498</v>
      </c>
      <c r="E11" s="1664">
        <v>649180</v>
      </c>
      <c r="F11" s="1725">
        <f t="shared" si="1"/>
        <v>649180</v>
      </c>
    </row>
    <row r="12" spans="1:8" ht="13.7" customHeight="1" x14ac:dyDescent="0.2">
      <c r="A12" s="579" t="s">
        <v>156</v>
      </c>
      <c r="B12" s="1724">
        <f>'Revenues 9-14'!K5</f>
        <v>132540</v>
      </c>
      <c r="C12" s="1664"/>
      <c r="D12" s="1725">
        <f t="shared" si="0"/>
        <v>132540</v>
      </c>
      <c r="E12" s="1664">
        <v>137097</v>
      </c>
      <c r="F12" s="1725">
        <f t="shared" si="1"/>
        <v>137097</v>
      </c>
    </row>
    <row r="13" spans="1:8" ht="13.7" customHeight="1" x14ac:dyDescent="0.2">
      <c r="A13" s="579" t="s">
        <v>929</v>
      </c>
      <c r="B13" s="1724">
        <f>SUM('Revenues 9-14'!C6:D6)</f>
        <v>132540</v>
      </c>
      <c r="C13" s="1664"/>
      <c r="D13" s="1725">
        <f t="shared" si="0"/>
        <v>132540</v>
      </c>
      <c r="E13" s="1664">
        <v>137097</v>
      </c>
      <c r="F13" s="1725">
        <f t="shared" si="1"/>
        <v>137097</v>
      </c>
    </row>
    <row r="14" spans="1:8" ht="13.7" customHeight="1" x14ac:dyDescent="0.2">
      <c r="A14" s="579" t="s">
        <v>406</v>
      </c>
      <c r="B14" s="1724">
        <f>SUM('Revenues 9-14'!C7:D7,'Revenues 9-14'!F7:H7)</f>
        <v>53016</v>
      </c>
      <c r="C14" s="1664"/>
      <c r="D14" s="1725">
        <f t="shared" si="0"/>
        <v>53016</v>
      </c>
      <c r="E14" s="1664">
        <v>54839</v>
      </c>
      <c r="F14" s="1725">
        <f t="shared" si="1"/>
        <v>54839</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124301</v>
      </c>
      <c r="C16" s="1664"/>
      <c r="D16" s="1725">
        <f t="shared" si="0"/>
        <v>124301</v>
      </c>
      <c r="E16" s="1664">
        <v>74909</v>
      </c>
      <c r="F16" s="1725">
        <f t="shared" si="1"/>
        <v>74909</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5534605</v>
      </c>
      <c r="C19" s="1726">
        <f>SUM(C4:C18)</f>
        <v>0</v>
      </c>
      <c r="D19" s="1726">
        <f>SUM(D4:D18)</f>
        <v>5534605</v>
      </c>
      <c r="E19" s="1726">
        <f>SUM(E4:E18)</f>
        <v>5622714</v>
      </c>
      <c r="F19" s="1726">
        <f>SUM(F4:F18)</f>
        <v>5622714</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8" sqref="J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624</v>
      </c>
      <c r="B1" s="2308"/>
      <c r="C1" s="585"/>
    </row>
    <row r="2" spans="1:7" ht="33.75" x14ac:dyDescent="0.2">
      <c r="A2" s="2315" t="s">
        <v>1778</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1103</v>
      </c>
      <c r="B3" s="2318"/>
      <c r="C3" s="2311"/>
      <c r="D3" s="2312"/>
      <c r="E3" s="2312"/>
      <c r="F3" s="2313"/>
    </row>
    <row r="4" spans="1:7" ht="12.75" customHeight="1" thickBot="1" x14ac:dyDescent="0.25">
      <c r="A4" s="2305" t="s">
        <v>625</v>
      </c>
      <c r="B4" s="2306"/>
      <c r="C4" s="1656"/>
      <c r="D4" s="1656"/>
      <c r="E4" s="1656"/>
      <c r="F4" s="1732">
        <f>SUM(C4+D4)-E4</f>
        <v>0</v>
      </c>
    </row>
    <row r="5" spans="1:7" ht="15.75" customHeight="1" thickTop="1" x14ac:dyDescent="0.2">
      <c r="A5" s="2309" t="s">
        <v>1100</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01" t="s">
        <v>626</v>
      </c>
      <c r="B15" s="2302"/>
      <c r="C15" s="1732">
        <f>SUM(C6:C14)</f>
        <v>0</v>
      </c>
      <c r="D15" s="1732">
        <f>SUM(D6:D14)</f>
        <v>0</v>
      </c>
      <c r="E15" s="1732">
        <f>SUM(E6:E14)</f>
        <v>0</v>
      </c>
      <c r="F15" s="1732">
        <f>SUM(F6:F14)</f>
        <v>0</v>
      </c>
      <c r="G15" s="473"/>
    </row>
    <row r="16" spans="1:7" s="197" customFormat="1" ht="15.75" customHeight="1" thickTop="1" x14ac:dyDescent="0.2">
      <c r="A16" s="2314" t="s">
        <v>1101</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384</v>
      </c>
      <c r="B19" s="2297"/>
      <c r="C19" s="1733"/>
      <c r="D19" s="1664"/>
      <c r="E19" s="1733"/>
      <c r="F19" s="1732">
        <f>SUM(C19+D19)-E19</f>
        <v>0</v>
      </c>
    </row>
    <row r="20" spans="1:11" ht="12.75" customHeight="1" thickTop="1" thickBot="1" x14ac:dyDescent="0.25">
      <c r="A20" s="2296" t="s">
        <v>444</v>
      </c>
      <c r="B20" s="2297"/>
      <c r="C20" s="1733"/>
      <c r="D20" s="1664"/>
      <c r="E20" s="1733"/>
      <c r="F20" s="1732">
        <f>SUM(C20+D20)-E20</f>
        <v>0</v>
      </c>
    </row>
    <row r="21" spans="1:11" ht="14.25" thickTop="1" thickBot="1" x14ac:dyDescent="0.25">
      <c r="A21" s="2301" t="s">
        <v>627</v>
      </c>
      <c r="B21" s="2302"/>
      <c r="C21" s="1732">
        <f>SUM(C17:C20)</f>
        <v>0</v>
      </c>
      <c r="D21" s="1732">
        <f>SUM(D17:D20)</f>
        <v>0</v>
      </c>
      <c r="E21" s="1732">
        <f>SUM(E17:E20)</f>
        <v>0</v>
      </c>
      <c r="F21" s="1732">
        <f>SUM(F17:F20)</f>
        <v>0</v>
      </c>
      <c r="G21" s="473"/>
    </row>
    <row r="22" spans="1:11" ht="15.75" customHeight="1" thickTop="1" x14ac:dyDescent="0.2">
      <c r="A22" s="2303" t="s">
        <v>1102</v>
      </c>
      <c r="B22" s="2304"/>
      <c r="C22" s="2298"/>
      <c r="D22" s="2299"/>
      <c r="E22" s="2299"/>
      <c r="F22" s="2300"/>
    </row>
    <row r="23" spans="1:11" ht="13.5" thickBot="1" x14ac:dyDescent="0.25">
      <c r="A23" s="2305" t="s">
        <v>628</v>
      </c>
      <c r="B23" s="2306"/>
      <c r="C23" s="1656"/>
      <c r="D23" s="1656"/>
      <c r="E23" s="1656"/>
      <c r="F23" s="1732">
        <f>SUM(C23+D23)-E23</f>
        <v>0</v>
      </c>
      <c r="G23" s="473"/>
    </row>
    <row r="24" spans="1:11" ht="15.75" customHeight="1" thickTop="1" x14ac:dyDescent="0.2">
      <c r="A24" s="2303" t="s">
        <v>2005</v>
      </c>
      <c r="B24" s="2304"/>
      <c r="C24" s="2298"/>
      <c r="D24" s="2299"/>
      <c r="E24" s="2299"/>
      <c r="F24" s="2300"/>
    </row>
    <row r="25" spans="1:11" ht="13.5" thickBot="1" x14ac:dyDescent="0.25">
      <c r="A25" s="2305" t="s">
        <v>2006</v>
      </c>
      <c r="B25" s="2306"/>
      <c r="C25" s="1656"/>
      <c r="D25" s="1656"/>
      <c r="E25" s="1656"/>
      <c r="F25" s="1732">
        <f>SUM(C25+D25)-E25</f>
        <v>0</v>
      </c>
      <c r="G25" s="473"/>
    </row>
    <row r="26" spans="1:11" ht="15.75" customHeight="1" thickTop="1" x14ac:dyDescent="0.2">
      <c r="A26" s="2309" t="s">
        <v>651</v>
      </c>
      <c r="B26" s="2304"/>
      <c r="C26" s="589"/>
      <c r="D26" s="589"/>
      <c r="E26" s="589"/>
      <c r="F26" s="590"/>
    </row>
    <row r="27" spans="1:11" ht="13.5" thickBot="1" x14ac:dyDescent="0.25">
      <c r="A27" s="2301" t="s">
        <v>1060</v>
      </c>
      <c r="B27" s="2302"/>
      <c r="C27" s="1664"/>
      <c r="D27" s="1664"/>
      <c r="E27" s="1664"/>
      <c r="F27" s="1732">
        <f>SUM(C27+D27)-E27</f>
        <v>0</v>
      </c>
      <c r="G27" s="473"/>
    </row>
    <row r="28" spans="1:11" ht="7.5" customHeight="1" thickTop="1" x14ac:dyDescent="0.2">
      <c r="A28" s="489"/>
    </row>
    <row r="29" spans="1:11" ht="23.25" customHeight="1" x14ac:dyDescent="0.2">
      <c r="A29" s="2307" t="s">
        <v>577</v>
      </c>
      <c r="B29" s="2308"/>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42429</v>
      </c>
      <c r="C31" s="1734">
        <v>4770000</v>
      </c>
      <c r="D31" s="1735">
        <v>4</v>
      </c>
      <c r="E31" s="1734">
        <v>2580000</v>
      </c>
      <c r="F31" s="1734"/>
      <c r="G31" s="1734"/>
      <c r="H31" s="1734">
        <v>770000</v>
      </c>
      <c r="I31" s="1736">
        <f>((E31+F31)-H31)+G31</f>
        <v>1810000</v>
      </c>
      <c r="J31" s="1734">
        <f>1810000-110554</f>
        <v>1699446</v>
      </c>
      <c r="K31" s="596"/>
    </row>
    <row r="32" spans="1:11" ht="12" customHeight="1" x14ac:dyDescent="0.2">
      <c r="A32" s="594" t="s">
        <v>2067</v>
      </c>
      <c r="B32" s="595">
        <v>42917</v>
      </c>
      <c r="C32" s="1734">
        <v>119024</v>
      </c>
      <c r="D32" s="1735">
        <v>7</v>
      </c>
      <c r="E32" s="1734">
        <v>71414</v>
      </c>
      <c r="F32" s="1734"/>
      <c r="G32" s="1734"/>
      <c r="H32" s="1734">
        <v>23804</v>
      </c>
      <c r="I32" s="1736">
        <f>((E32+F32)-H32)+G32</f>
        <v>47610</v>
      </c>
      <c r="J32" s="1734">
        <v>47610</v>
      </c>
      <c r="K32" s="596"/>
    </row>
    <row r="33" spans="1:11" ht="12" customHeight="1" x14ac:dyDescent="0.2">
      <c r="A33" s="594" t="s">
        <v>2067</v>
      </c>
      <c r="B33" s="595">
        <v>42917</v>
      </c>
      <c r="C33" s="1734">
        <v>60577</v>
      </c>
      <c r="D33" s="1735">
        <v>7</v>
      </c>
      <c r="E33" s="1734">
        <v>36347</v>
      </c>
      <c r="F33" s="1734"/>
      <c r="G33" s="1734"/>
      <c r="H33" s="1734">
        <v>12116</v>
      </c>
      <c r="I33" s="1736">
        <f t="shared" ref="I33:I48" si="1">((E33+F33)-H33)+G33</f>
        <v>24231</v>
      </c>
      <c r="J33" s="1734">
        <v>24231</v>
      </c>
      <c r="K33" s="596"/>
    </row>
    <row r="34" spans="1:11" ht="12" customHeight="1" x14ac:dyDescent="0.2">
      <c r="A34" s="594" t="s">
        <v>2067</v>
      </c>
      <c r="B34" s="595">
        <v>42186</v>
      </c>
      <c r="C34" s="1734">
        <v>55800</v>
      </c>
      <c r="D34" s="1735">
        <v>7</v>
      </c>
      <c r="E34" s="1734">
        <v>11160</v>
      </c>
      <c r="F34" s="1734"/>
      <c r="G34" s="1734"/>
      <c r="H34" s="1734">
        <v>11160</v>
      </c>
      <c r="I34" s="1736">
        <f t="shared" si="1"/>
        <v>0</v>
      </c>
      <c r="J34" s="1734"/>
      <c r="K34" s="597"/>
    </row>
    <row r="35" spans="1:11" ht="12" customHeight="1" x14ac:dyDescent="0.2">
      <c r="A35" s="594" t="s">
        <v>2067</v>
      </c>
      <c r="B35" s="595">
        <v>42186</v>
      </c>
      <c r="C35" s="1737">
        <v>214000</v>
      </c>
      <c r="D35" s="1735">
        <v>7</v>
      </c>
      <c r="E35" s="1737">
        <v>42800</v>
      </c>
      <c r="F35" s="1737"/>
      <c r="G35" s="1737"/>
      <c r="H35" s="1737">
        <v>42800</v>
      </c>
      <c r="I35" s="1736">
        <f t="shared" si="1"/>
        <v>0</v>
      </c>
      <c r="J35" s="1737"/>
      <c r="K35" s="597"/>
    </row>
    <row r="36" spans="1:11" ht="12" customHeight="1" x14ac:dyDescent="0.2">
      <c r="A36" s="594" t="s">
        <v>2067</v>
      </c>
      <c r="B36" s="595">
        <v>42552</v>
      </c>
      <c r="C36" s="1734">
        <v>58000</v>
      </c>
      <c r="D36" s="1735">
        <v>7</v>
      </c>
      <c r="E36" s="1734">
        <v>23200</v>
      </c>
      <c r="F36" s="1734"/>
      <c r="G36" s="1734"/>
      <c r="H36" s="1734">
        <v>11600</v>
      </c>
      <c r="I36" s="1736">
        <f t="shared" si="1"/>
        <v>11600</v>
      </c>
      <c r="J36" s="1734">
        <v>11600</v>
      </c>
      <c r="K36" s="598"/>
    </row>
    <row r="37" spans="1:11" ht="12" customHeight="1" x14ac:dyDescent="0.2">
      <c r="A37" s="594" t="s">
        <v>2067</v>
      </c>
      <c r="B37" s="595">
        <v>43647</v>
      </c>
      <c r="C37" s="1574">
        <v>60489</v>
      </c>
      <c r="D37" s="1738">
        <v>7</v>
      </c>
      <c r="E37" s="1574"/>
      <c r="F37" s="1574">
        <v>60489</v>
      </c>
      <c r="G37" s="1574"/>
      <c r="H37" s="1574">
        <v>12098</v>
      </c>
      <c r="I37" s="1736">
        <f t="shared" si="1"/>
        <v>48391</v>
      </c>
      <c r="J37" s="1574">
        <v>48391</v>
      </c>
      <c r="K37" s="597"/>
    </row>
    <row r="38" spans="1:11" ht="12" customHeight="1" x14ac:dyDescent="0.2">
      <c r="A38" s="594" t="s">
        <v>2068</v>
      </c>
      <c r="B38" s="595">
        <v>43888</v>
      </c>
      <c r="C38" s="1734">
        <v>2075000</v>
      </c>
      <c r="D38" s="1739">
        <v>4</v>
      </c>
      <c r="E38" s="1740"/>
      <c r="F38" s="1740">
        <v>2075000</v>
      </c>
      <c r="G38" s="1740"/>
      <c r="H38" s="1740"/>
      <c r="I38" s="1736">
        <f t="shared" si="1"/>
        <v>2075000</v>
      </c>
      <c r="J38" s="1741">
        <v>2075000</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7412890</v>
      </c>
      <c r="D49" s="1742"/>
      <c r="E49" s="1736">
        <f t="shared" ref="E49:J49" si="2">SUM(E31:E48)</f>
        <v>2764921</v>
      </c>
      <c r="F49" s="1736">
        <f t="shared" si="2"/>
        <v>2135489</v>
      </c>
      <c r="G49" s="1736">
        <f t="shared" si="2"/>
        <v>0</v>
      </c>
      <c r="H49" s="1736">
        <f t="shared" si="2"/>
        <v>883578</v>
      </c>
      <c r="I49" s="1736">
        <f t="shared" si="2"/>
        <v>4016832</v>
      </c>
      <c r="J49" s="1736">
        <f t="shared" si="2"/>
        <v>3906278</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0" t="s">
        <v>579</v>
      </c>
      <c r="C52" s="2291"/>
      <c r="D52" s="2291"/>
      <c r="E52" s="603" t="s">
        <v>839</v>
      </c>
      <c r="F52" s="2292" t="s">
        <v>2069</v>
      </c>
      <c r="G52" s="2293"/>
      <c r="H52" s="596"/>
      <c r="I52" s="596"/>
      <c r="J52" s="600"/>
    </row>
    <row r="53" spans="1:11" ht="11.25" customHeight="1" x14ac:dyDescent="0.2">
      <c r="A53" s="604" t="s">
        <v>906</v>
      </c>
      <c r="B53" s="605" t="s">
        <v>944</v>
      </c>
      <c r="C53" s="600"/>
      <c r="D53" s="597"/>
      <c r="E53" s="603" t="s">
        <v>493</v>
      </c>
      <c r="F53" s="2294"/>
      <c r="G53" s="2295"/>
      <c r="H53" s="596"/>
      <c r="I53" s="596"/>
      <c r="J53" s="600"/>
    </row>
    <row r="54" spans="1:11" ht="11.25" customHeight="1" x14ac:dyDescent="0.2">
      <c r="A54" s="606" t="s">
        <v>907</v>
      </c>
      <c r="B54" s="601" t="s">
        <v>945</v>
      </c>
      <c r="C54" s="600"/>
      <c r="D54" s="597"/>
      <c r="E54" s="603" t="s">
        <v>494</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850</v>
      </c>
      <c r="B1" s="2320"/>
      <c r="C1" s="2320"/>
      <c r="D1" s="2320"/>
      <c r="E1" s="2320"/>
      <c r="F1" s="2320"/>
      <c r="G1" s="2321"/>
      <c r="H1" s="1298"/>
      <c r="I1" s="614"/>
      <c r="J1" s="400"/>
    </row>
    <row r="2" spans="1:11" ht="26.25" x14ac:dyDescent="0.2">
      <c r="A2" s="2338" t="s">
        <v>1657</v>
      </c>
      <c r="B2" s="2339"/>
      <c r="C2" s="2339"/>
      <c r="D2" s="2339"/>
      <c r="E2" s="2340"/>
      <c r="F2" s="615" t="s">
        <v>897</v>
      </c>
      <c r="G2" s="616" t="s">
        <v>1654</v>
      </c>
      <c r="H2" s="616" t="s">
        <v>406</v>
      </c>
      <c r="I2" s="616" t="s">
        <v>1147</v>
      </c>
      <c r="J2" s="616" t="s">
        <v>1788</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365</v>
      </c>
      <c r="B4" s="2345"/>
      <c r="C4" s="2345"/>
      <c r="D4" s="2345"/>
      <c r="E4" s="2291"/>
      <c r="F4" s="620"/>
      <c r="G4" s="1746"/>
      <c r="H4" s="1747"/>
      <c r="I4" s="1746"/>
      <c r="J4" s="1748"/>
      <c r="K4" s="1748"/>
    </row>
    <row r="5" spans="1:11" x14ac:dyDescent="0.2">
      <c r="A5" s="2322" t="s">
        <v>1059</v>
      </c>
      <c r="B5" s="2323"/>
      <c r="C5" s="2323"/>
      <c r="D5" s="2323"/>
      <c r="E5" s="2324"/>
      <c r="F5" s="622" t="s">
        <v>842</v>
      </c>
      <c r="G5" s="1749"/>
      <c r="H5" s="1744">
        <v>53016</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v>3395</v>
      </c>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v>16823</v>
      </c>
    </row>
    <row r="10" spans="1:11" x14ac:dyDescent="0.2">
      <c r="A10" s="2322" t="s">
        <v>1789</v>
      </c>
      <c r="B10" s="2323"/>
      <c r="C10" s="2323"/>
      <c r="D10" s="2323"/>
      <c r="E10" s="2325"/>
      <c r="F10" s="633" t="s">
        <v>856</v>
      </c>
      <c r="G10" s="1753"/>
      <c r="H10" s="1754"/>
      <c r="I10" s="1744"/>
      <c r="J10" s="1745"/>
      <c r="K10" s="1745"/>
    </row>
    <row r="11" spans="1:11" x14ac:dyDescent="0.2">
      <c r="A11" s="2322" t="s">
        <v>159</v>
      </c>
      <c r="B11" s="2323"/>
      <c r="C11" s="2323"/>
      <c r="D11" s="2323"/>
      <c r="E11" s="2324"/>
      <c r="F11" s="622" t="s">
        <v>846</v>
      </c>
      <c r="G11" s="1749"/>
      <c r="H11" s="1744"/>
      <c r="I11" s="1744"/>
      <c r="J11" s="1745"/>
      <c r="K11" s="1751"/>
    </row>
    <row r="12" spans="1:11" ht="13.5" thickBot="1" x14ac:dyDescent="0.25">
      <c r="A12" s="2349" t="s">
        <v>898</v>
      </c>
      <c r="B12" s="2350"/>
      <c r="C12" s="2350"/>
      <c r="D12" s="2350"/>
      <c r="E12" s="2351"/>
      <c r="F12" s="1433"/>
      <c r="G12" s="1755">
        <f>SUM(G5:G11)</f>
        <v>0</v>
      </c>
      <c r="H12" s="1755">
        <f>SUM(H5:H11)</f>
        <v>53016</v>
      </c>
      <c r="I12" s="1755">
        <f>SUM(I5:I11)</f>
        <v>0</v>
      </c>
      <c r="J12" s="1755">
        <f>SUM(J5:J11)</f>
        <v>0</v>
      </c>
      <c r="K12" s="1755">
        <f>SUM(K5:K11)</f>
        <v>20218</v>
      </c>
    </row>
    <row r="13" spans="1:11" ht="13.5" thickTop="1" x14ac:dyDescent="0.2">
      <c r="A13" s="2346" t="s">
        <v>366</v>
      </c>
      <c r="B13" s="2347"/>
      <c r="C13" s="2347"/>
      <c r="D13" s="2347"/>
      <c r="E13" s="2348"/>
      <c r="F13" s="634"/>
      <c r="G13" s="1756"/>
      <c r="H13" s="1757"/>
      <c r="I13" s="1758"/>
      <c r="J13" s="1758"/>
      <c r="K13" s="1758"/>
    </row>
    <row r="14" spans="1:11" x14ac:dyDescent="0.2">
      <c r="A14" s="2329" t="s">
        <v>452</v>
      </c>
      <c r="B14" s="2329"/>
      <c r="C14" s="2329"/>
      <c r="D14" s="2329"/>
      <c r="E14" s="2330"/>
      <c r="F14" s="635" t="s">
        <v>848</v>
      </c>
      <c r="G14" s="1753"/>
      <c r="H14" s="1744">
        <v>53016</v>
      </c>
      <c r="I14" s="1749"/>
      <c r="J14" s="1751"/>
      <c r="K14" s="1745">
        <v>20218</v>
      </c>
    </row>
    <row r="15" spans="1:11" x14ac:dyDescent="0.2">
      <c r="A15" s="2323" t="s">
        <v>4</v>
      </c>
      <c r="B15" s="2323"/>
      <c r="C15" s="2323"/>
      <c r="D15" s="2323"/>
      <c r="E15" s="2324"/>
      <c r="F15" s="635" t="s">
        <v>849</v>
      </c>
      <c r="G15" s="1749"/>
      <c r="H15" s="1744"/>
      <c r="I15" s="1744"/>
      <c r="J15" s="1745"/>
      <c r="K15" s="1745"/>
    </row>
    <row r="16" spans="1:11" x14ac:dyDescent="0.2">
      <c r="A16" s="2323" t="s">
        <v>294</v>
      </c>
      <c r="B16" s="2323"/>
      <c r="C16" s="2323"/>
      <c r="D16" s="2323"/>
      <c r="E16" s="2324"/>
      <c r="F16" s="635" t="s">
        <v>916</v>
      </c>
      <c r="G16" s="1750"/>
      <c r="H16" s="1746"/>
      <c r="I16" s="1746"/>
      <c r="J16" s="1748"/>
      <c r="K16" s="1748"/>
    </row>
    <row r="17" spans="1:15" x14ac:dyDescent="0.2">
      <c r="A17" s="2356" t="s">
        <v>928</v>
      </c>
      <c r="B17" s="2356"/>
      <c r="C17" s="2356"/>
      <c r="D17" s="2356"/>
      <c r="E17" s="2357"/>
      <c r="F17" s="636"/>
      <c r="G17" s="1759"/>
      <c r="H17" s="1760"/>
      <c r="I17" s="1760"/>
      <c r="J17" s="1761"/>
      <c r="K17" s="1762"/>
    </row>
    <row r="18" spans="1:15" x14ac:dyDescent="0.2">
      <c r="A18" s="2333" t="s">
        <v>364</v>
      </c>
      <c r="B18" s="2334"/>
      <c r="C18" s="2334"/>
      <c r="D18" s="2334"/>
      <c r="E18" s="2335"/>
      <c r="F18" s="635" t="s">
        <v>925</v>
      </c>
      <c r="G18" s="1753"/>
      <c r="H18" s="1753"/>
      <c r="I18" s="1753"/>
      <c r="J18" s="1745"/>
      <c r="K18" s="1763"/>
    </row>
    <row r="19" spans="1:15" ht="21.75" customHeight="1" x14ac:dyDescent="0.2">
      <c r="A19" s="2331" t="s">
        <v>1785</v>
      </c>
      <c r="B19" s="2331"/>
      <c r="C19" s="2331"/>
      <c r="D19" s="2331"/>
      <c r="E19" s="2332"/>
      <c r="F19" s="635" t="s">
        <v>926</v>
      </c>
      <c r="G19" s="1753"/>
      <c r="H19" s="1753"/>
      <c r="I19" s="1753"/>
      <c r="J19" s="1745"/>
      <c r="K19" s="1763"/>
    </row>
    <row r="20" spans="1:15" x14ac:dyDescent="0.2">
      <c r="A20" s="2333" t="s">
        <v>1790</v>
      </c>
      <c r="B20" s="2334"/>
      <c r="C20" s="2334"/>
      <c r="D20" s="2334"/>
      <c r="E20" s="2335"/>
      <c r="F20" s="635" t="s">
        <v>927</v>
      </c>
      <c r="G20" s="1753"/>
      <c r="H20" s="1753"/>
      <c r="I20" s="1753"/>
      <c r="J20" s="1745"/>
      <c r="K20" s="1763"/>
    </row>
    <row r="21" spans="1:15" ht="13.5" thickBot="1" x14ac:dyDescent="0.25">
      <c r="A21" s="2352" t="s">
        <v>632</v>
      </c>
      <c r="B21" s="2352"/>
      <c r="C21" s="2352"/>
      <c r="D21" s="2352"/>
      <c r="E21" s="2352"/>
      <c r="F21" s="1434"/>
      <c r="G21" s="1760"/>
      <c r="H21" s="1764"/>
      <c r="I21" s="1764"/>
      <c r="J21" s="1765">
        <f>SUM(J18:J20)</f>
        <v>0</v>
      </c>
      <c r="K21" s="1761"/>
    </row>
    <row r="22" spans="1:15" ht="13.5" thickTop="1" x14ac:dyDescent="0.2">
      <c r="A22" s="2323" t="s">
        <v>1791</v>
      </c>
      <c r="B22" s="2323"/>
      <c r="C22" s="2323"/>
      <c r="D22" s="2323"/>
      <c r="E22" s="2324"/>
      <c r="F22" s="635" t="s">
        <v>856</v>
      </c>
      <c r="G22" s="1753"/>
      <c r="H22" s="1744"/>
      <c r="I22" s="1744"/>
      <c r="J22" s="1766"/>
      <c r="K22" s="1745"/>
    </row>
    <row r="23" spans="1:15" ht="13.5" thickBot="1" x14ac:dyDescent="0.25">
      <c r="A23" s="2353" t="s">
        <v>899</v>
      </c>
      <c r="B23" s="2352"/>
      <c r="C23" s="2352"/>
      <c r="D23" s="2352"/>
      <c r="E23" s="2352"/>
      <c r="F23" s="1436"/>
      <c r="G23" s="1755">
        <f>SUM(G14:G16,G21,G22)</f>
        <v>0</v>
      </c>
      <c r="H23" s="1755">
        <f>SUM(H14:H16,H21,H22)</f>
        <v>53016</v>
      </c>
      <c r="I23" s="1755">
        <f>SUM(I14:I16,I21,I22)</f>
        <v>0</v>
      </c>
      <c r="J23" s="1755">
        <f>SUM(J14:J16,J21,J22)</f>
        <v>0</v>
      </c>
      <c r="K23" s="1755">
        <f>SUM(K14:K16,K21,K22)</f>
        <v>20218</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6"/>
      <c r="I31" s="2327"/>
      <c r="J31" s="2327"/>
      <c r="K31" s="2327"/>
    </row>
    <row r="32" spans="1:15" x14ac:dyDescent="0.2">
      <c r="A32" s="649"/>
      <c r="B32" s="232"/>
      <c r="C32" s="232"/>
      <c r="D32" s="232"/>
      <c r="E32" s="645"/>
      <c r="F32" s="651" t="s">
        <v>536</v>
      </c>
      <c r="G32" s="618"/>
      <c r="H32" s="2328"/>
      <c r="I32" s="2327"/>
      <c r="J32" s="2327"/>
      <c r="K32" s="2327"/>
    </row>
    <row r="33" spans="1:11" ht="1.5" customHeight="1" x14ac:dyDescent="0.2">
      <c r="A33" s="652" t="s">
        <v>1158</v>
      </c>
      <c r="B33" s="341"/>
      <c r="C33" s="341"/>
      <c r="D33" s="341"/>
      <c r="E33" s="341"/>
      <c r="F33" s="341"/>
      <c r="G33" s="653"/>
      <c r="H33" s="2328"/>
      <c r="I33" s="2327"/>
      <c r="J33" s="2327"/>
      <c r="K33" s="2327"/>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3" t="s">
        <v>537</v>
      </c>
      <c r="B41" s="2336"/>
      <c r="C41" s="2336"/>
      <c r="D41" s="2336"/>
      <c r="E41" s="2336"/>
      <c r="F41" s="233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198042</v>
      </c>
      <c r="D5" s="1770"/>
      <c r="E5" s="1770"/>
      <c r="F5" s="1765">
        <f>(C5+D5)-E5</f>
        <v>198042</v>
      </c>
      <c r="G5" s="676"/>
      <c r="H5" s="680"/>
      <c r="I5" s="680"/>
      <c r="J5" s="680"/>
      <c r="K5" s="637"/>
      <c r="L5" s="1442">
        <f>F5-K5</f>
        <v>198042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52008402</v>
      </c>
      <c r="D8" s="1771"/>
      <c r="E8" s="1771"/>
      <c r="F8" s="1765">
        <f>(C8+D8)-E8</f>
        <v>52008402</v>
      </c>
      <c r="G8" s="681">
        <v>50</v>
      </c>
      <c r="H8" s="619">
        <v>36523897</v>
      </c>
      <c r="I8" s="619">
        <v>606334</v>
      </c>
      <c r="J8" s="619"/>
      <c r="K8" s="1442">
        <f>(H8+I8)-J8</f>
        <v>37130231</v>
      </c>
      <c r="L8" s="1442">
        <f>F8-K8</f>
        <v>14878171</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5740409</v>
      </c>
      <c r="D12" s="1771">
        <v>36020</v>
      </c>
      <c r="E12" s="1771"/>
      <c r="F12" s="1765">
        <f>(C12+D12)-E12</f>
        <v>5776429</v>
      </c>
      <c r="G12" s="681">
        <v>10</v>
      </c>
      <c r="H12" s="619">
        <v>5476791</v>
      </c>
      <c r="I12" s="619">
        <v>45927</v>
      </c>
      <c r="J12" s="619"/>
      <c r="K12" s="1442">
        <f>(H12+I12)-J12</f>
        <v>5522718</v>
      </c>
      <c r="L12" s="1442">
        <f>F12-K12</f>
        <v>253711</v>
      </c>
    </row>
    <row r="13" spans="1:14" ht="14.25" thickTop="1" thickBot="1" x14ac:dyDescent="0.25">
      <c r="A13" s="684" t="s">
        <v>1111</v>
      </c>
      <c r="B13" s="679">
        <v>252</v>
      </c>
      <c r="C13" s="1771">
        <v>857881</v>
      </c>
      <c r="D13" s="1771">
        <v>60489</v>
      </c>
      <c r="E13" s="1771">
        <f>54750+39278</f>
        <v>94028</v>
      </c>
      <c r="F13" s="1765">
        <f>(C13+D13)-E13</f>
        <v>824342</v>
      </c>
      <c r="G13" s="681">
        <v>5</v>
      </c>
      <c r="H13" s="619">
        <v>654068</v>
      </c>
      <c r="I13" s="619">
        <v>119874</v>
      </c>
      <c r="J13" s="619">
        <f>54750+39278</f>
        <v>94028</v>
      </c>
      <c r="K13" s="1442">
        <f>(H13+I13)-J13</f>
        <v>679914</v>
      </c>
      <c r="L13" s="1442">
        <f>F13-K13</f>
        <v>144428</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58804734</v>
      </c>
      <c r="D16" s="1765">
        <f>SUM(D3,D5:D6,D8:D10,D12:D15)</f>
        <v>96509</v>
      </c>
      <c r="E16" s="1765">
        <f>SUM(E3,E5:E6,E8:E10,E12:E15)</f>
        <v>94028</v>
      </c>
      <c r="F16" s="1765">
        <f>SUM(F3,F5:F6,F8:F10,F12:F15)</f>
        <v>58807215</v>
      </c>
      <c r="G16" s="681"/>
      <c r="H16" s="1435">
        <f>SUM(H3,H6,H8:H10,H12:H14,)</f>
        <v>42654756</v>
      </c>
      <c r="I16" s="1435">
        <f>SUM(I3,I6,I8:I10,I12:I14,)</f>
        <v>772135</v>
      </c>
      <c r="J16" s="1435">
        <f>SUM(J3,J6,J8:J10,J12:J14,)</f>
        <v>94028</v>
      </c>
      <c r="K16" s="1435">
        <f>(H16+I16)-J16</f>
        <v>43332863</v>
      </c>
      <c r="L16" s="1435">
        <f>F16-K16</f>
        <v>15474352</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772135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80"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4899883</v>
      </c>
      <c r="G8" s="701"/>
    </row>
    <row r="9" spans="1:9" x14ac:dyDescent="0.2">
      <c r="A9" s="705" t="s">
        <v>456</v>
      </c>
      <c r="B9" s="706" t="s">
        <v>1847</v>
      </c>
      <c r="C9" s="707"/>
      <c r="D9" s="705" t="s">
        <v>497</v>
      </c>
      <c r="E9" s="704"/>
      <c r="F9" s="1775">
        <f>'Expenditures 15-22'!K151</f>
        <v>559902</v>
      </c>
      <c r="G9" s="708"/>
    </row>
    <row r="10" spans="1:9" x14ac:dyDescent="0.2">
      <c r="A10" s="705" t="s">
        <v>495</v>
      </c>
      <c r="B10" s="706" t="s">
        <v>1848</v>
      </c>
      <c r="C10" s="707"/>
      <c r="D10" s="705" t="s">
        <v>497</v>
      </c>
      <c r="E10" s="704"/>
      <c r="F10" s="1775">
        <f>'Expenditures 15-22'!K174</f>
        <v>824525</v>
      </c>
      <c r="G10" s="708"/>
    </row>
    <row r="11" spans="1:9" x14ac:dyDescent="0.2">
      <c r="A11" s="705" t="s">
        <v>457</v>
      </c>
      <c r="B11" s="706" t="s">
        <v>1849</v>
      </c>
      <c r="C11" s="707"/>
      <c r="D11" s="705" t="s">
        <v>497</v>
      </c>
      <c r="E11" s="704"/>
      <c r="F11" s="1775">
        <f>'Expenditures 15-22'!K210</f>
        <v>336673</v>
      </c>
      <c r="G11" s="708"/>
    </row>
    <row r="12" spans="1:9" x14ac:dyDescent="0.2">
      <c r="A12" s="705" t="s">
        <v>458</v>
      </c>
      <c r="B12" s="706" t="s">
        <v>1850</v>
      </c>
      <c r="C12" s="707"/>
      <c r="D12" s="705" t="s">
        <v>497</v>
      </c>
      <c r="E12" s="704"/>
      <c r="F12" s="1775">
        <f>'Expenditures 15-22'!K295</f>
        <v>214253</v>
      </c>
      <c r="G12" s="708"/>
    </row>
    <row r="13" spans="1:9" x14ac:dyDescent="0.2">
      <c r="A13" s="705" t="s">
        <v>106</v>
      </c>
      <c r="B13" s="706" t="s">
        <v>1851</v>
      </c>
      <c r="C13" s="707"/>
      <c r="D13" s="705" t="s">
        <v>497</v>
      </c>
      <c r="E13" s="704"/>
      <c r="F13" s="1775">
        <f>'Expenditures 15-22'!K342</f>
        <v>544489</v>
      </c>
      <c r="G13" s="709"/>
    </row>
    <row r="14" spans="1:9" ht="12" customHeight="1" thickBot="1" x14ac:dyDescent="0.25">
      <c r="A14" s="1443"/>
      <c r="B14" s="1444"/>
      <c r="C14" s="1445"/>
      <c r="D14" s="1446" t="s">
        <v>497</v>
      </c>
      <c r="E14" s="1447" t="s">
        <v>951</v>
      </c>
      <c r="F14" s="1776">
        <f>SUM(F8:F13)</f>
        <v>7379725</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247182</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2">
        <f>'Expenditures 15-22'!K102</f>
        <v>149049</v>
      </c>
      <c r="G53" s="701"/>
    </row>
    <row r="54" spans="1:7" x14ac:dyDescent="0.2">
      <c r="A54" s="705" t="s">
        <v>455</v>
      </c>
      <c r="B54" s="705" t="s">
        <v>1458</v>
      </c>
      <c r="C54" s="724" t="s">
        <v>974</v>
      </c>
      <c r="D54" s="720" t="s">
        <v>1085</v>
      </c>
      <c r="E54" s="704"/>
      <c r="F54" s="1782">
        <f>'Expenditures 15-22'!G114</f>
        <v>0</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0</v>
      </c>
      <c r="G57" s="701"/>
    </row>
    <row r="58" spans="1:7" x14ac:dyDescent="0.2">
      <c r="A58" s="705" t="s">
        <v>456</v>
      </c>
      <c r="B58" s="705" t="s">
        <v>1853</v>
      </c>
      <c r="C58" s="721" t="s">
        <v>974</v>
      </c>
      <c r="D58" s="720" t="s">
        <v>1085</v>
      </c>
      <c r="E58" s="704"/>
      <c r="F58" s="1784">
        <f>'Expenditures 15-22'!G151</f>
        <v>0</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770000</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56259</v>
      </c>
      <c r="G63" s="701"/>
    </row>
    <row r="64" spans="1:7" x14ac:dyDescent="0.2">
      <c r="A64" s="730" t="s">
        <v>457</v>
      </c>
      <c r="B64" s="730" t="s">
        <v>1859</v>
      </c>
      <c r="C64" s="731" t="str">
        <f>'Expenditures 15-22'!B206</f>
        <v>5300</v>
      </c>
      <c r="D64" s="727" t="s">
        <v>307</v>
      </c>
      <c r="E64" s="704"/>
      <c r="F64" s="1782">
        <f>'Expenditures 15-22'!K206</f>
        <v>105379</v>
      </c>
      <c r="G64" s="701"/>
    </row>
    <row r="65" spans="1:9" x14ac:dyDescent="0.2">
      <c r="A65" s="705" t="s">
        <v>457</v>
      </c>
      <c r="B65" s="705" t="s">
        <v>1860</v>
      </c>
      <c r="C65" s="721" t="s">
        <v>974</v>
      </c>
      <c r="D65" s="720" t="s">
        <v>1085</v>
      </c>
      <c r="E65" s="704"/>
      <c r="F65" s="1782">
        <f>'Expenditures 15-22'!G210</f>
        <v>0</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1327869</v>
      </c>
      <c r="G77" s="701"/>
    </row>
    <row r="78" spans="1:9" s="728" customFormat="1" ht="12" customHeight="1" thickTop="1" thickBot="1" x14ac:dyDescent="0.25">
      <c r="A78" s="1450"/>
      <c r="B78" s="1448"/>
      <c r="C78" s="1445"/>
      <c r="D78" s="1449" t="s">
        <v>2011</v>
      </c>
      <c r="E78" s="1447"/>
      <c r="F78" s="1788">
        <f>(F14-F77)</f>
        <v>6051856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481.8</v>
      </c>
      <c r="G79" s="733"/>
      <c r="H79" s="705"/>
      <c r="I79" s="705"/>
    </row>
    <row r="80" spans="1:9" s="728" customFormat="1" ht="12" customHeight="1" thickBot="1" x14ac:dyDescent="0.25">
      <c r="A80" s="1452"/>
      <c r="B80" s="1448"/>
      <c r="C80" s="1445"/>
      <c r="D80" s="1449" t="s">
        <v>2012</v>
      </c>
      <c r="E80" s="1447" t="s">
        <v>951</v>
      </c>
      <c r="F80" s="1790">
        <f>IF(F79&gt;0,F78/F79," Complete Line 79")</f>
        <v>12560.929846409299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140733</v>
      </c>
      <c r="G95" s="745"/>
    </row>
    <row r="96" spans="1:7" x14ac:dyDescent="0.2">
      <c r="A96" s="741" t="s">
        <v>139</v>
      </c>
      <c r="B96" s="741" t="s">
        <v>174</v>
      </c>
      <c r="C96" s="743">
        <v>1700</v>
      </c>
      <c r="D96" s="751" t="str">
        <f>'Revenues 9-14'!A82</f>
        <v>Total District/School Activity Income</v>
      </c>
      <c r="E96" s="739"/>
      <c r="F96" s="1793">
        <f>SUM('Revenues 9-14'!C82,'Revenues 9-14'!D82)</f>
        <v>82923</v>
      </c>
      <c r="G96" s="745"/>
    </row>
    <row r="97" spans="1:7" x14ac:dyDescent="0.2">
      <c r="A97" s="741" t="s">
        <v>455</v>
      </c>
      <c r="B97" s="741" t="s">
        <v>175</v>
      </c>
      <c r="C97" s="743">
        <f>'Revenues 9-14'!B84</f>
        <v>1811</v>
      </c>
      <c r="D97" s="744" t="str">
        <f>'Revenues 9-14'!A84</f>
        <v>Rentals - Regular Textbooks</v>
      </c>
      <c r="E97" s="739"/>
      <c r="F97" s="1793">
        <f>'Revenues 9-14'!C84</f>
        <v>20222</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45</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1140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116445</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40731</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1069</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16823</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89525</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1925</v>
      </c>
      <c r="C122" s="761">
        <f>'Revenues 9-14'!B168</f>
        <v>3999</v>
      </c>
      <c r="D122" s="762" t="s">
        <v>539</v>
      </c>
      <c r="E122" s="764"/>
      <c r="F122" s="1793">
        <f>SUM('Revenues 9-14'!C168:G168,'Revenues 9-14'!J168)</f>
        <v>750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5075</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81233</v>
      </c>
      <c r="G126" s="763"/>
    </row>
    <row r="127" spans="1:7" x14ac:dyDescent="0.2">
      <c r="A127" s="760" t="s">
        <v>662</v>
      </c>
      <c r="B127" s="760" t="s">
        <v>1930</v>
      </c>
      <c r="C127" s="765">
        <v>4300</v>
      </c>
      <c r="D127" s="766" t="str">
        <f>'Revenues 9-14'!A204</f>
        <v>Total Title I</v>
      </c>
      <c r="E127" s="739"/>
      <c r="F127" s="1793">
        <f>SUM('Revenues 9-14'!C204,'Revenues 9-14'!D204,'Revenues 9-14'!F204,'Revenues 9-14'!G204)</f>
        <v>105653</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89256</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18896</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2343</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1634</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3600</v>
      </c>
      <c r="G171" s="760"/>
    </row>
    <row r="172" spans="1:7" x14ac:dyDescent="0.2">
      <c r="A172" s="1529" t="s">
        <v>5</v>
      </c>
      <c r="B172" s="1530" t="s">
        <v>1884</v>
      </c>
      <c r="C172" s="1531">
        <v>3100</v>
      </c>
      <c r="D172" s="1532" t="s">
        <v>1886</v>
      </c>
      <c r="E172" s="739"/>
      <c r="F172" s="1794">
        <v>189538</v>
      </c>
      <c r="G172" s="760"/>
    </row>
    <row r="173" spans="1:7" x14ac:dyDescent="0.2">
      <c r="A173" s="1529" t="s">
        <v>658</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1057634</v>
      </c>
    </row>
    <row r="176" spans="1:7" ht="12" customHeight="1" x14ac:dyDescent="0.2">
      <c r="A176" s="1443"/>
      <c r="B176" s="1453"/>
      <c r="C176" s="1454"/>
      <c r="D176" s="1455" t="s">
        <v>2013</v>
      </c>
      <c r="E176" s="1456"/>
      <c r="F176" s="1793">
        <f>'PCTC-OEPP 27-28'!F78-F175</f>
        <v>4994222</v>
      </c>
    </row>
    <row r="177" spans="1:9" ht="12" customHeight="1" x14ac:dyDescent="0.2">
      <c r="A177" s="1443"/>
      <c r="B177" s="1453"/>
      <c r="C177" s="1454"/>
      <c r="D177" s="1455" t="s">
        <v>1793</v>
      </c>
      <c r="E177" s="1456"/>
      <c r="F177" s="1793">
        <f>'Cap Outlay Deprec 26'!I18</f>
        <v>772135</v>
      </c>
    </row>
    <row r="178" spans="1:9" ht="12" customHeight="1" x14ac:dyDescent="0.2">
      <c r="A178" s="1443"/>
      <c r="B178" s="1453"/>
      <c r="C178" s="1454"/>
      <c r="D178" s="1455" t="s">
        <v>2014</v>
      </c>
      <c r="E178" s="1456"/>
      <c r="F178" s="1793">
        <f>F176+F177</f>
        <v>5766357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481.8</v>
      </c>
      <c r="G179" s="763"/>
      <c r="I179" s="701"/>
    </row>
    <row r="180" spans="1:9" ht="12" customHeight="1" thickBot="1" x14ac:dyDescent="0.25">
      <c r="A180" s="1443"/>
      <c r="B180" s="1457"/>
      <c r="C180" s="1454"/>
      <c r="D180" s="1455" t="s">
        <v>2016</v>
      </c>
      <c r="E180" s="1456" t="s">
        <v>1527</v>
      </c>
      <c r="F180" s="1798">
        <f>F178/F179</f>
        <v>11968.362391033623</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topLeftCell="A7" zoomScaleNormal="100" workbookViewId="0">
      <selection activeCell="F23" sqref="F23"/>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7" t="s">
        <v>1795</v>
      </c>
      <c r="B6" s="1868"/>
      <c r="C6" s="1869"/>
      <c r="D6" s="1869"/>
      <c r="E6" s="1869"/>
      <c r="F6" s="1870"/>
    </row>
    <row r="7" spans="1:6" ht="47.25" customHeight="1" x14ac:dyDescent="0.25">
      <c r="A7" s="2383" t="s">
        <v>1984</v>
      </c>
      <c r="B7" s="2384"/>
      <c r="C7" s="2384"/>
      <c r="D7" s="2384"/>
      <c r="E7" s="2384"/>
      <c r="F7" s="2385"/>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3" t="s">
        <v>1981</v>
      </c>
      <c r="B12" s="1874"/>
      <c r="C12" s="1875"/>
      <c r="D12" s="1875"/>
      <c r="E12" s="1875"/>
      <c r="F12" s="1876"/>
    </row>
    <row r="13" spans="1:6" ht="17.25" customHeight="1" x14ac:dyDescent="0.25">
      <c r="A13" s="2383" t="s">
        <v>1982</v>
      </c>
      <c r="B13" s="2384"/>
      <c r="C13" s="2384"/>
      <c r="D13" s="2384"/>
      <c r="E13" s="2384"/>
      <c r="F13" s="2385"/>
    </row>
    <row r="14" spans="1:6" ht="15" customHeight="1" x14ac:dyDescent="0.25">
      <c r="A14" s="1873" t="s">
        <v>1799</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5" t="s">
        <v>2073</v>
      </c>
      <c r="B18" s="1908">
        <v>202540300</v>
      </c>
      <c r="C18" s="2036" t="s">
        <v>2070</v>
      </c>
      <c r="D18" s="1886">
        <v>6798</v>
      </c>
      <c r="E18" s="1906">
        <f t="shared" ref="E18:E80" si="0">IF(D18&lt;25000,D18,"25,000")</f>
        <v>6798</v>
      </c>
      <c r="F18" s="1906" t="str">
        <f t="shared" ref="F18:F80" si="1">IF(D18&gt;=25000,(D18-E18),"0")</f>
        <v>0</v>
      </c>
      <c r="G18" s="1887"/>
    </row>
    <row r="19" spans="1:7" x14ac:dyDescent="0.25">
      <c r="A19" s="2035" t="s">
        <v>2073</v>
      </c>
      <c r="B19" s="1908">
        <v>202540300</v>
      </c>
      <c r="C19" s="2036" t="s">
        <v>2071</v>
      </c>
      <c r="D19" s="1886">
        <v>1075</v>
      </c>
      <c r="E19" s="1906">
        <f t="shared" si="0"/>
        <v>1075</v>
      </c>
      <c r="F19" s="1906" t="str">
        <f t="shared" si="1"/>
        <v>0</v>
      </c>
    </row>
    <row r="20" spans="1:7" x14ac:dyDescent="0.25">
      <c r="A20" s="2035" t="s">
        <v>2073</v>
      </c>
      <c r="B20" s="1908">
        <v>202540300</v>
      </c>
      <c r="C20" s="2036" t="s">
        <v>2072</v>
      </c>
      <c r="D20" s="1886">
        <v>2173</v>
      </c>
      <c r="E20" s="1906">
        <f t="shared" si="0"/>
        <v>2173</v>
      </c>
      <c r="F20" s="1906" t="str">
        <f t="shared" si="1"/>
        <v>0</v>
      </c>
    </row>
    <row r="21" spans="1:7" x14ac:dyDescent="0.25">
      <c r="A21" s="2035" t="s">
        <v>2073</v>
      </c>
      <c r="B21" s="1908">
        <v>202540300</v>
      </c>
      <c r="C21" s="2036" t="s">
        <v>2074</v>
      </c>
      <c r="D21" s="1886">
        <v>1750</v>
      </c>
      <c r="E21" s="1906">
        <f t="shared" si="0"/>
        <v>1750</v>
      </c>
      <c r="F21" s="1906" t="str">
        <f t="shared" si="1"/>
        <v>0</v>
      </c>
    </row>
    <row r="22" spans="1:7" x14ac:dyDescent="0.25">
      <c r="A22" s="2035" t="s">
        <v>2073</v>
      </c>
      <c r="B22" s="1908">
        <v>202540300</v>
      </c>
      <c r="C22" s="2036" t="s">
        <v>2075</v>
      </c>
      <c r="D22" s="1886">
        <v>1555</v>
      </c>
      <c r="E22" s="1906">
        <f t="shared" si="0"/>
        <v>1555</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9"/>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9"/>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4"/>
      <c r="B64" s="1909"/>
      <c r="C64" s="1885"/>
      <c r="D64" s="1886"/>
      <c r="E64" s="1906">
        <f t="shared" si="0"/>
        <v>0</v>
      </c>
      <c r="F64" s="1906" t="str">
        <f t="shared" si="1"/>
        <v>0</v>
      </c>
    </row>
    <row r="65" spans="1:6" hidden="1" x14ac:dyDescent="0.25">
      <c r="A65" s="1888"/>
      <c r="B65" s="1909"/>
      <c r="C65" s="1889"/>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ref="E81:E140" si="2">IF(D81&lt;25000,D81,"25,000")</f>
        <v>0</v>
      </c>
      <c r="F81" s="1906" t="str">
        <f t="shared" ref="F81:F140" si="3">IF(D81&gt;=25000,(D81-E81),"0")</f>
        <v>0</v>
      </c>
    </row>
    <row r="82" spans="1:6" hidden="1" x14ac:dyDescent="0.25">
      <c r="A82" s="1888"/>
      <c r="B82" s="1909"/>
      <c r="C82" s="1889"/>
      <c r="D82" s="1886"/>
      <c r="E82" s="1906">
        <f t="shared" si="2"/>
        <v>0</v>
      </c>
      <c r="F82" s="1906" t="str">
        <f t="shared" si="3"/>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10"/>
      <c r="C140" s="1889"/>
      <c r="D140" s="1886"/>
      <c r="E140" s="1906">
        <f t="shared" si="2"/>
        <v>0</v>
      </c>
      <c r="F140" s="1906" t="str">
        <f t="shared" si="3"/>
        <v>0</v>
      </c>
    </row>
    <row r="141" spans="1:6" x14ac:dyDescent="0.25">
      <c r="A141" s="1890" t="s">
        <v>155</v>
      </c>
      <c r="B141" s="1911"/>
      <c r="C141" s="1891"/>
      <c r="D141" s="1892">
        <f>SUM(D18:D140)</f>
        <v>13351</v>
      </c>
      <c r="E141" s="1893">
        <f>SUM(E18:E140)</f>
        <v>13351</v>
      </c>
      <c r="F141" s="1894">
        <f>SUM(F18:F140)</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K24" sqref="K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9202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3748715</v>
      </c>
      <c r="F19" s="1802"/>
      <c r="G19" s="1804">
        <f>'Expenditures 15-22'!K33-SUM('Expenditures 15-22'!G33,'Expenditures 15-22'!I33)+'Expenditures 15-22'!D229</f>
        <v>3748715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208156</v>
      </c>
      <c r="F21" s="1805"/>
      <c r="G21" s="1808">
        <f>'Expenditures 15-22'!K42-SUM('Expenditures 15-22'!G42,'Expenditures 15-22'!I42)+'Expenditures 15-22'!K120-SUM('Expenditures 15-22'!G120,'Expenditures 15-22'!I120)+'Expenditures 15-22'!K180-SUM('Expenditures 15-22'!G180,'Expenditures 15-22'!I180)+'Expenditures 15-22'!D238</f>
        <v>208156</v>
      </c>
      <c r="H21" s="817"/>
      <c r="I21" s="157"/>
    </row>
    <row r="22" spans="1:9" s="542" customFormat="1" ht="12" customHeight="1" x14ac:dyDescent="0.2">
      <c r="A22" s="824" t="s">
        <v>559</v>
      </c>
      <c r="B22" s="825"/>
      <c r="C22" s="823">
        <v>2200</v>
      </c>
      <c r="D22" s="1805"/>
      <c r="E22" s="1807">
        <f>'Expenditures 15-22'!K47-SUM('Expenditures 15-22'!G47,'Expenditures 15-22'!I47)+'Expenditures 15-22'!D243</f>
        <v>234480</v>
      </c>
      <c r="F22" s="1805"/>
      <c r="G22" s="1808">
        <f>'Expenditures 15-22'!K47-SUM('Expenditures 15-22'!G47,'Expenditures 15-22'!I47)+'Expenditures 15-22'!D243</f>
        <v>234480</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788577</v>
      </c>
      <c r="F23" s="1805"/>
      <c r="G23" s="1807">
        <f>'Expenditures 15-22'!K53-SUM('Expenditures 15-22'!G53,'Expenditures 15-22'!I53)+'Expenditures 15-22'!D257+'Expenditures 15-22'!K330-SUM('Expenditures 15-22'!G330,'Expenditures 15-22'!I330)</f>
        <v>788577</v>
      </c>
      <c r="H23" s="817"/>
      <c r="I23" s="157"/>
    </row>
    <row r="24" spans="1:9" s="542" customFormat="1" ht="12" customHeight="1" x14ac:dyDescent="0.2">
      <c r="A24" s="824" t="s">
        <v>561</v>
      </c>
      <c r="B24" s="825"/>
      <c r="C24" s="823">
        <v>2400</v>
      </c>
      <c r="D24" s="1805"/>
      <c r="E24" s="1807">
        <f>'Expenditures 15-22'!K57-SUM('Expenditures 15-22'!G57,'Expenditures 15-22'!I57)+'Expenditures 15-22'!D261</f>
        <v>181778</v>
      </c>
      <c r="F24" s="1805"/>
      <c r="G24" s="1808">
        <f>'Expenditures 15-22'!K57-SUM('Expenditures 15-22'!G57,'Expenditures 15-22'!I57)+'Expenditures 15-22'!D261</f>
        <v>181778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62828</v>
      </c>
      <c r="E27" s="1807">
        <f>E8</f>
        <v>0</v>
      </c>
      <c r="F27" s="1807">
        <f>'Expenditures 15-22'!K60-SUM('Expenditures 15-22'!G60,'Expenditures 15-22'!I60)+'Expenditures 15-22'!D264-E8</f>
        <v>62828</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611651</v>
      </c>
      <c r="F28" s="1809">
        <f>'Expenditures 15-22'!K61-SUM('Expenditures 15-22'!G61,'Expenditures 15-22'!I61)+'Expenditures 15-22'!K124-SUM('Expenditures 15-22'!G124,'Expenditures 15-22'!I124)+'Expenditures 15-22'!D266-E9</f>
        <v>611651</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178177</v>
      </c>
      <c r="F29" s="1805"/>
      <c r="G29" s="1808">
        <f>'Expenditures 15-22'!K62-SUM('Expenditures 15-22'!G62,'Expenditures 15-22'!I62)+'Expenditures 15-22'!K125-SUM('Expenditures 15-22'!G125,'Expenditures 15-22'!I125)+'Expenditures 15-22'!K182-SUM('Expenditures 15-22'!G182,'Expenditures 15-22'!I182)+'Expenditures 15-22'!D267</f>
        <v>178177</v>
      </c>
      <c r="H29" s="815"/>
    </row>
    <row r="30" spans="1:9" ht="12" customHeight="1" x14ac:dyDescent="0.2">
      <c r="A30" s="824" t="s">
        <v>100</v>
      </c>
      <c r="B30" s="827"/>
      <c r="C30" s="823">
        <v>2560</v>
      </c>
      <c r="D30" s="1805"/>
      <c r="E30" s="1807">
        <f>'Expenditures 15-22'!K63-SUM('Expenditures 15-22'!G63,'Expenditures 15-22'!I63)+'Expenditures 15-22'!D268-E10</f>
        <v>221952</v>
      </c>
      <c r="F30" s="1805"/>
      <c r="G30" s="1807">
        <f>'Expenditures 15-22'!K63-SUM('Expenditures 15-22'!G63,'Expenditures 15-22'!I63)+'Expenditures 15-22'!D268-E10</f>
        <v>221952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29'!F141</f>
        <v>0</v>
      </c>
      <c r="F40" s="1805"/>
      <c r="G40" s="1809">
        <f>-'Contracts Paid in CY 29'!F141</f>
        <v>0</v>
      </c>
    </row>
    <row r="41" spans="1:7" ht="12" customHeight="1" x14ac:dyDescent="0.2">
      <c r="A41" s="828" t="s">
        <v>155</v>
      </c>
      <c r="B41" s="829"/>
      <c r="C41" s="830"/>
      <c r="D41" s="1809">
        <f>SUM(D19:D39)</f>
        <v>62828</v>
      </c>
      <c r="E41" s="1809">
        <f>SUM(E19:E40)</f>
        <v>6173486</v>
      </c>
      <c r="F41" s="1809">
        <f>SUM(F19:F39)</f>
        <v>674479</v>
      </c>
      <c r="G41" s="1809">
        <f>SUM(G19:G40)</f>
        <v>5561835</v>
      </c>
    </row>
    <row r="42" spans="1:7" x14ac:dyDescent="0.2">
      <c r="A42" s="817"/>
      <c r="B42" s="157"/>
      <c r="C42" s="831"/>
      <c r="D42" s="2392" t="s">
        <v>518</v>
      </c>
      <c r="E42" s="2393"/>
      <c r="F42" s="832" t="s">
        <v>519</v>
      </c>
      <c r="G42" s="833"/>
    </row>
    <row r="43" spans="1:7" ht="12" customHeight="1" x14ac:dyDescent="0.2">
      <c r="A43" s="817"/>
      <c r="B43" s="157"/>
      <c r="C43" s="831"/>
      <c r="D43" s="1458" t="s">
        <v>469</v>
      </c>
      <c r="E43" s="1810">
        <f>D41</f>
        <v>62828</v>
      </c>
      <c r="F43" s="1458" t="s">
        <v>469</v>
      </c>
      <c r="G43" s="1810">
        <f>F41</f>
        <v>674479</v>
      </c>
    </row>
    <row r="44" spans="1:7" ht="12" customHeight="1" x14ac:dyDescent="0.2">
      <c r="A44" s="817"/>
      <c r="B44" s="157"/>
      <c r="C44" s="831"/>
      <c r="D44" s="1458" t="s">
        <v>470</v>
      </c>
      <c r="E44" s="1810">
        <f>E41</f>
        <v>6173486</v>
      </c>
      <c r="F44" s="1458" t="s">
        <v>470</v>
      </c>
      <c r="G44" s="1810">
        <f>G41</f>
        <v>5561835</v>
      </c>
    </row>
    <row r="45" spans="1:7" ht="12" customHeight="1" x14ac:dyDescent="0.2">
      <c r="A45" s="817"/>
      <c r="B45" s="157"/>
      <c r="C45" s="157"/>
      <c r="D45" s="1459" t="s">
        <v>998</v>
      </c>
      <c r="E45" s="1811">
        <f>(E43/E44)</f>
        <v>1.0177070135090612E-2</v>
      </c>
      <c r="F45" s="1459" t="s">
        <v>998</v>
      </c>
      <c r="G45" s="1811">
        <f>(G43/G44)</f>
        <v>0.12126914948034237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D13" sqref="D1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1362</v>
      </c>
      <c r="B1" s="2411"/>
      <c r="C1" s="2411"/>
      <c r="D1" s="2411"/>
      <c r="E1" s="2411"/>
      <c r="F1" s="2411"/>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1528</v>
      </c>
      <c r="B5" s="2413"/>
      <c r="C5" s="2414"/>
      <c r="D5" s="2414"/>
      <c r="E5" s="2414"/>
      <c r="F5" s="2414"/>
      <c r="G5" s="1507"/>
      <c r="L5" s="1507"/>
      <c r="M5" s="1855"/>
      <c r="N5" s="1855"/>
      <c r="O5" s="1855"/>
    </row>
    <row r="6" spans="1:15" ht="12" customHeight="1" x14ac:dyDescent="0.25">
      <c r="A6" s="1480"/>
      <c r="B6" s="1481"/>
      <c r="C6" s="2415" t="str">
        <f>COVER!A17</f>
        <v>Princeton Twp HSD 500</v>
      </c>
      <c r="D6" s="2415"/>
      <c r="E6" s="2415"/>
      <c r="F6" s="1482"/>
      <c r="G6" s="1507"/>
      <c r="L6" s="1507"/>
      <c r="M6" s="1855"/>
      <c r="N6" s="1855"/>
      <c r="O6" s="1855"/>
    </row>
    <row r="7" spans="1:15" ht="11.25" customHeight="1" thickBot="1" x14ac:dyDescent="0.3">
      <c r="A7" s="1480"/>
      <c r="B7" s="1481"/>
      <c r="C7" s="2416">
        <f>COVER!A13</f>
        <v>28006500015</v>
      </c>
      <c r="D7" s="2416"/>
      <c r="E7" s="2416"/>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t="s">
        <v>2050</v>
      </c>
      <c r="D16" s="1495" t="s">
        <v>2050</v>
      </c>
      <c r="E16" s="1498"/>
      <c r="F16" s="1497" t="s">
        <v>2076</v>
      </c>
      <c r="G16" s="1507"/>
      <c r="H16" s="1507">
        <f t="shared" si="0"/>
        <v>5</v>
      </c>
      <c r="I16" s="1507">
        <f t="shared" si="1"/>
        <v>5</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2050</v>
      </c>
      <c r="D26" s="1495" t="s">
        <v>2050</v>
      </c>
      <c r="E26" s="1498"/>
      <c r="F26" s="1497" t="s">
        <v>2077</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t="s">
        <v>2050</v>
      </c>
      <c r="D30" s="1495" t="s">
        <v>2050</v>
      </c>
      <c r="E30" s="1498"/>
      <c r="F30" s="1497" t="s">
        <v>2078</v>
      </c>
      <c r="G30" s="1507"/>
      <c r="H30" s="1507">
        <f t="shared" si="0"/>
        <v>5</v>
      </c>
      <c r="I30" s="1507">
        <f t="shared" si="1"/>
        <v>5</v>
      </c>
      <c r="J30" s="1507">
        <f t="shared" si="2"/>
        <v>0</v>
      </c>
      <c r="L30" s="1507"/>
      <c r="M30" s="1855"/>
      <c r="N30" s="1855"/>
      <c r="O30" s="1855"/>
    </row>
    <row r="31" spans="1:15" ht="12" customHeight="1" x14ac:dyDescent="0.2">
      <c r="A31" s="1493" t="s">
        <v>1521</v>
      </c>
      <c r="B31" s="1494"/>
      <c r="C31" s="1495" t="s">
        <v>2050</v>
      </c>
      <c r="D31" s="1495" t="s">
        <v>2050</v>
      </c>
      <c r="E31" s="1498"/>
      <c r="F31" s="1497" t="s">
        <v>2079</v>
      </c>
      <c r="G31" s="1507"/>
      <c r="H31" s="1507">
        <f t="shared" si="0"/>
        <v>5</v>
      </c>
      <c r="I31" s="1507">
        <f t="shared" si="1"/>
        <v>5</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1375</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1374</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37" t="str">
        <f>COVER!A17</f>
        <v>Princeton Twp HSD 500</v>
      </c>
      <c r="K6" s="2437"/>
      <c r="L6" s="2451"/>
      <c r="M6" s="838"/>
      <c r="N6" s="1998"/>
    </row>
    <row r="7" spans="1:14" x14ac:dyDescent="0.2">
      <c r="A7" s="2452" t="s">
        <v>863</v>
      </c>
      <c r="B7" s="2453"/>
      <c r="C7" s="2453"/>
      <c r="D7" s="2453"/>
      <c r="E7" s="2454"/>
      <c r="F7" s="839"/>
      <c r="G7" s="838"/>
      <c r="H7" s="838"/>
      <c r="I7" s="1924" t="s">
        <v>368</v>
      </c>
      <c r="J7" s="2439">
        <f>COVER!A13</f>
        <v>28006500015</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55" t="s">
        <v>477</v>
      </c>
      <c r="B11" s="2456"/>
      <c r="C11" s="2457"/>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185767</v>
      </c>
      <c r="F12" s="1942"/>
      <c r="G12" s="1968">
        <f>G68</f>
        <v>74333</v>
      </c>
      <c r="H12" s="1944">
        <f t="shared" ref="H12:H18" si="0">SUM(E12:G12)</f>
        <v>260100</v>
      </c>
      <c r="I12" s="1943">
        <v>188078</v>
      </c>
      <c r="J12" s="1942"/>
      <c r="K12" s="1943">
        <v>74333</v>
      </c>
      <c r="L12" s="1944">
        <f t="shared" ref="L12:L18" si="1">SUM(I12:K12)</f>
        <v>262411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1058</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8" t="s">
        <v>7</v>
      </c>
      <c r="C18" s="2459"/>
      <c r="D18" s="2460"/>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185767</v>
      </c>
      <c r="F19" s="1950">
        <f t="shared" si="2"/>
        <v>0</v>
      </c>
      <c r="G19" s="1950">
        <f t="shared" ref="G19" si="3">SUM(G12:G17)-G18</f>
        <v>74333</v>
      </c>
      <c r="H19" s="1950">
        <f t="shared" si="2"/>
        <v>260100</v>
      </c>
      <c r="I19" s="1950">
        <f t="shared" si="2"/>
        <v>188078</v>
      </c>
      <c r="J19" s="1950">
        <f t="shared" si="2"/>
        <v>0</v>
      </c>
      <c r="K19" s="1950">
        <f t="shared" si="2"/>
        <v>74333</v>
      </c>
      <c r="L19" s="1950">
        <f t="shared" si="2"/>
        <v>262411</v>
      </c>
      <c r="M19" s="838"/>
      <c r="N19" s="1998"/>
    </row>
    <row r="20" spans="1:14" ht="13.5" thickTop="1" x14ac:dyDescent="0.2">
      <c r="A20" s="2003">
        <v>9</v>
      </c>
      <c r="B20" s="2461" t="s">
        <v>2020</v>
      </c>
      <c r="C20" s="2461"/>
      <c r="D20" s="2462"/>
      <c r="E20" s="1951"/>
      <c r="F20" s="1951"/>
      <c r="G20" s="1951"/>
      <c r="H20" s="1951"/>
      <c r="I20" s="1951"/>
      <c r="J20" s="1951"/>
      <c r="K20" s="1951"/>
      <c r="L20" s="1952">
        <f>IF(AND(H19&gt;0,L19&gt;0),(((L19-H19)/H19)),"Enter Budget Data")</f>
        <v>8.885044213763937E-3</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1025</v>
      </c>
      <c r="D28" s="844"/>
      <c r="E28" s="1958"/>
      <c r="F28" s="2465" t="s">
        <v>1491</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1543</v>
      </c>
      <c r="D30" s="838"/>
      <c r="E30" s="1959"/>
      <c r="F30" s="2450" t="s">
        <v>1492</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2023</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2024</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2025</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2026</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34" t="s">
        <v>2028</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37" t="str">
        <f>J6</f>
        <v>Princeton Twp HSD 500</v>
      </c>
      <c r="M52" s="2437"/>
      <c r="N52" s="2438"/>
    </row>
    <row r="53" spans="1:14" x14ac:dyDescent="0.2">
      <c r="A53" s="1982"/>
      <c r="B53" s="1983"/>
      <c r="C53" s="1983"/>
      <c r="D53" s="1983"/>
      <c r="E53" s="1983"/>
      <c r="F53" s="1983"/>
      <c r="G53" s="1983"/>
      <c r="H53" s="1983"/>
      <c r="I53" s="1983"/>
      <c r="J53" s="1983"/>
      <c r="K53" s="1924" t="s">
        <v>368</v>
      </c>
      <c r="L53" s="2439">
        <f>J7</f>
        <v>28006500015</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2029</v>
      </c>
      <c r="H55" s="2443"/>
      <c r="I55" s="2443"/>
      <c r="J55" s="2443"/>
      <c r="K55" s="2443"/>
      <c r="L55" s="2443"/>
      <c r="M55" s="2443"/>
      <c r="N55" s="2444"/>
    </row>
    <row r="56" spans="1:14" ht="63.75" x14ac:dyDescent="0.2">
      <c r="A56" s="2445" t="s">
        <v>2030</v>
      </c>
      <c r="B56" s="2446"/>
      <c r="C56" s="2447"/>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48" t="s">
        <v>295</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2040</v>
      </c>
      <c r="B58" s="2426"/>
      <c r="C58" s="2426"/>
      <c r="D58" s="1967">
        <v>2362</v>
      </c>
      <c r="E58" s="1977">
        <f>'Expenditures 15-22'!K320</f>
        <v>46247</v>
      </c>
      <c r="F58" s="1972"/>
      <c r="G58" s="2031"/>
      <c r="H58" s="2032"/>
      <c r="I58" s="2032"/>
      <c r="J58" s="2032"/>
      <c r="K58" s="2032"/>
      <c r="L58" s="2032"/>
      <c r="M58" s="2032">
        <v>46247</v>
      </c>
      <c r="N58" s="1975">
        <f>IF((SUM(G58:M58))=E58,SUM(G58:M58),"Column N does not agree with Column E")</f>
        <v>46247</v>
      </c>
    </row>
    <row r="59" spans="1:14" ht="24.75" customHeight="1" x14ac:dyDescent="0.2">
      <c r="A59" s="2419" t="s">
        <v>296</v>
      </c>
      <c r="B59" s="2420"/>
      <c r="C59" s="2420"/>
      <c r="D59" s="1967">
        <v>2363</v>
      </c>
      <c r="E59" s="1977">
        <f>'Expenditures 15-22'!K321</f>
        <v>8595</v>
      </c>
      <c r="F59" s="1972"/>
      <c r="G59" s="2031"/>
      <c r="H59" s="2032"/>
      <c r="I59" s="2032"/>
      <c r="J59" s="2032"/>
      <c r="K59" s="2032"/>
      <c r="L59" s="2032"/>
      <c r="M59" s="2032">
        <v>8595</v>
      </c>
      <c r="N59" s="1975">
        <f>IF((SUM(G59:M59))=E59,SUM(G59:M59),"Column N does not agree with Column E")</f>
        <v>8595</v>
      </c>
    </row>
    <row r="60" spans="1:14" ht="24" customHeight="1" x14ac:dyDescent="0.2">
      <c r="A60" s="2419" t="s">
        <v>236</v>
      </c>
      <c r="B60" s="2420"/>
      <c r="C60" s="2420"/>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19" t="s">
        <v>696</v>
      </c>
      <c r="B61" s="2420"/>
      <c r="C61" s="2420"/>
      <c r="D61" s="1967">
        <v>2365</v>
      </c>
      <c r="E61" s="1977">
        <f>'Expenditures 15-22'!K323</f>
        <v>15557</v>
      </c>
      <c r="F61" s="1972"/>
      <c r="G61" s="2031"/>
      <c r="H61" s="2032"/>
      <c r="I61" s="2032"/>
      <c r="J61" s="2032"/>
      <c r="K61" s="2032"/>
      <c r="L61" s="2032"/>
      <c r="M61" s="2032">
        <v>15557</v>
      </c>
      <c r="N61" s="1975">
        <f t="shared" si="4"/>
        <v>15557</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1021</v>
      </c>
      <c r="B63" s="2426"/>
      <c r="C63" s="2426"/>
      <c r="D63" s="1967">
        <v>2367</v>
      </c>
      <c r="E63" s="1977">
        <f>'Expenditures 15-22'!K325</f>
        <v>415297</v>
      </c>
      <c r="F63" s="1972"/>
      <c r="G63" s="2031">
        <v>74333</v>
      </c>
      <c r="H63" s="2032"/>
      <c r="I63" s="2032"/>
      <c r="J63" s="2032"/>
      <c r="K63" s="2032"/>
      <c r="L63" s="2032"/>
      <c r="M63" s="2032">
        <f>415297-74333</f>
        <v>340964</v>
      </c>
      <c r="N63" s="1975">
        <f t="shared" si="4"/>
        <v>415297</v>
      </c>
    </row>
    <row r="64" spans="1:14" ht="24" customHeight="1" x14ac:dyDescent="0.2">
      <c r="A64" s="2419" t="s">
        <v>1022</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964</v>
      </c>
      <c r="B65" s="2420"/>
      <c r="C65" s="2420"/>
      <c r="D65" s="1967">
        <v>2369</v>
      </c>
      <c r="E65" s="1977">
        <f>'Expenditures 15-22'!K327</f>
        <v>6034</v>
      </c>
      <c r="F65" s="1972"/>
      <c r="G65" s="2031"/>
      <c r="H65" s="2032"/>
      <c r="I65" s="2032"/>
      <c r="J65" s="2032"/>
      <c r="K65" s="2032"/>
      <c r="L65" s="2032"/>
      <c r="M65" s="2032">
        <v>6034</v>
      </c>
      <c r="N65" s="1975">
        <f t="shared" si="4"/>
        <v>6034</v>
      </c>
    </row>
    <row r="66" spans="1:14" ht="24" customHeight="1" x14ac:dyDescent="0.2">
      <c r="A66" s="2419" t="s">
        <v>468</v>
      </c>
      <c r="B66" s="2420"/>
      <c r="C66" s="2420"/>
      <c r="D66" s="1967">
        <v>2371</v>
      </c>
      <c r="E66" s="1977">
        <f>'Expenditures 15-22'!K328</f>
        <v>52759</v>
      </c>
      <c r="F66" s="1972"/>
      <c r="G66" s="2031"/>
      <c r="H66" s="2032"/>
      <c r="I66" s="2032"/>
      <c r="J66" s="2032"/>
      <c r="K66" s="2032"/>
      <c r="L66" s="2032"/>
      <c r="M66" s="2032">
        <v>52759</v>
      </c>
      <c r="N66" s="1975">
        <f t="shared" si="4"/>
        <v>52759</v>
      </c>
    </row>
    <row r="67" spans="1:14" ht="24.75" customHeight="1" x14ac:dyDescent="0.2">
      <c r="A67" s="2421" t="s">
        <v>2041</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1150</v>
      </c>
      <c r="B68" s="2424"/>
      <c r="C68" s="2424"/>
      <c r="D68" s="1970"/>
      <c r="E68" s="1974">
        <f>SUM(E57:E67)</f>
        <v>544489</v>
      </c>
      <c r="F68" s="1973"/>
      <c r="G68" s="1974">
        <f t="shared" ref="G68:N68" si="5">SUM(G57:G67)</f>
        <v>74333</v>
      </c>
      <c r="H68" s="1974">
        <f t="shared" si="5"/>
        <v>0</v>
      </c>
      <c r="I68" s="1974">
        <f t="shared" si="5"/>
        <v>0</v>
      </c>
      <c r="J68" s="1974">
        <f t="shared" si="5"/>
        <v>0</v>
      </c>
      <c r="K68" s="1974">
        <f t="shared" si="5"/>
        <v>0</v>
      </c>
      <c r="L68" s="1974">
        <f t="shared" si="5"/>
        <v>0</v>
      </c>
      <c r="M68" s="1974">
        <f t="shared" si="5"/>
        <v>470156</v>
      </c>
      <c r="N68" s="1988">
        <f t="shared" si="5"/>
        <v>544489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35" sqref="B3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2080</v>
      </c>
    </row>
    <row r="6" spans="1:2" x14ac:dyDescent="0.2">
      <c r="A6" s="847">
        <v>2</v>
      </c>
      <c r="B6" s="307" t="s">
        <v>2081</v>
      </c>
    </row>
    <row r="7" spans="1:2" x14ac:dyDescent="0.2">
      <c r="A7" s="847">
        <v>3</v>
      </c>
      <c r="B7" s="307" t="s">
        <v>2082</v>
      </c>
    </row>
    <row r="8" spans="1:2" x14ac:dyDescent="0.2">
      <c r="A8" s="847">
        <v>4</v>
      </c>
      <c r="B8" s="307" t="s">
        <v>2083</v>
      </c>
    </row>
    <row r="9" spans="1:2" x14ac:dyDescent="0.2">
      <c r="A9" s="848">
        <v>5</v>
      </c>
      <c r="B9" s="307" t="s">
        <v>2084</v>
      </c>
    </row>
    <row r="10" spans="1:2" x14ac:dyDescent="0.2">
      <c r="A10" s="848">
        <v>6</v>
      </c>
      <c r="B10" s="307" t="s">
        <v>2085</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Princeton Twp HSD 500</v>
      </c>
    </row>
    <row r="65" spans="2:2" x14ac:dyDescent="0.2">
      <c r="B65" s="849">
        <f>COVER!A13</f>
        <v>28006500015</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866775</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1971</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1669</v>
      </c>
      <c r="B6" s="2485"/>
      <c r="C6" s="2485"/>
      <c r="D6" s="2485"/>
      <c r="E6" s="2485"/>
      <c r="F6" s="2486"/>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4279138</v>
      </c>
      <c r="C8" s="1813">
        <f>'Acct Summary 7-8'!D8</f>
        <v>757082</v>
      </c>
      <c r="D8" s="1813">
        <f>'Acct Summary 7-8'!F8</f>
        <v>418084</v>
      </c>
      <c r="E8" s="1813">
        <f>'Acct Summary 7-8'!I8</f>
        <v>142552</v>
      </c>
      <c r="F8" s="1813">
        <f>SUM(B8:E8)</f>
        <v>5596856</v>
      </c>
    </row>
    <row r="9" spans="1:8" s="858" customFormat="1" ht="14.25" customHeight="1" thickBot="1" x14ac:dyDescent="0.25">
      <c r="A9" s="857" t="s">
        <v>1352</v>
      </c>
      <c r="B9" s="1814">
        <f>'Acct Summary 7-8'!C17</f>
        <v>4899883</v>
      </c>
      <c r="C9" s="1814">
        <f>'Acct Summary 7-8'!D17</f>
        <v>559902</v>
      </c>
      <c r="D9" s="1814">
        <f>'Acct Summary 7-8'!F17</f>
        <v>336673</v>
      </c>
      <c r="E9" s="1813"/>
      <c r="F9" s="1813">
        <f>SUM(B9:E9)</f>
        <v>5796458</v>
      </c>
    </row>
    <row r="10" spans="1:8" s="858" customFormat="1" ht="14.25" thickTop="1" thickBot="1" x14ac:dyDescent="0.25">
      <c r="A10" s="859" t="s">
        <v>1353</v>
      </c>
      <c r="B10" s="1815">
        <f>(B8-B9)</f>
        <v>-620745</v>
      </c>
      <c r="C10" s="1815">
        <f>(C8-C9)</f>
        <v>197180</v>
      </c>
      <c r="D10" s="1815">
        <f>(D8-D9)</f>
        <v>81411</v>
      </c>
      <c r="E10" s="1814">
        <f>(E8-E9)</f>
        <v>142552</v>
      </c>
      <c r="F10" s="1816">
        <f>SUM(F8-F9)</f>
        <v>-199602</v>
      </c>
    </row>
    <row r="11" spans="1:8" s="858" customFormat="1" ht="14.25" thickTop="1" thickBot="1" x14ac:dyDescent="0.25">
      <c r="A11" s="860" t="s">
        <v>1902</v>
      </c>
      <c r="B11" s="1817">
        <f>'Acct Summary 7-8'!C81</f>
        <v>123819</v>
      </c>
      <c r="C11" s="1817">
        <f>'Acct Summary 7-8'!D81</f>
        <v>1239544</v>
      </c>
      <c r="D11" s="1817">
        <f>'Acct Summary 7-8'!F81</f>
        <v>1227362</v>
      </c>
      <c r="E11" s="1817">
        <f>'Acct Summary 7-8'!I81</f>
        <v>2451627</v>
      </c>
      <c r="F11" s="1818">
        <f>SUM(B11:E11)</f>
        <v>5042352</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1665</v>
      </c>
      <c r="B16" s="2471"/>
      <c r="C16" s="2471"/>
      <c r="D16" s="2471"/>
      <c r="E16" s="2471"/>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79" sqref="D7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659</v>
      </c>
      <c r="B3" s="2494"/>
      <c r="C3" s="2494"/>
      <c r="D3" s="2495"/>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4" t="s">
        <v>1486</v>
      </c>
      <c r="D7" s="2505"/>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08" t="s">
        <v>310</v>
      </c>
      <c r="D21" s="2509"/>
    </row>
    <row r="22" spans="1:10" ht="12.75" x14ac:dyDescent="0.2">
      <c r="A22" s="918"/>
      <c r="B22" s="919">
        <v>2</v>
      </c>
      <c r="C22" s="2506" t="s">
        <v>1506</v>
      </c>
      <c r="D22" s="2507"/>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0" t="s">
        <v>532</v>
      </c>
      <c r="D43" s="2511"/>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2" t="s">
        <v>778</v>
      </c>
      <c r="D56" s="2503"/>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ERROR!</v>
      </c>
    </row>
    <row r="70" spans="1:4" x14ac:dyDescent="0.2">
      <c r="A70" s="877"/>
      <c r="B70" s="899">
        <f>B66+1</f>
        <v>9</v>
      </c>
      <c r="C70" s="2502" t="s">
        <v>1673</v>
      </c>
      <c r="D70" s="2503"/>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29'!$D$141&gt;0,"OK","PLEASE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28006500015</v>
      </c>
      <c r="E2" s="1542">
        <v>2020</v>
      </c>
      <c r="F2" s="1542">
        <v>1</v>
      </c>
      <c r="G2" s="1899">
        <v>101000300</v>
      </c>
    </row>
    <row r="3" spans="1:7" ht="15" x14ac:dyDescent="0.25">
      <c r="A3" t="s">
        <v>949</v>
      </c>
      <c r="B3" s="135" t="str">
        <f>COVER!A15</f>
        <v>Bureau</v>
      </c>
      <c r="E3" s="1830" t="s">
        <v>1970</v>
      </c>
      <c r="F3" s="1830" t="s">
        <v>1969</v>
      </c>
      <c r="G3" s="1899">
        <v>101000400</v>
      </c>
    </row>
    <row r="4" spans="1:7" ht="15" x14ac:dyDescent="0.25">
      <c r="A4" t="s">
        <v>999</v>
      </c>
      <c r="B4" s="135" t="str">
        <f>COVER!A17</f>
        <v>Princeton Twp HSD 500</v>
      </c>
      <c r="E4" s="1828">
        <v>44119</v>
      </c>
      <c r="F4" s="1829">
        <v>44151</v>
      </c>
      <c r="G4" s="1899">
        <v>101000600</v>
      </c>
    </row>
    <row r="5" spans="1:7" ht="15" x14ac:dyDescent="0.25">
      <c r="A5" t="s">
        <v>698</v>
      </c>
      <c r="B5" s="135" t="str">
        <f>COVER!A38</f>
        <v>Kirk Haring</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066-004501</v>
      </c>
      <c r="G15" s="1899">
        <v>402100400</v>
      </c>
    </row>
    <row r="16" spans="1:7" ht="15" x14ac:dyDescent="0.25">
      <c r="A16" t="s">
        <v>418</v>
      </c>
      <c r="B16" s="135" t="str">
        <f>COVER!T13</f>
        <v>Hopkins &amp; Associates, CPAs</v>
      </c>
      <c r="G16" s="1899">
        <v>402100600</v>
      </c>
    </row>
    <row r="17" spans="1:7" ht="15" x14ac:dyDescent="0.25">
      <c r="A17" t="s">
        <v>877</v>
      </c>
      <c r="B17" s="135" t="str">
        <f>COVER!T15</f>
        <v>Kim Bird</v>
      </c>
      <c r="G17" s="1899">
        <v>402100800</v>
      </c>
    </row>
    <row r="18" spans="1:7" ht="15" x14ac:dyDescent="0.25">
      <c r="A18" t="s">
        <v>1139</v>
      </c>
      <c r="B18" s="135" t="str">
        <f>COVER!T17</f>
        <v>314 S McCoy St</v>
      </c>
      <c r="G18" s="1899">
        <v>102200300</v>
      </c>
    </row>
    <row r="19" spans="1:7" ht="15" x14ac:dyDescent="0.25">
      <c r="A19" t="s">
        <v>879</v>
      </c>
      <c r="B19" s="135" t="str">
        <f>COVER!T25</f>
        <v>kim@hopkinsoffice.com</v>
      </c>
      <c r="G19" s="1899">
        <v>102200400</v>
      </c>
    </row>
    <row r="20" spans="1:7" ht="15" x14ac:dyDescent="0.25">
      <c r="A20" t="s">
        <v>880</v>
      </c>
      <c r="B20" s="135" t="str">
        <f>COVER!T19</f>
        <v>Granville</v>
      </c>
      <c r="G20" s="1899">
        <v>102200600</v>
      </c>
    </row>
    <row r="21" spans="1:7" ht="15" x14ac:dyDescent="0.25">
      <c r="A21" t="s">
        <v>475</v>
      </c>
      <c r="B21" s="135" t="str">
        <f>COVER!X19</f>
        <v>IL</v>
      </c>
      <c r="G21" s="1899">
        <v>102200800</v>
      </c>
    </row>
    <row r="22" spans="1:7" ht="15" x14ac:dyDescent="0.25">
      <c r="A22" t="s">
        <v>881</v>
      </c>
      <c r="B22" s="135">
        <f>COVER!Z19</f>
        <v>61326</v>
      </c>
      <c r="G22" s="1899">
        <v>102300300</v>
      </c>
    </row>
    <row r="23" spans="1:7" ht="15" x14ac:dyDescent="0.25">
      <c r="A23" t="s">
        <v>1141</v>
      </c>
      <c r="B23" s="135" t="str">
        <f>COVER!T21</f>
        <v>815-339-6630</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123819</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-29319</v>
      </c>
      <c r="D92" s="2" t="str">
        <f t="shared" si="0"/>
        <v>Error?</v>
      </c>
      <c r="G92" s="1899">
        <v>102640600</v>
      </c>
    </row>
    <row r="93" spans="1:7" ht="15" x14ac:dyDescent="0.25">
      <c r="A93" s="5">
        <v>32</v>
      </c>
      <c r="B93" s="1832">
        <f>'Assets-Liab 5-6'!C41</f>
        <v>123819</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1239425</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-119</v>
      </c>
      <c r="C122" s="2" t="s">
        <v>568</v>
      </c>
      <c r="D122" s="2" t="str">
        <f t="shared" si="0"/>
        <v>Error?</v>
      </c>
      <c r="G122" s="1899">
        <v>203000300</v>
      </c>
    </row>
    <row r="123" spans="1:7" ht="15" x14ac:dyDescent="0.25">
      <c r="A123" s="5">
        <v>62</v>
      </c>
      <c r="B123" s="1832">
        <f>'Assets-Liab 5-6'!D39</f>
        <v>1239544</v>
      </c>
      <c r="D123" s="2" t="str">
        <f t="shared" si="0"/>
        <v>Error?</v>
      </c>
      <c r="G123" s="1899">
        <v>203000400</v>
      </c>
    </row>
    <row r="124" spans="1:7" ht="15" x14ac:dyDescent="0.25">
      <c r="A124" s="5">
        <v>63</v>
      </c>
      <c r="B124" s="1832">
        <f>'Assets-Liab 5-6'!D41</f>
        <v>1239425</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110554</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110554</v>
      </c>
      <c r="D140" s="2" t="str">
        <f t="shared" si="1"/>
        <v>Error?</v>
      </c>
    </row>
    <row r="141" spans="1:7" x14ac:dyDescent="0.2">
      <c r="A141" s="5">
        <v>80</v>
      </c>
      <c r="B141" s="1832">
        <f>'Assets-Liab 5-6'!E41</f>
        <v>110554</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1227362</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1227362</v>
      </c>
      <c r="D170" s="2" t="str">
        <f t="shared" si="1"/>
        <v>Error?</v>
      </c>
    </row>
    <row r="171" spans="1:4" x14ac:dyDescent="0.2">
      <c r="A171" s="5">
        <v>110</v>
      </c>
      <c r="B171" s="1832">
        <f>'Assets-Liab 5-6'!F41</f>
        <v>1227362</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534630</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416150</v>
      </c>
      <c r="D189" s="2" t="str">
        <f t="shared" si="1"/>
        <v>Error?</v>
      </c>
    </row>
    <row r="190" spans="1:4" x14ac:dyDescent="0.2">
      <c r="A190" s="5">
        <v>129</v>
      </c>
      <c r="B190" s="1832">
        <f>'Assets-Liab 5-6'!G41</f>
        <v>534630</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198042</v>
      </c>
      <c r="D273" s="2" t="str">
        <f t="shared" si="3"/>
        <v>Error?</v>
      </c>
    </row>
    <row r="274" spans="1:4" x14ac:dyDescent="0.2">
      <c r="A274" s="5">
        <v>213</v>
      </c>
      <c r="B274" s="1832">
        <f>'Assets-Liab 5-6'!M17</f>
        <v>52008402</v>
      </c>
      <c r="D274" s="2" t="str">
        <f t="shared" si="3"/>
        <v>Error?</v>
      </c>
    </row>
    <row r="275" spans="1:4" x14ac:dyDescent="0.2">
      <c r="A275" s="5">
        <v>214</v>
      </c>
      <c r="B275" s="1832">
        <f>'Assets-Liab 5-6'!M18</f>
        <v>0</v>
      </c>
      <c r="D275" s="2" t="str">
        <f t="shared" si="3"/>
        <v>Error?</v>
      </c>
    </row>
    <row r="276" spans="1:4" x14ac:dyDescent="0.2">
      <c r="A276" s="5">
        <v>215</v>
      </c>
      <c r="B276" s="1832">
        <f>'Assets-Liab 5-6'!M19</f>
        <v>6600771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58807215</v>
      </c>
      <c r="C279" s="2" t="s">
        <v>568</v>
      </c>
      <c r="D279" s="2" t="str">
        <f t="shared" si="3"/>
        <v>Error?</v>
      </c>
    </row>
    <row r="280" spans="1:4" x14ac:dyDescent="0.2">
      <c r="A280" s="5">
        <v>219</v>
      </c>
      <c r="B280" s="1832">
        <f>'Assets-Liab 5-6'!M40</f>
        <v>58807215</v>
      </c>
      <c r="D280" s="2" t="str">
        <f t="shared" si="3"/>
        <v>Error?</v>
      </c>
    </row>
    <row r="281" spans="1:4" x14ac:dyDescent="0.2">
      <c r="A281" s="5">
        <v>220</v>
      </c>
      <c r="B281" s="1832">
        <f>'Assets-Liab 5-6'!M41</f>
        <v>58807215</v>
      </c>
      <c r="C281" s="2" t="s">
        <v>568</v>
      </c>
      <c r="D281" s="2" t="str">
        <f t="shared" si="3"/>
        <v>Error?</v>
      </c>
    </row>
    <row r="282" spans="1:4" x14ac:dyDescent="0.2">
      <c r="A282" s="5">
        <v>221</v>
      </c>
      <c r="B282" s="1832">
        <f>'Assets-Liab 5-6'!N21</f>
        <v>110554</v>
      </c>
      <c r="D282" s="2" t="str">
        <f t="shared" si="3"/>
        <v>Error?</v>
      </c>
    </row>
    <row r="283" spans="1:4" x14ac:dyDescent="0.2">
      <c r="A283" s="5">
        <v>222</v>
      </c>
      <c r="B283" s="1832">
        <f>'Assets-Liab 5-6'!N22</f>
        <v>3906278</v>
      </c>
      <c r="D283" s="2" t="str">
        <f t="shared" si="3"/>
        <v>Error?</v>
      </c>
    </row>
    <row r="284" spans="1:4" x14ac:dyDescent="0.2">
      <c r="A284" s="5">
        <v>223</v>
      </c>
      <c r="B284" s="1832">
        <f>'Assets-Liab 5-6'!N23</f>
        <v>4016832</v>
      </c>
      <c r="C284" s="2" t="s">
        <v>568</v>
      </c>
      <c r="D284" s="2" t="str">
        <f t="shared" si="3"/>
        <v>Error?</v>
      </c>
    </row>
    <row r="285" spans="1:4" x14ac:dyDescent="0.2">
      <c r="A285" s="5">
        <v>224</v>
      </c>
      <c r="B285" s="1832">
        <f>'Assets-Liab 5-6'!N36</f>
        <v>4016832</v>
      </c>
      <c r="D285" s="2" t="str">
        <f t="shared" si="3"/>
        <v>Error?</v>
      </c>
    </row>
    <row r="286" spans="1:4" x14ac:dyDescent="0.2">
      <c r="A286" s="10">
        <v>225</v>
      </c>
      <c r="B286" s="1832"/>
      <c r="D286" s="2" t="str">
        <f t="shared" si="3"/>
        <v>OK</v>
      </c>
    </row>
    <row r="287" spans="1:4" x14ac:dyDescent="0.2">
      <c r="A287" s="5">
        <v>226</v>
      </c>
      <c r="B287" s="1832">
        <f>'Assets-Liab 5-6'!N37</f>
        <v>4016832</v>
      </c>
      <c r="C287" s="2" t="s">
        <v>568</v>
      </c>
      <c r="D287" s="2" t="str">
        <f t="shared" si="3"/>
        <v>Error?</v>
      </c>
    </row>
    <row r="288" spans="1:4" x14ac:dyDescent="0.2">
      <c r="A288" s="5">
        <v>227</v>
      </c>
      <c r="B288" s="1832">
        <f>'Assets-Liab 5-6'!N41</f>
        <v>4016832</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575</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2075000</v>
      </c>
      <c r="D651" s="2" t="str">
        <f t="shared" si="9"/>
        <v>Error?</v>
      </c>
    </row>
    <row r="652" spans="1:4" x14ac:dyDescent="0.2">
      <c r="A652" s="5">
        <v>591</v>
      </c>
      <c r="B652" s="1832">
        <f>'Acct Summary 7-8'!I34</f>
        <v>160358</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1467401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16542</v>
      </c>
      <c r="D717" s="2" t="str">
        <f t="shared" si="10"/>
        <v>Error?</v>
      </c>
    </row>
    <row r="718" spans="1:4" x14ac:dyDescent="0.2">
      <c r="A718" s="5">
        <v>657</v>
      </c>
      <c r="B718" s="1832">
        <f>'Expenditures 15-22'!C14</f>
        <v>206004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2423076</v>
      </c>
      <c r="C720" s="2" t="s">
        <v>568</v>
      </c>
      <c r="D720" s="2" t="str">
        <f t="shared" si="10"/>
        <v>Error?</v>
      </c>
    </row>
    <row r="721" spans="1:4" x14ac:dyDescent="0.2">
      <c r="A721" s="5">
        <v>660</v>
      </c>
      <c r="B721" s="1832">
        <f>'Expenditures 15-22'!C36</f>
        <v>22191</v>
      </c>
      <c r="D721" s="2" t="str">
        <f t="shared" si="10"/>
        <v>Error?</v>
      </c>
    </row>
    <row r="722" spans="1:4" x14ac:dyDescent="0.2">
      <c r="A722" s="5">
        <v>661</v>
      </c>
      <c r="B722" s="1832">
        <f>'Expenditures 15-22'!C37</f>
        <v>130041</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152232</v>
      </c>
      <c r="C727" s="2" t="s">
        <v>568</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156880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156880</v>
      </c>
      <c r="C731" s="2" t="s">
        <v>568</v>
      </c>
      <c r="D731" s="2" t="str">
        <f t="shared" si="10"/>
        <v>Error?</v>
      </c>
    </row>
    <row r="732" spans="1:4" x14ac:dyDescent="0.2">
      <c r="A732" s="5">
        <v>671</v>
      </c>
      <c r="B732" s="1832">
        <f>'Expenditures 15-22'!C49</f>
        <v>6557</v>
      </c>
      <c r="D732" s="2" t="str">
        <f t="shared" si="10"/>
        <v>Error?</v>
      </c>
    </row>
    <row r="733" spans="1:4" x14ac:dyDescent="0.2">
      <c r="A733" s="5">
        <v>672</v>
      </c>
      <c r="B733" s="1832">
        <f>'Expenditures 15-22'!C50</f>
        <v>128310</v>
      </c>
      <c r="D733" s="2" t="str">
        <f t="shared" si="10"/>
        <v>Error?</v>
      </c>
    </row>
    <row r="734" spans="1:4" x14ac:dyDescent="0.2">
      <c r="A734" s="5">
        <v>673</v>
      </c>
      <c r="B734" s="1832">
        <f>'Expenditures 15-22'!C53</f>
        <v>134867</v>
      </c>
      <c r="C734" s="2" t="s">
        <v>568</v>
      </c>
      <c r="D734" s="2" t="str">
        <f t="shared" si="10"/>
        <v>Error?</v>
      </c>
    </row>
    <row r="735" spans="1:4" x14ac:dyDescent="0.2">
      <c r="A735" s="5">
        <v>674</v>
      </c>
      <c r="B735" s="1832">
        <f>'Expenditures 15-22'!C55</f>
        <v>124342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124342</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38166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84973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123139</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691460</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3114536</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535549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16334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700987</v>
      </c>
      <c r="C778" s="2" t="s">
        <v>568</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36401</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36401</v>
      </c>
      <c r="C785" s="2" t="s">
        <v>568</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34038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34038</v>
      </c>
      <c r="C789" s="2" t="s">
        <v>568</v>
      </c>
      <c r="D789" s="2" t="str">
        <f t="shared" si="11"/>
        <v>Error?</v>
      </c>
    </row>
    <row r="790" spans="1:4" x14ac:dyDescent="0.2">
      <c r="A790" s="5">
        <v>729</v>
      </c>
      <c r="B790" s="1832">
        <f>'Expenditures 15-22'!D49</f>
        <v>5325</v>
      </c>
      <c r="D790" s="2" t="str">
        <f t="shared" si="11"/>
        <v>Error?</v>
      </c>
    </row>
    <row r="791" spans="1:4" x14ac:dyDescent="0.2">
      <c r="A791" s="5">
        <v>730</v>
      </c>
      <c r="B791" s="1832">
        <f>'Expenditures 15-22'!D50</f>
        <v>54900</v>
      </c>
      <c r="D791" s="2" t="str">
        <f t="shared" si="11"/>
        <v>Error?</v>
      </c>
    </row>
    <row r="792" spans="1:4" x14ac:dyDescent="0.2">
      <c r="A792" s="5">
        <v>731</v>
      </c>
      <c r="B792" s="1832">
        <f>'Expenditures 15-22'!D53</f>
        <v>60225</v>
      </c>
      <c r="C792" s="2" t="s">
        <v>568</v>
      </c>
      <c r="D792" s="2" t="str">
        <f t="shared" si="11"/>
        <v>Error?</v>
      </c>
    </row>
    <row r="793" spans="1:4" x14ac:dyDescent="0.2">
      <c r="A793" s="5">
        <v>732</v>
      </c>
      <c r="B793" s="1832">
        <f>'Expenditures 15-22'!D55</f>
        <v>50337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50337</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12036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12036</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193037</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894024</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31208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30450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130794</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8266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8266</v>
      </c>
      <c r="C843" s="2" t="s">
        <v>568</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12412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12412</v>
      </c>
      <c r="C847" s="2" t="s">
        <v>568</v>
      </c>
      <c r="D847" s="2" t="str">
        <f t="shared" si="12"/>
        <v>Error?</v>
      </c>
    </row>
    <row r="848" spans="1:4" x14ac:dyDescent="0.2">
      <c r="A848" s="5">
        <v>787</v>
      </c>
      <c r="B848" s="1832">
        <f>'Expenditures 15-22'!E49</f>
        <v>24133</v>
      </c>
      <c r="D848" s="2" t="str">
        <f t="shared" si="12"/>
        <v>Error?</v>
      </c>
    </row>
    <row r="849" spans="1:4" x14ac:dyDescent="0.2">
      <c r="A849" s="5">
        <v>788</v>
      </c>
      <c r="B849" s="1832">
        <f>'Expenditures 15-22'!E50</f>
        <v>1127</v>
      </c>
      <c r="D849" s="2" t="str">
        <f t="shared" si="12"/>
        <v>Error?</v>
      </c>
    </row>
    <row r="850" spans="1:4" x14ac:dyDescent="0.2">
      <c r="A850" s="5">
        <v>789</v>
      </c>
      <c r="B850" s="1832">
        <f>'Expenditures 15-22'!E53</f>
        <v>25260</v>
      </c>
      <c r="C850" s="2" t="s">
        <v>568</v>
      </c>
      <c r="D850" s="2" t="str">
        <f t="shared" si="12"/>
        <v>Error?</v>
      </c>
    </row>
    <row r="851" spans="1:4" x14ac:dyDescent="0.2">
      <c r="A851" s="5">
        <v>790</v>
      </c>
      <c r="B851" s="1832">
        <f>'Expenditures 15-22'!E55</f>
        <v>1010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1010</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150</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47098</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243180</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132985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19181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155411</v>
      </c>
      <c r="C894" s="2" t="s">
        <v>568</v>
      </c>
      <c r="D894" s="2" t="str">
        <f t="shared" si="12"/>
        <v>Error?</v>
      </c>
    </row>
    <row r="895" spans="1:4" x14ac:dyDescent="0.2">
      <c r="A895" s="5">
        <v>834</v>
      </c>
      <c r="B895" s="1832">
        <f>'Expenditures 15-22'!F36</f>
        <v>105</v>
      </c>
      <c r="D895" s="2" t="str">
        <f t="shared" ref="D895:D958" si="13">IF(ISBLANK(B895),"OK",IF(A895-B895=0,"OK","Error?"))</f>
        <v>Error?</v>
      </c>
    </row>
    <row r="896" spans="1:4" x14ac:dyDescent="0.2">
      <c r="A896" s="5">
        <v>835</v>
      </c>
      <c r="B896" s="1832">
        <f>'Expenditures 15-22'!F37</f>
        <v>839</v>
      </c>
      <c r="D896" s="2" t="str">
        <f t="shared" si="13"/>
        <v>Error?</v>
      </c>
    </row>
    <row r="897" spans="1:4" x14ac:dyDescent="0.2">
      <c r="A897" s="5">
        <v>836</v>
      </c>
      <c r="B897" s="1832">
        <f>'Expenditures 15-22'!F38</f>
        <v>285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262</v>
      </c>
      <c r="D900" s="2" t="str">
        <f t="shared" si="13"/>
        <v>Error?</v>
      </c>
    </row>
    <row r="901" spans="1:4" x14ac:dyDescent="0.2">
      <c r="A901" s="5">
        <v>840</v>
      </c>
      <c r="B901" s="1832">
        <f>'Expenditures 15-22'!F42</f>
        <v>1491</v>
      </c>
      <c r="C901" s="2" t="s">
        <v>568</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10615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10615</v>
      </c>
      <c r="C905" s="2" t="s">
        <v>568</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60</v>
      </c>
      <c r="D907" s="2" t="str">
        <f t="shared" si="13"/>
        <v>Error?</v>
      </c>
    </row>
    <row r="908" spans="1:4" x14ac:dyDescent="0.2">
      <c r="A908" s="5">
        <v>847</v>
      </c>
      <c r="B908" s="1832">
        <f>'Expenditures 15-22'!F53</f>
        <v>60</v>
      </c>
      <c r="C908" s="2" t="s">
        <v>568</v>
      </c>
      <c r="D908" s="2" t="str">
        <f t="shared" si="13"/>
        <v>Error?</v>
      </c>
    </row>
    <row r="909" spans="1:4" x14ac:dyDescent="0.2">
      <c r="A909" s="5">
        <v>848</v>
      </c>
      <c r="B909" s="1832">
        <f>'Expenditures 15-22'!F55</f>
        <v>201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201</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121178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121178</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133545</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288956</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12773</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259955</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324</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324</v>
      </c>
      <c r="C1021" s="2" t="s">
        <v>568</v>
      </c>
      <c r="D1021" s="2" t="str">
        <f t="shared" si="14"/>
        <v>Error?</v>
      </c>
    </row>
    <row r="1022" spans="1:4" x14ac:dyDescent="0.2">
      <c r="A1022" s="5">
        <v>961</v>
      </c>
      <c r="B1022" s="1832">
        <f>'Expenditures 15-22'!H49</f>
        <v>12450</v>
      </c>
      <c r="D1022" s="2" t="str">
        <f t="shared" si="14"/>
        <v>Error?</v>
      </c>
    </row>
    <row r="1023" spans="1:4" x14ac:dyDescent="0.2">
      <c r="A1023" s="5">
        <v>962</v>
      </c>
      <c r="B1023" s="1832">
        <f>'Expenditures 15-22'!H50</f>
        <v>1370</v>
      </c>
      <c r="D1023" s="2" t="str">
        <f t="shared" ref="D1023:D1086" si="15">IF(ISBLANK(B1023),"OK",IF(A1023-B1023=0,"OK","Error?"))</f>
        <v>Error?</v>
      </c>
    </row>
    <row r="1024" spans="1:4" x14ac:dyDescent="0.2">
      <c r="A1024" s="5">
        <v>963</v>
      </c>
      <c r="B1024" s="1832">
        <f>'Expenditures 15-22'!H53</f>
        <v>13820</v>
      </c>
      <c r="C1024" s="2" t="s">
        <v>568</v>
      </c>
      <c r="D1024" s="2" t="str">
        <f t="shared" si="15"/>
        <v>Error?</v>
      </c>
    </row>
    <row r="1025" spans="1:4" x14ac:dyDescent="0.2">
      <c r="A1025" s="5">
        <v>964</v>
      </c>
      <c r="B1025" s="1832">
        <f>'Expenditures 15-22'!H55</f>
        <v>798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798</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529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529</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15471</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83761</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359187</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2167143</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16542</v>
      </c>
      <c r="C1105" s="2" t="s">
        <v>568</v>
      </c>
      <c r="D1105" s="2" t="str">
        <f t="shared" si="16"/>
        <v>Error?</v>
      </c>
    </row>
    <row r="1106" spans="1:4" x14ac:dyDescent="0.2">
      <c r="A1106" s="5">
        <v>1045</v>
      </c>
      <c r="B1106" s="1832">
        <f>'Expenditures 15-22'!K14</f>
        <v>284742</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3670223</v>
      </c>
      <c r="C1108" s="2" t="s">
        <v>568</v>
      </c>
      <c r="D1108" s="2" t="str">
        <f t="shared" si="16"/>
        <v>Error?</v>
      </c>
    </row>
    <row r="1109" spans="1:4" x14ac:dyDescent="0.2">
      <c r="A1109" s="5">
        <v>1048</v>
      </c>
      <c r="B1109" s="1832">
        <f>'Expenditures 15-22'!K36</f>
        <v>22296</v>
      </c>
      <c r="C1109" s="2" t="s">
        <v>568</v>
      </c>
      <c r="D1109" s="2" t="str">
        <f t="shared" si="16"/>
        <v>Error?</v>
      </c>
    </row>
    <row r="1110" spans="1:4" x14ac:dyDescent="0.2">
      <c r="A1110" s="5">
        <v>1049</v>
      </c>
      <c r="B1110" s="1832">
        <f>'Expenditures 15-22'!K37</f>
        <v>167281</v>
      </c>
      <c r="C1110" s="2" t="s">
        <v>568</v>
      </c>
      <c r="D1110" s="2" t="str">
        <f t="shared" si="16"/>
        <v>Error?</v>
      </c>
    </row>
    <row r="1111" spans="1:4" x14ac:dyDescent="0.2">
      <c r="A1111" s="5">
        <v>1050</v>
      </c>
      <c r="B1111" s="1832">
        <f>'Expenditures 15-22'!K38</f>
        <v>8551</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262</v>
      </c>
      <c r="C1114" s="2" t="s">
        <v>568</v>
      </c>
      <c r="D1114" s="2" t="str">
        <f t="shared" si="16"/>
        <v>Error?</v>
      </c>
    </row>
    <row r="1115" spans="1:4" x14ac:dyDescent="0.2">
      <c r="A1115" s="5">
        <v>1054</v>
      </c>
      <c r="B1115" s="1832">
        <f>'Expenditures 15-22'!K42</f>
        <v>198390</v>
      </c>
      <c r="C1115" s="2" t="s">
        <v>568</v>
      </c>
      <c r="D1115" s="2" t="str">
        <f t="shared" si="16"/>
        <v>Error?</v>
      </c>
    </row>
    <row r="1116" spans="1:4" x14ac:dyDescent="0.2">
      <c r="A1116" s="5">
        <v>1055</v>
      </c>
      <c r="B1116" s="1832">
        <f>'Expenditures 15-22'!K44</f>
        <v>0</v>
      </c>
      <c r="C1116" s="2" t="s">
        <v>568</v>
      </c>
      <c r="D1116" s="2" t="str">
        <f t="shared" si="16"/>
        <v>Error?</v>
      </c>
    </row>
    <row r="1117" spans="1:4" x14ac:dyDescent="0.2">
      <c r="A1117" s="5">
        <v>1056</v>
      </c>
      <c r="B1117" s="1832">
        <f>'Expenditures 15-22'!K45</f>
        <v>214269</v>
      </c>
      <c r="C1117" s="2" t="s">
        <v>568</v>
      </c>
      <c r="D1117" s="2" t="str">
        <f t="shared" si="16"/>
        <v>Error?</v>
      </c>
    </row>
    <row r="1118" spans="1:4" x14ac:dyDescent="0.2">
      <c r="A1118" s="5">
        <v>1057</v>
      </c>
      <c r="B1118" s="1832">
        <f>'Expenditures 15-22'!K46</f>
        <v>0</v>
      </c>
      <c r="C1118" s="2" t="s">
        <v>568</v>
      </c>
      <c r="D1118" s="2" t="str">
        <f t="shared" si="16"/>
        <v>Error?</v>
      </c>
    </row>
    <row r="1119" spans="1:4" x14ac:dyDescent="0.2">
      <c r="A1119" s="5">
        <v>1058</v>
      </c>
      <c r="B1119" s="1832">
        <f>'Expenditures 15-22'!K47</f>
        <v>214269</v>
      </c>
      <c r="C1119" s="2" t="s">
        <v>568</v>
      </c>
      <c r="D1119" s="2" t="str">
        <f t="shared" si="16"/>
        <v>Error?</v>
      </c>
    </row>
    <row r="1120" spans="1:4" x14ac:dyDescent="0.2">
      <c r="A1120" s="5">
        <v>1059</v>
      </c>
      <c r="B1120" s="1832">
        <f>'Expenditures 15-22'!K49</f>
        <v>48465</v>
      </c>
      <c r="C1120" s="2" t="s">
        <v>568</v>
      </c>
      <c r="D1120" s="2" t="str">
        <f t="shared" si="16"/>
        <v>Error?</v>
      </c>
    </row>
    <row r="1121" spans="1:4" x14ac:dyDescent="0.2">
      <c r="A1121" s="5">
        <v>1060</v>
      </c>
      <c r="B1121" s="1832">
        <f>'Expenditures 15-22'!K50</f>
        <v>185767</v>
      </c>
      <c r="C1121" s="2" t="s">
        <v>568</v>
      </c>
      <c r="D1121" s="2" t="str">
        <f t="shared" si="16"/>
        <v>Error?</v>
      </c>
    </row>
    <row r="1122" spans="1:4" x14ac:dyDescent="0.2">
      <c r="A1122" s="5">
        <v>1061</v>
      </c>
      <c r="B1122" s="1832">
        <f>'Expenditures 15-22'!K53</f>
        <v>234232</v>
      </c>
      <c r="C1122" s="2" t="s">
        <v>568</v>
      </c>
      <c r="D1122" s="2" t="str">
        <f t="shared" si="16"/>
        <v>Error?</v>
      </c>
    </row>
    <row r="1123" spans="1:4" x14ac:dyDescent="0.2">
      <c r="A1123" s="5">
        <v>1062</v>
      </c>
      <c r="B1123" s="1832">
        <f>'Expenditures 15-22'!K55</f>
        <v>176688</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176688</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50352</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206680</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257032</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1080611</v>
      </c>
      <c r="C1143" s="2" t="s">
        <v>568</v>
      </c>
      <c r="D1143" s="2" t="str">
        <f t="shared" si="16"/>
        <v>Error?</v>
      </c>
    </row>
    <row r="1144" spans="1:4" x14ac:dyDescent="0.2">
      <c r="A1144" s="5">
        <v>1083</v>
      </c>
      <c r="B1144" s="1832">
        <f>'Expenditures 15-22'!K75</f>
        <v>0</v>
      </c>
      <c r="C1144" s="2" t="s">
        <v>568</v>
      </c>
      <c r="D1144" s="2" t="str">
        <f t="shared" si="16"/>
        <v>Error?</v>
      </c>
    </row>
    <row r="1145" spans="1:4" x14ac:dyDescent="0.2">
      <c r="A1145" s="5">
        <v>1084</v>
      </c>
      <c r="B1145" s="1832">
        <f>'Expenditures 15-22'!K102</f>
        <v>149049</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4899883</v>
      </c>
      <c r="C1152" s="2" t="s">
        <v>568</v>
      </c>
      <c r="D1152" s="2" t="str">
        <f t="shared" si="17"/>
        <v>Error?</v>
      </c>
    </row>
    <row r="1153" spans="1:4" x14ac:dyDescent="0.2">
      <c r="A1153" s="5">
        <v>1092</v>
      </c>
      <c r="B1153" s="1832">
        <f>'Expenditures 15-22'!K115</f>
        <v>-620745</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205226</v>
      </c>
      <c r="D1221" s="2" t="str">
        <f t="shared" si="18"/>
        <v>Error?</v>
      </c>
    </row>
    <row r="1222" spans="1:4" x14ac:dyDescent="0.2">
      <c r="A1222" s="10">
        <v>1161</v>
      </c>
      <c r="B1222" s="1832"/>
      <c r="D1222" s="2" t="str">
        <f t="shared" si="18"/>
        <v>OK</v>
      </c>
    </row>
    <row r="1223" spans="1:4" x14ac:dyDescent="0.2">
      <c r="A1223" s="5">
        <v>1162</v>
      </c>
      <c r="B1223" s="1832">
        <f>'Expenditures 15-22'!C127</f>
        <v>205226</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205226</v>
      </c>
      <c r="C1225" s="2" t="s">
        <v>568</v>
      </c>
      <c r="D1225" s="2" t="str">
        <f t="shared" si="18"/>
        <v>Error?</v>
      </c>
    </row>
    <row r="1226" spans="1:4" x14ac:dyDescent="0.2">
      <c r="A1226" s="5">
        <v>1165</v>
      </c>
      <c r="B1226" s="1832">
        <f>'Expenditures 15-22'!C151</f>
        <v>205226</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55344</v>
      </c>
      <c r="D1229" s="2" t="str">
        <f t="shared" si="18"/>
        <v>Error?</v>
      </c>
    </row>
    <row r="1230" spans="1:4" x14ac:dyDescent="0.2">
      <c r="A1230" s="10">
        <v>1169</v>
      </c>
      <c r="B1230" s="1832"/>
      <c r="D1230" s="2" t="str">
        <f t="shared" si="18"/>
        <v>OK</v>
      </c>
    </row>
    <row r="1231" spans="1:4" x14ac:dyDescent="0.2">
      <c r="A1231" s="5">
        <v>1170</v>
      </c>
      <c r="B1231" s="1832">
        <f>'Expenditures 15-22'!D127</f>
        <v>55344</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55344</v>
      </c>
      <c r="C1233" s="2" t="s">
        <v>568</v>
      </c>
      <c r="D1233" s="2" t="str">
        <f t="shared" si="18"/>
        <v>Error?</v>
      </c>
    </row>
    <row r="1234" spans="1:4" x14ac:dyDescent="0.2">
      <c r="A1234" s="5">
        <v>1173</v>
      </c>
      <c r="B1234" s="1832">
        <f>'Expenditures 15-22'!D151</f>
        <v>55344</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83313</v>
      </c>
      <c r="D1237" s="2" t="str">
        <f t="shared" si="18"/>
        <v>Error?</v>
      </c>
    </row>
    <row r="1238" spans="1:4" x14ac:dyDescent="0.2">
      <c r="A1238" s="10">
        <v>1177</v>
      </c>
      <c r="B1238" s="1832"/>
      <c r="D1238" s="2" t="str">
        <f t="shared" si="18"/>
        <v>OK</v>
      </c>
    </row>
    <row r="1239" spans="1:4" x14ac:dyDescent="0.2">
      <c r="A1239" s="5">
        <v>1178</v>
      </c>
      <c r="B1239" s="1832">
        <f>'Expenditures 15-22'!E127</f>
        <v>83313</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83313</v>
      </c>
      <c r="C1241" s="2" t="s">
        <v>568</v>
      </c>
      <c r="D1241" s="2" t="str">
        <f t="shared" si="18"/>
        <v>Error?</v>
      </c>
    </row>
    <row r="1242" spans="1:4" x14ac:dyDescent="0.2">
      <c r="A1242" s="5">
        <v>1181</v>
      </c>
      <c r="B1242" s="1832">
        <f>'Expenditures 15-22'!E151</f>
        <v>83313</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216019</v>
      </c>
      <c r="D1245" s="2" t="str">
        <f t="shared" si="18"/>
        <v>Error?</v>
      </c>
    </row>
    <row r="1246" spans="1:4" x14ac:dyDescent="0.2">
      <c r="A1246" s="10">
        <v>1185</v>
      </c>
      <c r="B1246" s="1832"/>
      <c r="D1246" s="2" t="str">
        <f t="shared" si="18"/>
        <v>OK</v>
      </c>
    </row>
    <row r="1247" spans="1:4" x14ac:dyDescent="0.2">
      <c r="A1247" s="5">
        <v>1186</v>
      </c>
      <c r="B1247" s="1832">
        <f>'Expenditures 15-22'!F127</f>
        <v>216019</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216019</v>
      </c>
      <c r="C1249" s="2" t="s">
        <v>568</v>
      </c>
      <c r="D1249" s="2" t="str">
        <f t="shared" si="18"/>
        <v>Error?</v>
      </c>
    </row>
    <row r="1250" spans="1:4" x14ac:dyDescent="0.2">
      <c r="A1250" s="5">
        <v>1189</v>
      </c>
      <c r="B1250" s="1832">
        <f>'Expenditures 15-22'!F151</f>
        <v>216019</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568</v>
      </c>
      <c r="D1258" s="2" t="str">
        <f t="shared" si="18"/>
        <v>Error?</v>
      </c>
    </row>
    <row r="1259" spans="1:4" x14ac:dyDescent="0.2">
      <c r="A1259" s="5">
        <v>1198</v>
      </c>
      <c r="B1259" s="1832">
        <f>'Expenditures 15-22'!G151</f>
        <v>0</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0</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559902</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559902</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559902</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559902</v>
      </c>
      <c r="C1288" s="2" t="s">
        <v>568</v>
      </c>
      <c r="D1288" s="2" t="str">
        <f t="shared" si="19"/>
        <v>Error?</v>
      </c>
    </row>
    <row r="1289" spans="1:4" x14ac:dyDescent="0.2">
      <c r="A1289" s="5">
        <v>1228</v>
      </c>
      <c r="B1289" s="1832">
        <f>'Expenditures 15-22'!K152</f>
        <v>197180</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54050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770000</v>
      </c>
      <c r="D1315" s="2" t="str">
        <f t="shared" si="19"/>
        <v>Error?</v>
      </c>
    </row>
    <row r="1316" spans="1:4" x14ac:dyDescent="0.2">
      <c r="A1316" s="5">
        <v>1255</v>
      </c>
      <c r="B1316" s="1832">
        <f>'Expenditures 15-22'!H171</f>
        <v>475</v>
      </c>
      <c r="D1316" s="2" t="str">
        <f t="shared" si="19"/>
        <v>Error?</v>
      </c>
    </row>
    <row r="1317" spans="1:4" x14ac:dyDescent="0.2">
      <c r="A1317" s="5">
        <v>1256</v>
      </c>
      <c r="B1317" s="1832">
        <f>'Expenditures 15-22'!H172</f>
        <v>824525</v>
      </c>
      <c r="C1317" s="2" t="s">
        <v>568</v>
      </c>
      <c r="D1317" s="2" t="str">
        <f t="shared" si="19"/>
        <v>Error?</v>
      </c>
    </row>
    <row r="1318" spans="1:4" x14ac:dyDescent="0.2">
      <c r="A1318" s="5">
        <v>1257</v>
      </c>
      <c r="B1318" s="1832">
        <f>'Expenditures 15-22'!H174</f>
        <v>824525</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54050</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770000</v>
      </c>
      <c r="C1329" s="2" t="s">
        <v>568</v>
      </c>
      <c r="D1329" s="2" t="str">
        <f t="shared" si="19"/>
        <v>Error?</v>
      </c>
    </row>
    <row r="1330" spans="1:4" x14ac:dyDescent="0.2">
      <c r="A1330" s="5">
        <v>1269</v>
      </c>
      <c r="B1330" s="1832">
        <f>'Expenditures 15-22'!K171</f>
        <v>475</v>
      </c>
      <c r="C1330" s="2" t="s">
        <v>568</v>
      </c>
      <c r="D1330" s="2" t="str">
        <f t="shared" si="19"/>
        <v>Error?</v>
      </c>
    </row>
    <row r="1331" spans="1:4" x14ac:dyDescent="0.2">
      <c r="A1331" s="5">
        <v>1270</v>
      </c>
      <c r="B1331" s="1832">
        <f>'Expenditures 15-22'!K172</f>
        <v>824525</v>
      </c>
      <c r="C1331" s="2" t="s">
        <v>568</v>
      </c>
      <c r="D1331" s="2" t="str">
        <f t="shared" si="19"/>
        <v>Error?</v>
      </c>
    </row>
    <row r="1332" spans="1:4" x14ac:dyDescent="0.2">
      <c r="A1332" s="5">
        <v>1271</v>
      </c>
      <c r="B1332" s="1832">
        <f>'Expenditures 15-22'!K174</f>
        <v>824525</v>
      </c>
      <c r="C1332" s="2" t="s">
        <v>568</v>
      </c>
      <c r="D1332" s="2" t="str">
        <f t="shared" si="19"/>
        <v>Error?</v>
      </c>
    </row>
    <row r="1333" spans="1:4" x14ac:dyDescent="0.2">
      <c r="A1333" s="5">
        <v>1272</v>
      </c>
      <c r="B1333" s="1832">
        <f>'Expenditures 15-22'!K175</f>
        <v>-2756</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110107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110107</v>
      </c>
      <c r="C1339" s="2" t="s">
        <v>568</v>
      </c>
      <c r="D1339" s="2" t="str">
        <f t="shared" si="19"/>
        <v>Error?</v>
      </c>
    </row>
    <row r="1340" spans="1:4" x14ac:dyDescent="0.2">
      <c r="A1340" s="5">
        <v>1279</v>
      </c>
      <c r="B1340" s="1832">
        <f>'Expenditures 15-22'!C210</f>
        <v>110107</v>
      </c>
      <c r="C1340" s="2" t="s">
        <v>568</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568</v>
      </c>
      <c r="D1345" s="2" t="str">
        <f t="shared" si="20"/>
        <v>Error?</v>
      </c>
    </row>
    <row r="1346" spans="1:4" x14ac:dyDescent="0.2">
      <c r="A1346" s="5">
        <v>1285</v>
      </c>
      <c r="B1346" s="1832">
        <f>'Expenditures 15-22'!D210</f>
        <v>0</v>
      </c>
      <c r="C1346" s="2" t="s">
        <v>568</v>
      </c>
      <c r="D1346" s="2" t="str">
        <f t="shared" si="20"/>
        <v>Error?</v>
      </c>
    </row>
    <row r="1347" spans="1:4" x14ac:dyDescent="0.2">
      <c r="A1347" s="5">
        <v>1286</v>
      </c>
      <c r="B1347" s="1832">
        <f>'Expenditures 15-22'!E182</f>
        <v>33763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33763</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33763</v>
      </c>
      <c r="C1353" s="2" t="s">
        <v>568</v>
      </c>
      <c r="D1353" s="2" t="str">
        <f t="shared" si="20"/>
        <v>Error?</v>
      </c>
    </row>
    <row r="1354" spans="1:4" x14ac:dyDescent="0.2">
      <c r="A1354" s="5">
        <v>1293</v>
      </c>
      <c r="B1354" s="1832">
        <f>'Expenditures 15-22'!F182</f>
        <v>22966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22966</v>
      </c>
      <c r="C1358" s="2" t="s">
        <v>568</v>
      </c>
      <c r="D1358" s="2" t="str">
        <f t="shared" si="20"/>
        <v>Error?</v>
      </c>
    </row>
    <row r="1359" spans="1:4" x14ac:dyDescent="0.2">
      <c r="A1359" s="5">
        <v>1298</v>
      </c>
      <c r="B1359" s="1832">
        <f>'Expenditures 15-22'!F210</f>
        <v>22966</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113578</v>
      </c>
      <c r="C1375" s="2" t="s">
        <v>568</v>
      </c>
      <c r="D1375" s="2" t="str">
        <f t="shared" si="20"/>
        <v>Error?</v>
      </c>
    </row>
    <row r="1376" spans="1:4" x14ac:dyDescent="0.2">
      <c r="A1376" s="5">
        <v>1315</v>
      </c>
      <c r="B1376" s="1832">
        <f>'Expenditures 15-22'!H210</f>
        <v>169837</v>
      </c>
      <c r="C1376" s="2" t="s">
        <v>568</v>
      </c>
      <c r="D1376" s="2" t="str">
        <f t="shared" si="20"/>
        <v>Error?</v>
      </c>
    </row>
    <row r="1377" spans="1:4" x14ac:dyDescent="0.2">
      <c r="A1377" s="5">
        <v>1316</v>
      </c>
      <c r="B1377" s="1832">
        <f>'Expenditures 15-22'!K182</f>
        <v>166836</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166836</v>
      </c>
      <c r="C1381" s="2" t="s">
        <v>568</v>
      </c>
      <c r="D1381" s="2" t="str">
        <f t="shared" si="20"/>
        <v>Error?</v>
      </c>
    </row>
    <row r="1382" spans="1:4" x14ac:dyDescent="0.2">
      <c r="A1382" s="5">
        <v>1321</v>
      </c>
      <c r="B1382" s="1832">
        <f>'Expenditures 15-22'!K196</f>
        <v>56259</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113578</v>
      </c>
      <c r="C1387" s="2" t="s">
        <v>568</v>
      </c>
      <c r="D1387" s="2" t="str">
        <f t="shared" si="20"/>
        <v>Error?</v>
      </c>
    </row>
    <row r="1388" spans="1:4" x14ac:dyDescent="0.2">
      <c r="A1388" s="5">
        <v>1327</v>
      </c>
      <c r="B1388" s="1832">
        <f>'Expenditures 15-22'!K210</f>
        <v>336673</v>
      </c>
      <c r="C1388" s="2" t="s">
        <v>568</v>
      </c>
      <c r="D1388" s="2" t="str">
        <f t="shared" si="20"/>
        <v>Error?</v>
      </c>
    </row>
    <row r="1389" spans="1:4" x14ac:dyDescent="0.2">
      <c r="A1389" s="5">
        <v>1328</v>
      </c>
      <c r="B1389" s="1832">
        <f>'Expenditures 15-22'!K211</f>
        <v>81411</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3351</v>
      </c>
      <c r="D1407" s="2" t="str">
        <f t="shared" ref="D1407:D1470" si="21">IF(ISBLANK(B1407),"OK",IF(A1407-B1407=0,"OK","Error?"))</f>
        <v>Error?</v>
      </c>
    </row>
    <row r="1408" spans="1:4" x14ac:dyDescent="0.2">
      <c r="A1408" s="5">
        <v>1347</v>
      </c>
      <c r="B1408" s="1832">
        <f>'Expenditures 15-22'!D223</f>
        <v>9633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78492</v>
      </c>
      <c r="C1410" s="2" t="s">
        <v>568</v>
      </c>
      <c r="D1410" s="2" t="str">
        <f t="shared" si="21"/>
        <v>Error?</v>
      </c>
    </row>
    <row r="1411" spans="1:4" x14ac:dyDescent="0.2">
      <c r="A1411" s="5">
        <v>1350</v>
      </c>
      <c r="B1411" s="1832">
        <f>'Expenditures 15-22'!D232</f>
        <v>4513</v>
      </c>
      <c r="D1411" s="2" t="str">
        <f t="shared" si="21"/>
        <v>Error?</v>
      </c>
    </row>
    <row r="1412" spans="1:4" x14ac:dyDescent="0.2">
      <c r="A1412" s="5">
        <v>1351</v>
      </c>
      <c r="B1412" s="1832">
        <f>'Expenditures 15-22'!D233</f>
        <v>5253</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9766</v>
      </c>
      <c r="C1417" s="2" t="s">
        <v>568</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20211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20211</v>
      </c>
      <c r="C1421" s="2" t="s">
        <v>568</v>
      </c>
      <c r="D1421" s="2" t="str">
        <f t="shared" si="21"/>
        <v>Error?</v>
      </c>
    </row>
    <row r="1422" spans="1:4" x14ac:dyDescent="0.2">
      <c r="A1422" s="5">
        <v>1361</v>
      </c>
      <c r="B1422" s="1832">
        <f>'Expenditures 15-22'!D245</f>
        <v>502</v>
      </c>
      <c r="D1422" s="2" t="str">
        <f t="shared" si="21"/>
        <v>Error?</v>
      </c>
    </row>
    <row r="1423" spans="1:4" x14ac:dyDescent="0.2">
      <c r="A1423" s="5">
        <v>1362</v>
      </c>
      <c r="B1423" s="1832">
        <f>'Expenditures 15-22'!D246</f>
        <v>9354</v>
      </c>
      <c r="D1423" s="2" t="str">
        <f t="shared" si="21"/>
        <v>Error?</v>
      </c>
    </row>
    <row r="1424" spans="1:4" x14ac:dyDescent="0.2">
      <c r="A1424" s="5">
        <v>1363</v>
      </c>
      <c r="B1424" s="1832">
        <f>'Expenditures 15-22'!D257</f>
        <v>9856</v>
      </c>
      <c r="C1424" s="2" t="s">
        <v>568</v>
      </c>
      <c r="D1424" s="2" t="str">
        <f t="shared" si="21"/>
        <v>Error?</v>
      </c>
    </row>
    <row r="1425" spans="1:4" x14ac:dyDescent="0.2">
      <c r="A1425" s="5">
        <v>1364</v>
      </c>
      <c r="B1425" s="1832">
        <f>'Expenditures 15-22'!D259</f>
        <v>5090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5090</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12476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51749</v>
      </c>
      <c r="D1431" s="2" t="str">
        <f t="shared" si="21"/>
        <v>Error?</v>
      </c>
    </row>
    <row r="1432" spans="1:4" x14ac:dyDescent="0.2">
      <c r="A1432" s="5">
        <v>1371</v>
      </c>
      <c r="B1432" s="1832">
        <f>'Expenditures 15-22'!D267</f>
        <v>11341</v>
      </c>
      <c r="D1432" s="2" t="str">
        <f t="shared" si="21"/>
        <v>Error?</v>
      </c>
    </row>
    <row r="1433" spans="1:4" x14ac:dyDescent="0.2">
      <c r="A1433" s="5">
        <v>1372</v>
      </c>
      <c r="B1433" s="1832">
        <f>'Expenditures 15-22'!D268</f>
        <v>15272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90838</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135761</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214253</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3351</v>
      </c>
      <c r="C1471" s="2" t="s">
        <v>568</v>
      </c>
      <c r="D1471" s="2" t="str">
        <f t="shared" ref="D1471:D1534" si="22">IF(ISBLANK(B1471),"OK",IF(A1471-B1471=0,"OK","Error?"))</f>
        <v>Error?</v>
      </c>
    </row>
    <row r="1472" spans="1:4" x14ac:dyDescent="0.2">
      <c r="A1472" s="5">
        <v>1411</v>
      </c>
      <c r="B1472" s="1832">
        <f>'Expenditures 15-22'!K223</f>
        <v>9633</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78492</v>
      </c>
      <c r="C1474" s="2" t="s">
        <v>568</v>
      </c>
      <c r="D1474" s="2" t="str">
        <f t="shared" si="22"/>
        <v>Error?</v>
      </c>
    </row>
    <row r="1475" spans="1:4" x14ac:dyDescent="0.2">
      <c r="A1475" s="5">
        <v>1414</v>
      </c>
      <c r="B1475" s="1832">
        <f>'Expenditures 15-22'!K232</f>
        <v>4513</v>
      </c>
      <c r="C1475" s="2" t="s">
        <v>568</v>
      </c>
      <c r="D1475" s="2" t="str">
        <f t="shared" si="22"/>
        <v>Error?</v>
      </c>
    </row>
    <row r="1476" spans="1:4" x14ac:dyDescent="0.2">
      <c r="A1476" s="5">
        <v>1415</v>
      </c>
      <c r="B1476" s="1832">
        <f>'Expenditures 15-22'!K233</f>
        <v>5253</v>
      </c>
      <c r="C1476" s="2" t="s">
        <v>568</v>
      </c>
      <c r="D1476" s="2" t="str">
        <f t="shared" si="22"/>
        <v>Error?</v>
      </c>
    </row>
    <row r="1477" spans="1:4" x14ac:dyDescent="0.2">
      <c r="A1477" s="5">
        <v>1416</v>
      </c>
      <c r="B1477" s="1832">
        <f>'Expenditures 15-22'!K234</f>
        <v>0</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9766</v>
      </c>
      <c r="C1481" s="2" t="s">
        <v>568</v>
      </c>
      <c r="D1481" s="2" t="str">
        <f t="shared" si="22"/>
        <v>Error?</v>
      </c>
    </row>
    <row r="1482" spans="1:4" x14ac:dyDescent="0.2">
      <c r="A1482" s="5">
        <v>1421</v>
      </c>
      <c r="B1482" s="1832">
        <f>'Expenditures 15-22'!K240</f>
        <v>0</v>
      </c>
      <c r="C1482" s="2" t="s">
        <v>568</v>
      </c>
      <c r="D1482" s="2" t="str">
        <f t="shared" si="22"/>
        <v>Error?</v>
      </c>
    </row>
    <row r="1483" spans="1:4" x14ac:dyDescent="0.2">
      <c r="A1483" s="5">
        <v>1422</v>
      </c>
      <c r="B1483" s="1832">
        <f>'Expenditures 15-22'!K241</f>
        <v>20211</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20211</v>
      </c>
      <c r="C1485" s="2" t="s">
        <v>568</v>
      </c>
      <c r="D1485" s="2" t="str">
        <f t="shared" si="22"/>
        <v>Error?</v>
      </c>
    </row>
    <row r="1486" spans="1:4" x14ac:dyDescent="0.2">
      <c r="A1486" s="5">
        <v>1425</v>
      </c>
      <c r="B1486" s="1832">
        <f>'Expenditures 15-22'!K245</f>
        <v>502</v>
      </c>
      <c r="C1486" s="2" t="s">
        <v>568</v>
      </c>
      <c r="D1486" s="2" t="str">
        <f t="shared" si="22"/>
        <v>Error?</v>
      </c>
    </row>
    <row r="1487" spans="1:4" x14ac:dyDescent="0.2">
      <c r="A1487" s="5">
        <v>1426</v>
      </c>
      <c r="B1487" s="1832">
        <f>'Expenditures 15-22'!K246</f>
        <v>9354</v>
      </c>
      <c r="C1487" s="2" t="s">
        <v>568</v>
      </c>
      <c r="D1487" s="2" t="str">
        <f t="shared" si="22"/>
        <v>Error?</v>
      </c>
    </row>
    <row r="1488" spans="1:4" x14ac:dyDescent="0.2">
      <c r="A1488" s="5">
        <v>1427</v>
      </c>
      <c r="B1488" s="1832">
        <f>'Expenditures 15-22'!K257</f>
        <v>9856</v>
      </c>
      <c r="C1488" s="2" t="s">
        <v>568</v>
      </c>
      <c r="D1488" s="2" t="str">
        <f t="shared" si="22"/>
        <v>Error?</v>
      </c>
    </row>
    <row r="1489" spans="1:4" x14ac:dyDescent="0.2">
      <c r="A1489" s="5">
        <v>1428</v>
      </c>
      <c r="B1489" s="1832">
        <f>'Expenditures 15-22'!K259</f>
        <v>5090</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5090</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12476</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51749</v>
      </c>
      <c r="C1495" s="2" t="s">
        <v>568</v>
      </c>
      <c r="D1495" s="2" t="str">
        <f t="shared" si="22"/>
        <v>Error?</v>
      </c>
    </row>
    <row r="1496" spans="1:4" x14ac:dyDescent="0.2">
      <c r="A1496" s="5">
        <v>1435</v>
      </c>
      <c r="B1496" s="1832">
        <f>'Expenditures 15-22'!K267</f>
        <v>11341</v>
      </c>
      <c r="C1496" s="2" t="s">
        <v>568</v>
      </c>
      <c r="D1496" s="2" t="str">
        <f t="shared" si="22"/>
        <v>Error?</v>
      </c>
    </row>
    <row r="1497" spans="1:4" x14ac:dyDescent="0.2">
      <c r="A1497" s="5">
        <v>1436</v>
      </c>
      <c r="B1497" s="1832">
        <f>'Expenditures 15-22'!K268</f>
        <v>15272</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90838</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135761</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214253</v>
      </c>
      <c r="C1517" s="2" t="s">
        <v>568</v>
      </c>
      <c r="D1517" s="2" t="str">
        <f t="shared" si="22"/>
        <v>Error?</v>
      </c>
    </row>
    <row r="1518" spans="1:4" x14ac:dyDescent="0.2">
      <c r="A1518" s="5">
        <v>1457</v>
      </c>
      <c r="B1518" s="1832">
        <f>'Expenditures 15-22'!K296</f>
        <v>57083</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0</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0</v>
      </c>
      <c r="C1559" s="2" t="s">
        <v>568</v>
      </c>
      <c r="D1559" s="2" t="str">
        <f t="shared" si="23"/>
        <v>Error?</v>
      </c>
    </row>
    <row r="1560" spans="1:4" x14ac:dyDescent="0.2">
      <c r="A1560" s="5">
        <v>1499</v>
      </c>
      <c r="B1560" s="1832">
        <f>'Expenditures 15-22'!K312</f>
        <v>0</v>
      </c>
      <c r="C1560" s="2" t="s">
        <v>568</v>
      </c>
      <c r="D1560" s="2" t="str">
        <f t="shared" si="23"/>
        <v>Error?</v>
      </c>
    </row>
    <row r="1561" spans="1:4" x14ac:dyDescent="0.2">
      <c r="A1561" s="5">
        <v>1500</v>
      </c>
      <c r="B1561" s="1832">
        <f>'Expenditures 15-22'!K313</f>
        <v>0</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344564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123819</v>
      </c>
      <c r="C1630" s="2" t="s">
        <v>568</v>
      </c>
      <c r="D1630" s="2" t="str">
        <f t="shared" si="24"/>
        <v>Error?</v>
      </c>
    </row>
    <row r="1631" spans="1:4" x14ac:dyDescent="0.2">
      <c r="A1631" s="5">
        <v>1570</v>
      </c>
      <c r="B1631" s="1832">
        <f>'Acct Summary 7-8'!D79</f>
        <v>1042364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1239544</v>
      </c>
      <c r="C1644" s="2" t="s">
        <v>568</v>
      </c>
      <c r="D1644" s="2" t="str">
        <f t="shared" si="24"/>
        <v>Error?</v>
      </c>
    </row>
    <row r="1645" spans="1:4" x14ac:dyDescent="0.2">
      <c r="A1645" s="5">
        <v>1584</v>
      </c>
      <c r="B1645" s="1832">
        <f>'Acct Summary 7-8'!E79</f>
        <v>112735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110554</v>
      </c>
      <c r="C1658" s="2" t="s">
        <v>568</v>
      </c>
      <c r="D1658" s="2" t="str">
        <f t="shared" si="24"/>
        <v>Error?</v>
      </c>
    </row>
    <row r="1659" spans="1:4" x14ac:dyDescent="0.2">
      <c r="A1659" s="5">
        <v>1598</v>
      </c>
      <c r="B1659" s="1832">
        <f>'Acct Summary 7-8'!F79</f>
        <v>1142451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1227362</v>
      </c>
      <c r="C1672" s="2" t="s">
        <v>568</v>
      </c>
      <c r="D1672" s="2" t="str">
        <f t="shared" si="25"/>
        <v>Error?</v>
      </c>
    </row>
    <row r="1673" spans="1:4" x14ac:dyDescent="0.2">
      <c r="A1673" s="5">
        <v>1612</v>
      </c>
      <c r="B1673" s="1832">
        <f>'Acct Summary 7-8'!G79</f>
        <v>477547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534630</v>
      </c>
      <c r="C1686" s="2" t="s">
        <v>568</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2438769</v>
      </c>
      <c r="C1744" s="2" t="s">
        <v>568</v>
      </c>
      <c r="D1744" s="2" t="str">
        <f t="shared" si="26"/>
        <v>Error?</v>
      </c>
    </row>
    <row r="1745" spans="1:5" x14ac:dyDescent="0.2">
      <c r="A1745" s="5">
        <v>1684</v>
      </c>
      <c r="B1745" s="1832">
        <f>'Tax Sched 23'!B5</f>
        <v>662704</v>
      </c>
      <c r="C1745" s="2" t="s">
        <v>568</v>
      </c>
      <c r="D1745" s="2" t="str">
        <f t="shared" si="26"/>
        <v>Error?</v>
      </c>
    </row>
    <row r="1746" spans="1:5" x14ac:dyDescent="0.2">
      <c r="A1746" s="5">
        <v>1685</v>
      </c>
      <c r="B1746" s="1832">
        <f>'Tax Sched 23'!B6</f>
        <v>819297</v>
      </c>
      <c r="C1746" s="2" t="s">
        <v>568</v>
      </c>
      <c r="D1746" s="2" t="str">
        <f t="shared" si="26"/>
        <v>Error?</v>
      </c>
    </row>
    <row r="1747" spans="1:5" x14ac:dyDescent="0.2">
      <c r="A1747" s="5">
        <v>1686</v>
      </c>
      <c r="B1747" s="1832">
        <f>'Tax Sched 23'!B7</f>
        <v>318099</v>
      </c>
      <c r="C1747" s="2" t="s">
        <v>568</v>
      </c>
      <c r="D1747" s="2" t="str">
        <f t="shared" si="26"/>
        <v>Error?</v>
      </c>
    </row>
    <row r="1748" spans="1:5" x14ac:dyDescent="0.2">
      <c r="A1748" s="5">
        <v>1687</v>
      </c>
      <c r="B1748" s="1832">
        <f>'Tax Sched 23'!B8</f>
        <v>124301</v>
      </c>
      <c r="C1748" s="2" t="s">
        <v>568</v>
      </c>
      <c r="D1748" s="2" t="str">
        <f t="shared" si="26"/>
        <v>Error?</v>
      </c>
    </row>
    <row r="1749" spans="1:5" x14ac:dyDescent="0.2">
      <c r="A1749" s="5">
        <v>1688</v>
      </c>
      <c r="B1749" s="1832">
        <f>'Tax Sched 23'!B10</f>
        <v>132540</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596498</v>
      </c>
      <c r="C1752" s="2" t="s">
        <v>568</v>
      </c>
      <c r="D1752" s="2" t="str">
        <f t="shared" si="26"/>
        <v>Error?</v>
      </c>
    </row>
    <row r="1753" spans="1:5" x14ac:dyDescent="0.2">
      <c r="A1753" s="5">
        <v>1692</v>
      </c>
      <c r="B1753" s="1832">
        <f>'Tax Sched 23'!B12</f>
        <v>132540</v>
      </c>
      <c r="C1753" s="2" t="s">
        <v>568</v>
      </c>
      <c r="D1753" s="2" t="str">
        <f t="shared" si="26"/>
        <v>Error?</v>
      </c>
    </row>
    <row r="1754" spans="1:5" x14ac:dyDescent="0.2">
      <c r="A1754" s="5">
        <v>1693</v>
      </c>
      <c r="B1754" s="1832">
        <f>'Tax Sched 23'!B14</f>
        <v>53016</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5534605</v>
      </c>
      <c r="C1759" s="2" t="s">
        <v>568</v>
      </c>
      <c r="D1759" s="2" t="str">
        <f t="shared" si="26"/>
        <v>Error?</v>
      </c>
    </row>
    <row r="1760" spans="1:5" x14ac:dyDescent="0.2">
      <c r="A1760" s="5">
        <v>1699</v>
      </c>
      <c r="B1760" s="1832">
        <f>'Tax Sched 23'!D4</f>
        <v>2438769</v>
      </c>
      <c r="C1760" s="2" t="s">
        <v>568</v>
      </c>
      <c r="D1760" s="2" t="str">
        <f t="shared" si="26"/>
        <v>Error?</v>
      </c>
    </row>
    <row r="1761" spans="1:7" x14ac:dyDescent="0.2">
      <c r="A1761" s="5">
        <v>1700</v>
      </c>
      <c r="B1761" s="1832">
        <f>'Tax Sched 23'!D5</f>
        <v>662704</v>
      </c>
      <c r="C1761" s="2" t="s">
        <v>568</v>
      </c>
      <c r="D1761" s="2" t="str">
        <f t="shared" si="26"/>
        <v>Error?</v>
      </c>
    </row>
    <row r="1762" spans="1:7" s="8" customFormat="1" x14ac:dyDescent="0.2">
      <c r="A1762" s="5">
        <v>1701</v>
      </c>
      <c r="B1762" s="1832">
        <f>'Tax Sched 23'!D6</f>
        <v>819297</v>
      </c>
      <c r="C1762" s="2" t="s">
        <v>568</v>
      </c>
      <c r="D1762" s="2" t="str">
        <f t="shared" si="26"/>
        <v>Error?</v>
      </c>
      <c r="E1762" s="9"/>
      <c r="G1762"/>
    </row>
    <row r="1763" spans="1:7" x14ac:dyDescent="0.2">
      <c r="A1763" s="5">
        <v>1702</v>
      </c>
      <c r="B1763" s="1832">
        <f>'Tax Sched 23'!D7</f>
        <v>318099</v>
      </c>
      <c r="C1763" s="2" t="s">
        <v>568</v>
      </c>
      <c r="D1763" s="2" t="str">
        <f t="shared" si="26"/>
        <v>Error?</v>
      </c>
    </row>
    <row r="1764" spans="1:7" x14ac:dyDescent="0.2">
      <c r="A1764" s="5">
        <v>1703</v>
      </c>
      <c r="B1764" s="1832">
        <f>'Tax Sched 23'!D8</f>
        <v>124301</v>
      </c>
      <c r="C1764" s="2" t="s">
        <v>568</v>
      </c>
      <c r="D1764" s="2" t="str">
        <f t="shared" si="26"/>
        <v>Error?</v>
      </c>
    </row>
    <row r="1765" spans="1:7" x14ac:dyDescent="0.2">
      <c r="A1765" s="5">
        <v>1704</v>
      </c>
      <c r="B1765" s="1832">
        <f>'Tax Sched 23'!D10</f>
        <v>132540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596498</v>
      </c>
      <c r="C1768" s="2" t="s">
        <v>568</v>
      </c>
      <c r="D1768" s="2" t="str">
        <f t="shared" si="26"/>
        <v>Error?</v>
      </c>
    </row>
    <row r="1769" spans="1:7" x14ac:dyDescent="0.2">
      <c r="A1769" s="5">
        <v>1708</v>
      </c>
      <c r="B1769" s="1832">
        <f>'Tax Sched 23'!D12</f>
        <v>132540</v>
      </c>
      <c r="C1769" s="2" t="s">
        <v>568</v>
      </c>
      <c r="D1769" s="2" t="str">
        <f t="shared" si="26"/>
        <v>Error?</v>
      </c>
    </row>
    <row r="1770" spans="1:7" x14ac:dyDescent="0.2">
      <c r="A1770" s="5">
        <v>1709</v>
      </c>
      <c r="B1770" s="1832">
        <f>'Tax Sched 23'!D14</f>
        <v>53016</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5534605</v>
      </c>
      <c r="C1775" s="2" t="s">
        <v>568</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568</v>
      </c>
      <c r="D1791" s="2" t="str">
        <f t="shared" ref="D1791:D1854" si="27">IF(ISBLANK(B1791),"OK",IF(A1791-B1791=0,"OK","Error?"))</f>
        <v>Error?</v>
      </c>
    </row>
    <row r="1792" spans="1:4" x14ac:dyDescent="0.2">
      <c r="A1792" s="5">
        <v>1731</v>
      </c>
      <c r="B1792" s="1832">
        <f>'Tax Sched 23'!F4</f>
        <v>2522576</v>
      </c>
      <c r="C1792" s="2" t="s">
        <v>568</v>
      </c>
      <c r="D1792" s="2" t="str">
        <f t="shared" si="27"/>
        <v>Error?</v>
      </c>
    </row>
    <row r="1793" spans="1:4" x14ac:dyDescent="0.2">
      <c r="A1793" s="5">
        <v>1732</v>
      </c>
      <c r="B1793" s="1832">
        <f>'Tax Sched 23'!F5</f>
        <v>685483</v>
      </c>
      <c r="C1793" s="2" t="s">
        <v>568</v>
      </c>
      <c r="D1793" s="2" t="str">
        <f t="shared" si="27"/>
        <v>Error?</v>
      </c>
    </row>
    <row r="1794" spans="1:4" x14ac:dyDescent="0.2">
      <c r="A1794" s="5">
        <v>1733</v>
      </c>
      <c r="B1794" s="1832">
        <f>'Tax Sched 23'!F6</f>
        <v>820495</v>
      </c>
      <c r="C1794" s="2" t="s">
        <v>568</v>
      </c>
      <c r="D1794" s="2" t="str">
        <f t="shared" si="27"/>
        <v>Error?</v>
      </c>
    </row>
    <row r="1795" spans="1:4" x14ac:dyDescent="0.2">
      <c r="A1795" s="5">
        <v>1734</v>
      </c>
      <c r="B1795" s="1832">
        <f>'Tax Sched 23'!F7</f>
        <v>329032</v>
      </c>
      <c r="C1795" s="2" t="s">
        <v>568</v>
      </c>
      <c r="D1795" s="2" t="str">
        <f t="shared" si="27"/>
        <v>Error?</v>
      </c>
    </row>
    <row r="1796" spans="1:4" x14ac:dyDescent="0.2">
      <c r="A1796" s="5">
        <v>1735</v>
      </c>
      <c r="B1796" s="1832">
        <f>'Tax Sched 23'!F8</f>
        <v>74909</v>
      </c>
      <c r="C1796" s="2" t="s">
        <v>568</v>
      </c>
      <c r="D1796" s="2" t="str">
        <f t="shared" si="27"/>
        <v>Error?</v>
      </c>
    </row>
    <row r="1797" spans="1:4" x14ac:dyDescent="0.2">
      <c r="A1797" s="5">
        <v>1736</v>
      </c>
      <c r="B1797" s="1832">
        <f>'Tax Sched 23'!F10</f>
        <v>137097</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649180</v>
      </c>
      <c r="C1800" s="2" t="s">
        <v>568</v>
      </c>
      <c r="D1800" s="2" t="str">
        <f t="shared" si="27"/>
        <v>Error?</v>
      </c>
    </row>
    <row r="1801" spans="1:4" x14ac:dyDescent="0.2">
      <c r="A1801" s="5">
        <v>1740</v>
      </c>
      <c r="B1801" s="1832">
        <f>'Tax Sched 23'!F12</f>
        <v>137097</v>
      </c>
      <c r="C1801" s="2" t="s">
        <v>568</v>
      </c>
      <c r="D1801" s="2" t="str">
        <f t="shared" si="27"/>
        <v>Error?</v>
      </c>
    </row>
    <row r="1802" spans="1:4" x14ac:dyDescent="0.2">
      <c r="A1802" s="5">
        <v>1741</v>
      </c>
      <c r="B1802" s="1832">
        <f>'Tax Sched 23'!F14</f>
        <v>54839</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5622714</v>
      </c>
      <c r="C1807" s="2" t="s">
        <v>568</v>
      </c>
      <c r="D1807" s="2" t="str">
        <f t="shared" si="27"/>
        <v>Error?</v>
      </c>
    </row>
    <row r="1808" spans="1:4" x14ac:dyDescent="0.2">
      <c r="A1808" s="5">
        <v>1747</v>
      </c>
      <c r="B1808" s="1832">
        <f>'Tax Sched 23'!E4</f>
        <v>2522576</v>
      </c>
      <c r="D1808" s="2" t="str">
        <f t="shared" si="27"/>
        <v>Error?</v>
      </c>
    </row>
    <row r="1809" spans="1:4" x14ac:dyDescent="0.2">
      <c r="A1809" s="5">
        <v>1748</v>
      </c>
      <c r="B1809" s="1832">
        <f>'Tax Sched 23'!E5</f>
        <v>685483</v>
      </c>
      <c r="D1809" s="2" t="str">
        <f t="shared" si="27"/>
        <v>Error?</v>
      </c>
    </row>
    <row r="1810" spans="1:4" x14ac:dyDescent="0.2">
      <c r="A1810" s="5">
        <v>1749</v>
      </c>
      <c r="B1810" s="1832">
        <f>'Tax Sched 23'!E6</f>
        <v>820495</v>
      </c>
      <c r="D1810" s="2" t="str">
        <f t="shared" si="27"/>
        <v>Error?</v>
      </c>
    </row>
    <row r="1811" spans="1:4" x14ac:dyDescent="0.2">
      <c r="A1811" s="5">
        <v>1750</v>
      </c>
      <c r="B1811" s="1832">
        <f>'Tax Sched 23'!E7</f>
        <v>329032</v>
      </c>
      <c r="D1811" s="2" t="str">
        <f t="shared" si="27"/>
        <v>Error?</v>
      </c>
    </row>
    <row r="1812" spans="1:4" x14ac:dyDescent="0.2">
      <c r="A1812" s="5">
        <v>1751</v>
      </c>
      <c r="B1812" s="1832">
        <f>'Tax Sched 23'!E8</f>
        <v>74909</v>
      </c>
      <c r="D1812" s="2" t="str">
        <f t="shared" si="27"/>
        <v>Error?</v>
      </c>
    </row>
    <row r="1813" spans="1:4" x14ac:dyDescent="0.2">
      <c r="A1813" s="5">
        <v>1752</v>
      </c>
      <c r="B1813" s="1832">
        <f>'Tax Sched 23'!E10</f>
        <v>137097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649180</v>
      </c>
      <c r="D1816" s="2" t="str">
        <f t="shared" si="27"/>
        <v>Error?</v>
      </c>
    </row>
    <row r="1817" spans="1:4" x14ac:dyDescent="0.2">
      <c r="A1817" s="5">
        <v>1756</v>
      </c>
      <c r="B1817" s="1832">
        <f>'Tax Sched 23'!E12</f>
        <v>137097</v>
      </c>
      <c r="D1817" s="2" t="str">
        <f t="shared" si="27"/>
        <v>Error?</v>
      </c>
    </row>
    <row r="1818" spans="1:4" x14ac:dyDescent="0.2">
      <c r="A1818" s="5">
        <v>1757</v>
      </c>
      <c r="B1818" s="1832">
        <f>'Tax Sched 23'!E14</f>
        <v>54839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5622714</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2764921</v>
      </c>
      <c r="C1939" s="2" t="s">
        <v>568</v>
      </c>
      <c r="D1939" s="2" t="str">
        <f t="shared" si="29"/>
        <v>Error?</v>
      </c>
    </row>
    <row r="1940" spans="1:5" x14ac:dyDescent="0.2">
      <c r="A1940" s="5">
        <v>1879</v>
      </c>
      <c r="B1940" s="1832">
        <f>'Short-Term Long-Term Debt 24'!F49</f>
        <v>2135489</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53016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53016</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53016</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198042</v>
      </c>
      <c r="D2008" s="2" t="str">
        <f t="shared" si="30"/>
        <v>Error?</v>
      </c>
    </row>
    <row r="2009" spans="1:4" x14ac:dyDescent="0.2">
      <c r="A2009" s="5">
        <v>1948</v>
      </c>
      <c r="B2009" s="1832">
        <f>'Cap Outlay Deprec 26'!C8</f>
        <v>52008402</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5740409</v>
      </c>
      <c r="D2011" s="2" t="str">
        <f t="shared" si="30"/>
        <v>Error?</v>
      </c>
    </row>
    <row r="2012" spans="1:4" x14ac:dyDescent="0.2">
      <c r="A2012" s="5">
        <v>1951</v>
      </c>
      <c r="B2012" s="1832">
        <f>'Cap Outlay Deprec 26'!C13</f>
        <v>857881</v>
      </c>
      <c r="D2012" s="2" t="str">
        <f t="shared" si="30"/>
        <v>Error?</v>
      </c>
    </row>
    <row r="2013" spans="1:4" x14ac:dyDescent="0.2">
      <c r="A2013" s="5">
        <v>1952</v>
      </c>
      <c r="B2013" s="1832">
        <f>'Cap Outlay Deprec 26'!C16</f>
        <v>58804734</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36020</v>
      </c>
      <c r="D2017" s="2" t="str">
        <f t="shared" si="30"/>
        <v>Error?</v>
      </c>
    </row>
    <row r="2018" spans="1:4" x14ac:dyDescent="0.2">
      <c r="A2018" s="5">
        <v>1957</v>
      </c>
      <c r="B2018" s="1832">
        <f>'Cap Outlay Deprec 26'!D13</f>
        <v>60489</v>
      </c>
      <c r="D2018" s="2" t="str">
        <f t="shared" si="30"/>
        <v>Error?</v>
      </c>
    </row>
    <row r="2019" spans="1:4" x14ac:dyDescent="0.2">
      <c r="A2019" s="5">
        <v>1958</v>
      </c>
      <c r="B2019" s="1832">
        <f>'Cap Outlay Deprec 26'!D16</f>
        <v>96509</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94028</v>
      </c>
      <c r="D2024" s="2" t="str">
        <f t="shared" si="30"/>
        <v>Error?</v>
      </c>
    </row>
    <row r="2025" spans="1:4" x14ac:dyDescent="0.2">
      <c r="A2025" s="5">
        <v>1964</v>
      </c>
      <c r="B2025" s="1832">
        <f>'Cap Outlay Deprec 26'!E16</f>
        <v>94028</v>
      </c>
      <c r="C2025" s="2" t="s">
        <v>568</v>
      </c>
      <c r="D2025" s="2" t="str">
        <f t="shared" si="30"/>
        <v>Error?</v>
      </c>
    </row>
    <row r="2026" spans="1:4" x14ac:dyDescent="0.2">
      <c r="A2026" s="5">
        <v>1965</v>
      </c>
      <c r="B2026" s="1832">
        <f>'Cap Outlay Deprec 26'!F5</f>
        <v>198042</v>
      </c>
      <c r="C2026" s="2" t="s">
        <v>568</v>
      </c>
      <c r="D2026" s="2" t="str">
        <f t="shared" si="30"/>
        <v>Error?</v>
      </c>
    </row>
    <row r="2027" spans="1:4" x14ac:dyDescent="0.2">
      <c r="A2027" s="5">
        <v>1966</v>
      </c>
      <c r="B2027" s="1832">
        <f>'Cap Outlay Deprec 26'!F8</f>
        <v>52008402</v>
      </c>
      <c r="C2027" s="2" t="s">
        <v>568</v>
      </c>
      <c r="D2027" s="2" t="str">
        <f t="shared" si="30"/>
        <v>Error?</v>
      </c>
    </row>
    <row r="2028" spans="1:4" x14ac:dyDescent="0.2">
      <c r="A2028" s="5">
        <v>1967</v>
      </c>
      <c r="B2028" s="1832">
        <f>'Cap Outlay Deprec 26'!F10</f>
        <v>0</v>
      </c>
      <c r="C2028" s="2" t="s">
        <v>568</v>
      </c>
      <c r="D2028" s="2" t="str">
        <f t="shared" si="30"/>
        <v>Error?</v>
      </c>
    </row>
    <row r="2029" spans="1:4" x14ac:dyDescent="0.2">
      <c r="A2029" s="5">
        <v>1968</v>
      </c>
      <c r="B2029" s="1832">
        <f>'Cap Outlay Deprec 26'!F12</f>
        <v>5776429</v>
      </c>
      <c r="C2029" s="2" t="s">
        <v>568</v>
      </c>
      <c r="D2029" s="2" t="str">
        <f t="shared" si="30"/>
        <v>Error?</v>
      </c>
    </row>
    <row r="2030" spans="1:4" x14ac:dyDescent="0.2">
      <c r="A2030" s="5">
        <v>1969</v>
      </c>
      <c r="B2030" s="1832">
        <f>'Cap Outlay Deprec 26'!F13</f>
        <v>824342</v>
      </c>
      <c r="C2030" s="2" t="s">
        <v>568</v>
      </c>
      <c r="D2030" s="2" t="str">
        <f t="shared" si="30"/>
        <v>Error?</v>
      </c>
    </row>
    <row r="2031" spans="1:4" x14ac:dyDescent="0.2">
      <c r="A2031" s="5">
        <v>1970</v>
      </c>
      <c r="B2031" s="1832">
        <f>'Cap Outlay Deprec 26'!F16</f>
        <v>58807215</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36523897</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5476791</v>
      </c>
      <c r="D2035" s="2" t="str">
        <f t="shared" si="30"/>
        <v>Error?</v>
      </c>
    </row>
    <row r="2036" spans="1:4" x14ac:dyDescent="0.2">
      <c r="A2036" s="5">
        <v>1975</v>
      </c>
      <c r="B2036" s="1832">
        <f>'Cap Outlay Deprec 26'!H13</f>
        <v>654068</v>
      </c>
      <c r="D2036" s="2" t="str">
        <f t="shared" si="30"/>
        <v>Error?</v>
      </c>
    </row>
    <row r="2037" spans="1:4" x14ac:dyDescent="0.2">
      <c r="A2037" s="5">
        <v>1976</v>
      </c>
      <c r="B2037" s="1832">
        <f>'Cap Outlay Deprec 26'!H16</f>
        <v>42654756</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606334</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45927</v>
      </c>
      <c r="D2041" s="2" t="str">
        <f t="shared" si="30"/>
        <v>Error?</v>
      </c>
    </row>
    <row r="2042" spans="1:4" x14ac:dyDescent="0.2">
      <c r="A2042" s="5">
        <v>1981</v>
      </c>
      <c r="B2042" s="1832">
        <f>'Cap Outlay Deprec 26'!I13</f>
        <v>119874</v>
      </c>
      <c r="D2042" s="2" t="str">
        <f t="shared" si="30"/>
        <v>Error?</v>
      </c>
    </row>
    <row r="2043" spans="1:4" x14ac:dyDescent="0.2">
      <c r="A2043" s="5">
        <v>1982</v>
      </c>
      <c r="B2043" s="1832">
        <f>'Cap Outlay Deprec 26'!I16</f>
        <v>772135</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94028</v>
      </c>
      <c r="D2048" s="2" t="str">
        <f t="shared" si="31"/>
        <v>Error?</v>
      </c>
    </row>
    <row r="2049" spans="1:4" x14ac:dyDescent="0.2">
      <c r="A2049" s="5">
        <v>1988</v>
      </c>
      <c r="B2049" s="1832">
        <f>'Cap Outlay Deprec 26'!J16</f>
        <v>94028</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37130231</v>
      </c>
      <c r="C2051" s="2" t="s">
        <v>568</v>
      </c>
      <c r="D2051" s="2" t="str">
        <f t="shared" si="31"/>
        <v>Error?</v>
      </c>
    </row>
    <row r="2052" spans="1:4" x14ac:dyDescent="0.2">
      <c r="A2052" s="5">
        <v>1991</v>
      </c>
      <c r="B2052" s="1832">
        <f>'Cap Outlay Deprec 26'!K10</f>
        <v>0</v>
      </c>
      <c r="C2052" s="2" t="s">
        <v>568</v>
      </c>
      <c r="D2052" s="2" t="str">
        <f t="shared" si="31"/>
        <v>Error?</v>
      </c>
    </row>
    <row r="2053" spans="1:4" x14ac:dyDescent="0.2">
      <c r="A2053" s="5">
        <v>1992</v>
      </c>
      <c r="B2053" s="1832">
        <f>'Cap Outlay Deprec 26'!K12</f>
        <v>5522718</v>
      </c>
      <c r="C2053" s="2" t="s">
        <v>568</v>
      </c>
      <c r="D2053" s="2" t="str">
        <f t="shared" si="31"/>
        <v>Error?</v>
      </c>
    </row>
    <row r="2054" spans="1:4" x14ac:dyDescent="0.2">
      <c r="A2054" s="5">
        <v>1993</v>
      </c>
      <c r="B2054" s="1832">
        <f>'Cap Outlay Deprec 26'!K13</f>
        <v>679914</v>
      </c>
      <c r="C2054" s="2" t="s">
        <v>568</v>
      </c>
      <c r="D2054" s="2" t="str">
        <f t="shared" si="31"/>
        <v>Error?</v>
      </c>
    </row>
    <row r="2055" spans="1:4" x14ac:dyDescent="0.2">
      <c r="A2055" s="5">
        <v>1994</v>
      </c>
      <c r="B2055" s="1832">
        <f>'Cap Outlay Deprec 26'!K16</f>
        <v>43332863</v>
      </c>
      <c r="C2055" s="2" t="s">
        <v>568</v>
      </c>
      <c r="D2055" s="2" t="str">
        <f t="shared" si="31"/>
        <v>Error?</v>
      </c>
    </row>
    <row r="2056" spans="1:4" x14ac:dyDescent="0.2">
      <c r="A2056" s="5">
        <v>1995</v>
      </c>
      <c r="B2056" s="1832">
        <f>'Cap Outlay Deprec 26'!L5</f>
        <v>198042</v>
      </c>
      <c r="C2056" s="2" t="s">
        <v>568</v>
      </c>
      <c r="D2056" s="2" t="str">
        <f t="shared" si="31"/>
        <v>Error?</v>
      </c>
    </row>
    <row r="2057" spans="1:4" x14ac:dyDescent="0.2">
      <c r="A2057" s="5">
        <v>1996</v>
      </c>
      <c r="B2057" s="1832">
        <f>'Cap Outlay Deprec 26'!L8</f>
        <v>14878171</v>
      </c>
      <c r="C2057" s="2" t="s">
        <v>568</v>
      </c>
      <c r="D2057" s="2" t="str">
        <f t="shared" si="31"/>
        <v>Error?</v>
      </c>
    </row>
    <row r="2058" spans="1:4" x14ac:dyDescent="0.2">
      <c r="A2058" s="5">
        <v>1997</v>
      </c>
      <c r="B2058" s="1832">
        <f>'Cap Outlay Deprec 26'!L10</f>
        <v>0</v>
      </c>
      <c r="C2058" s="2" t="s">
        <v>568</v>
      </c>
      <c r="D2058" s="2" t="str">
        <f t="shared" si="31"/>
        <v>Error?</v>
      </c>
    </row>
    <row r="2059" spans="1:4" x14ac:dyDescent="0.2">
      <c r="A2059" s="5">
        <v>1998</v>
      </c>
      <c r="B2059" s="1832">
        <f>'Cap Outlay Deprec 26'!L12</f>
        <v>253711</v>
      </c>
      <c r="C2059" s="2" t="s">
        <v>568</v>
      </c>
      <c r="D2059" s="2" t="str">
        <f t="shared" si="31"/>
        <v>Error?</v>
      </c>
    </row>
    <row r="2060" spans="1:4" x14ac:dyDescent="0.2">
      <c r="A2060" s="5">
        <v>1999</v>
      </c>
      <c r="B2060" s="1832">
        <f>'Cap Outlay Deprec 26'!L13</f>
        <v>144428</v>
      </c>
      <c r="C2060" s="2" t="s">
        <v>568</v>
      </c>
      <c r="D2060" s="2" t="str">
        <f t="shared" si="31"/>
        <v>Error?</v>
      </c>
    </row>
    <row r="2061" spans="1:4" x14ac:dyDescent="0.2">
      <c r="A2061" s="5">
        <v>2000</v>
      </c>
      <c r="B2061" s="1832">
        <f>'Cap Outlay Deprec 26'!L16</f>
        <v>15474352</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65288</v>
      </c>
      <c r="C2088" s="2" t="s">
        <v>568</v>
      </c>
      <c r="D2088" s="2" t="str">
        <f t="shared" si="31"/>
        <v>Error?</v>
      </c>
    </row>
    <row r="2089" spans="1:4" x14ac:dyDescent="0.2">
      <c r="A2089" s="5">
        <v>2028</v>
      </c>
      <c r="B2089" s="1832">
        <f>'Expenditures 15-22'!K92</f>
        <v>83761</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400000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153138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118480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3130309</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841139</v>
      </c>
      <c r="C2553" s="2" t="s">
        <v>568</v>
      </c>
      <c r="D2553" s="2" t="str">
        <f t="shared" si="38"/>
        <v>Error?</v>
      </c>
    </row>
    <row r="2554" spans="1:4" x14ac:dyDescent="0.2">
      <c r="A2554" s="5">
        <v>2493</v>
      </c>
      <c r="B2554" s="1832">
        <f>'Acct Summary 7-8'!C7</f>
        <v>307690</v>
      </c>
      <c r="C2554" s="2" t="s">
        <v>568</v>
      </c>
      <c r="D2554" s="2" t="str">
        <f t="shared" si="38"/>
        <v>Error?</v>
      </c>
    </row>
    <row r="2555" spans="1:4" x14ac:dyDescent="0.2">
      <c r="A2555" s="5">
        <v>2494</v>
      </c>
      <c r="B2555" s="1832">
        <f>'Acct Summary 7-8'!C8</f>
        <v>4279138</v>
      </c>
      <c r="C2555" s="2" t="s">
        <v>568</v>
      </c>
      <c r="D2555" s="2" t="str">
        <f t="shared" si="38"/>
        <v>Error?</v>
      </c>
    </row>
    <row r="2556" spans="1:4" x14ac:dyDescent="0.2">
      <c r="A2556" s="5">
        <v>2495</v>
      </c>
      <c r="B2556" s="1832">
        <f>'Acct Summary 7-8'!C12</f>
        <v>3670223</v>
      </c>
      <c r="C2556" s="2" t="s">
        <v>568</v>
      </c>
      <c r="D2556" s="2" t="str">
        <f t="shared" si="38"/>
        <v>Error?</v>
      </c>
    </row>
    <row r="2557" spans="1:4" x14ac:dyDescent="0.2">
      <c r="A2557" s="5">
        <v>2496</v>
      </c>
      <c r="B2557" s="1832">
        <f>'Acct Summary 7-8'!C13</f>
        <v>1080611</v>
      </c>
      <c r="C2557" s="2" t="s">
        <v>568</v>
      </c>
      <c r="D2557" s="2" t="str">
        <f t="shared" si="38"/>
        <v>Error?</v>
      </c>
    </row>
    <row r="2558" spans="1:4" x14ac:dyDescent="0.2">
      <c r="A2558" s="5">
        <v>2497</v>
      </c>
      <c r="B2558" s="1832">
        <f>'Acct Summary 7-8'!C14</f>
        <v>0</v>
      </c>
      <c r="C2558" s="2" t="s">
        <v>568</v>
      </c>
      <c r="D2558" s="2" t="str">
        <f t="shared" si="38"/>
        <v>Error?</v>
      </c>
    </row>
    <row r="2559" spans="1:4" x14ac:dyDescent="0.2">
      <c r="A2559" s="5">
        <v>2498</v>
      </c>
      <c r="B2559" s="1832">
        <f>'Acct Summary 7-8'!C15</f>
        <v>149049</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4899883</v>
      </c>
      <c r="C2561" s="2" t="s">
        <v>568</v>
      </c>
      <c r="D2561" s="2" t="str">
        <f t="shared" si="39"/>
        <v>Error?</v>
      </c>
    </row>
    <row r="2562" spans="1:4" x14ac:dyDescent="0.2">
      <c r="A2562" s="5">
        <v>2501</v>
      </c>
      <c r="B2562" s="1832">
        <f>'Acct Summary 7-8'!C20</f>
        <v>-620745</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707082</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757082</v>
      </c>
      <c r="C2568" s="2" t="s">
        <v>568</v>
      </c>
      <c r="D2568" s="2" t="str">
        <f t="shared" si="39"/>
        <v>Error?</v>
      </c>
    </row>
    <row r="2569" spans="1:4" x14ac:dyDescent="0.2">
      <c r="A2569" s="5">
        <v>2508</v>
      </c>
      <c r="B2569" s="1832">
        <f>'Acct Summary 7-8'!D13</f>
        <v>559902</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559902</v>
      </c>
      <c r="C2573" s="2" t="s">
        <v>568</v>
      </c>
      <c r="D2573" s="2" t="str">
        <f t="shared" si="39"/>
        <v>Error?</v>
      </c>
    </row>
    <row r="2574" spans="1:4" x14ac:dyDescent="0.2">
      <c r="A2574" s="5">
        <v>2513</v>
      </c>
      <c r="B2574" s="1832">
        <f>'Acct Summary 7-8'!D20</f>
        <v>197180</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328559</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89525</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418084</v>
      </c>
      <c r="C2595" s="2" t="s">
        <v>568</v>
      </c>
      <c r="D2595" s="2" t="str">
        <f t="shared" si="39"/>
        <v>Error?</v>
      </c>
    </row>
    <row r="2596" spans="1:4" x14ac:dyDescent="0.2">
      <c r="A2596" s="5">
        <v>2535</v>
      </c>
      <c r="B2596" s="1832">
        <f>'Acct Summary 7-8'!F13</f>
        <v>166836</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56259</v>
      </c>
      <c r="C2598" s="2" t="s">
        <v>568</v>
      </c>
      <c r="D2598" s="2" t="str">
        <f t="shared" si="39"/>
        <v>Error?</v>
      </c>
    </row>
    <row r="2599" spans="1:4" x14ac:dyDescent="0.2">
      <c r="A2599" s="5">
        <v>2538</v>
      </c>
      <c r="B2599" s="1832">
        <f>'Acct Summary 7-8'!F16</f>
        <v>113578</v>
      </c>
      <c r="C2599" s="2" t="s">
        <v>568</v>
      </c>
      <c r="D2599" s="2" t="str">
        <f t="shared" si="39"/>
        <v>Error?</v>
      </c>
    </row>
    <row r="2600" spans="1:4" x14ac:dyDescent="0.2">
      <c r="A2600" s="5">
        <v>2539</v>
      </c>
      <c r="B2600" s="1832">
        <f>'Acct Summary 7-8'!F17</f>
        <v>336673</v>
      </c>
      <c r="C2600" s="2" t="s">
        <v>568</v>
      </c>
      <c r="D2600" s="2" t="str">
        <f t="shared" si="39"/>
        <v>Error?</v>
      </c>
    </row>
    <row r="2601" spans="1:4" x14ac:dyDescent="0.2">
      <c r="A2601" s="5">
        <v>2540</v>
      </c>
      <c r="B2601" s="1832">
        <f>'Acct Summary 7-8'!F20</f>
        <v>81411</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271336</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271336</v>
      </c>
      <c r="C2606" s="2" t="s">
        <v>568</v>
      </c>
      <c r="D2606" s="2" t="str">
        <f t="shared" si="39"/>
        <v>Error?</v>
      </c>
    </row>
    <row r="2607" spans="1:4" x14ac:dyDescent="0.2">
      <c r="A2607" s="5">
        <v>2546</v>
      </c>
      <c r="B2607" s="1832">
        <f>'Acct Summary 7-8'!G12</f>
        <v>78492</v>
      </c>
      <c r="C2607" s="2" t="s">
        <v>568</v>
      </c>
      <c r="D2607" s="2" t="str">
        <f t="shared" si="39"/>
        <v>Error?</v>
      </c>
    </row>
    <row r="2608" spans="1:4" x14ac:dyDescent="0.2">
      <c r="A2608" s="5">
        <v>2547</v>
      </c>
      <c r="B2608" s="1832">
        <f>'Acct Summary 7-8'!G13</f>
        <v>135761</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214253</v>
      </c>
      <c r="C2612" s="2" t="s">
        <v>568</v>
      </c>
      <c r="D2612" s="2" t="str">
        <f t="shared" si="39"/>
        <v>Error?</v>
      </c>
    </row>
    <row r="2613" spans="1:4" x14ac:dyDescent="0.2">
      <c r="A2613" s="5">
        <v>2552</v>
      </c>
      <c r="B2613" s="1832">
        <f>'Acct Summary 7-8'!G20</f>
        <v>57083</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821769</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821769</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824525</v>
      </c>
      <c r="C2634" s="2" t="s">
        <v>568</v>
      </c>
      <c r="D2634" s="2" t="str">
        <f t="shared" si="40"/>
        <v>Error?</v>
      </c>
    </row>
    <row r="2635" spans="1:4" x14ac:dyDescent="0.2">
      <c r="A2635" s="5">
        <v>2574</v>
      </c>
      <c r="B2635" s="1832">
        <f>'Acct Summary 7-8'!E17</f>
        <v>824525</v>
      </c>
      <c r="C2635" s="2" t="s">
        <v>568</v>
      </c>
      <c r="D2635" s="2" t="str">
        <f t="shared" si="40"/>
        <v>Error?</v>
      </c>
    </row>
    <row r="2636" spans="1:4" x14ac:dyDescent="0.2">
      <c r="A2636" s="5">
        <v>2575</v>
      </c>
      <c r="B2636" s="1832">
        <f>'Acct Summary 7-8'!E20</f>
        <v>-2756</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0</v>
      </c>
      <c r="C2658" s="2" t="s">
        <v>568</v>
      </c>
      <c r="D2658" s="2" t="str">
        <f t="shared" si="40"/>
        <v>Error?</v>
      </c>
    </row>
    <row r="2659" spans="1:4" x14ac:dyDescent="0.2">
      <c r="A2659" s="5">
        <v>2598</v>
      </c>
      <c r="B2659" s="1832">
        <f>'Acct Summary 7-8'!H13</f>
        <v>0</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0</v>
      </c>
      <c r="C2661" s="2" t="s">
        <v>568</v>
      </c>
      <c r="D2661" s="2" t="str">
        <f t="shared" si="40"/>
        <v>Error?</v>
      </c>
    </row>
    <row r="2662" spans="1:4" x14ac:dyDescent="0.2">
      <c r="A2662" s="5">
        <v>2601</v>
      </c>
      <c r="B2662" s="1832">
        <f>'Acct Summary 7-8'!H20</f>
        <v>0</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65288</v>
      </c>
      <c r="C2789" s="2" t="s">
        <v>568</v>
      </c>
      <c r="D2789" s="2" t="str">
        <f t="shared" si="42"/>
        <v>Error?</v>
      </c>
    </row>
    <row r="2790" spans="1:4" x14ac:dyDescent="0.2">
      <c r="A2790" s="5">
        <v>2729</v>
      </c>
      <c r="B2790" s="1832">
        <f>'Expenditures 15-22'!E102</f>
        <v>65288</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56259</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56259</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56259</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2451627</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1456992</v>
      </c>
      <c r="D2892" s="2" t="str">
        <f t="shared" si="44"/>
        <v>Error?</v>
      </c>
    </row>
    <row r="2893" spans="1:4" x14ac:dyDescent="0.2">
      <c r="A2893" s="10">
        <v>2832</v>
      </c>
      <c r="B2893" s="1832"/>
      <c r="D2893" s="2" t="str">
        <f t="shared" si="44"/>
        <v>OK</v>
      </c>
    </row>
    <row r="2894" spans="1:4" x14ac:dyDescent="0.2">
      <c r="A2894" s="5">
        <v>2833</v>
      </c>
      <c r="B2894" s="1832">
        <f>'Assets-Liab 5-6'!L12</f>
        <v>1509350</v>
      </c>
      <c r="D2894" s="2" t="str">
        <f t="shared" si="44"/>
        <v>Error?</v>
      </c>
    </row>
    <row r="2895" spans="1:4" x14ac:dyDescent="0.2">
      <c r="A2895" s="5">
        <v>2834</v>
      </c>
      <c r="B2895" s="1832">
        <f>'Assets-Liab 5-6'!L13</f>
        <v>3465698</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2451627</v>
      </c>
      <c r="D2912" s="2" t="str">
        <f t="shared" si="44"/>
        <v>Error?</v>
      </c>
    </row>
    <row r="2913" spans="1:4" x14ac:dyDescent="0.2">
      <c r="A2913" s="5">
        <v>2852</v>
      </c>
      <c r="B2913" s="1832">
        <f>'Assets-Liab 5-6'!I41</f>
        <v>2451627</v>
      </c>
      <c r="C2913" s="2" t="s">
        <v>568</v>
      </c>
      <c r="D2913" s="2" t="str">
        <f t="shared" si="44"/>
        <v>Error?</v>
      </c>
    </row>
    <row r="2914" spans="1:4" x14ac:dyDescent="0.2">
      <c r="A2914" s="5">
        <v>2853</v>
      </c>
      <c r="B2914" s="1832">
        <f>'Assets-Liab 5-6'!L33</f>
        <v>285041</v>
      </c>
      <c r="D2914" s="2" t="str">
        <f t="shared" si="44"/>
        <v>Error?</v>
      </c>
    </row>
    <row r="2915" spans="1:4" x14ac:dyDescent="0.2">
      <c r="A2915" s="10">
        <v>2854</v>
      </c>
      <c r="B2915" s="1832"/>
      <c r="D2915" s="2" t="str">
        <f t="shared" si="44"/>
        <v>OK</v>
      </c>
    </row>
    <row r="2916" spans="1:4" x14ac:dyDescent="0.2">
      <c r="A2916" s="5">
        <v>2855</v>
      </c>
      <c r="B2916" s="1832">
        <f>'Assets-Liab 5-6'!L34</f>
        <v>285041</v>
      </c>
      <c r="C2916" s="2" t="s">
        <v>568</v>
      </c>
      <c r="D2916" s="2" t="str">
        <f t="shared" si="44"/>
        <v>Error?</v>
      </c>
    </row>
    <row r="2917" spans="1:4" x14ac:dyDescent="0.2">
      <c r="A2917" s="5">
        <v>2856</v>
      </c>
      <c r="B2917" s="1832">
        <f>'Assets-Liab 5-6'!L41</f>
        <v>3465698</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65288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65288</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56259</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56259</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128516</v>
      </c>
      <c r="D3055" s="2" t="str">
        <f t="shared" si="46"/>
        <v>Error?</v>
      </c>
    </row>
    <row r="3056" spans="1:4" x14ac:dyDescent="0.2">
      <c r="A3056" s="5">
        <v>2995</v>
      </c>
      <c r="B3056" s="1832">
        <f>'Expenditures 15-22'!D10</f>
        <v>27989</v>
      </c>
      <c r="D3056" s="2" t="str">
        <f t="shared" si="46"/>
        <v>Error?</v>
      </c>
    </row>
    <row r="3057" spans="1:4" x14ac:dyDescent="0.2">
      <c r="A3057" s="5">
        <v>2996</v>
      </c>
      <c r="B3057" s="1832">
        <f>'Expenditures 15-22'!E10</f>
        <v>16421</v>
      </c>
      <c r="D3057" s="2" t="str">
        <f t="shared" si="46"/>
        <v>Error?</v>
      </c>
    </row>
    <row r="3058" spans="1:4" x14ac:dyDescent="0.2">
      <c r="A3058" s="5">
        <v>2997</v>
      </c>
      <c r="B3058" s="1832">
        <f>'Expenditures 15-22'!F10</f>
        <v>518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173444</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1862</v>
      </c>
      <c r="D3064" s="2" t="str">
        <f t="shared" si="46"/>
        <v>Error?</v>
      </c>
    </row>
    <row r="3065" spans="1:4" x14ac:dyDescent="0.2">
      <c r="A3065" s="5">
        <v>3004</v>
      </c>
      <c r="B3065" s="1832">
        <f>'Expenditures 15-22'!K219</f>
        <v>1862</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3180657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142552</v>
      </c>
      <c r="C3225" s="2" t="s">
        <v>568</v>
      </c>
      <c r="D3225" s="2" t="str">
        <f t="shared" si="49"/>
        <v>Error?</v>
      </c>
    </row>
    <row r="3226" spans="1:4" x14ac:dyDescent="0.2">
      <c r="A3226" s="5">
        <v>3165</v>
      </c>
      <c r="B3226" s="1832">
        <f>'Acct Summary 7-8'!I8</f>
        <v>142552</v>
      </c>
      <c r="C3226" s="2" t="s">
        <v>568</v>
      </c>
      <c r="D3226" s="2" t="str">
        <f t="shared" si="49"/>
        <v>Error?</v>
      </c>
    </row>
    <row r="3227" spans="1:4" x14ac:dyDescent="0.2">
      <c r="A3227" s="5">
        <v>3166</v>
      </c>
      <c r="B3227" s="1832">
        <f>'Acct Summary 7-8'!I20</f>
        <v>142552</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400000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400000</v>
      </c>
      <c r="C3232" s="2" t="s">
        <v>568</v>
      </c>
      <c r="D3232" s="2" t="str">
        <f t="shared" si="49"/>
        <v>Error?</v>
      </c>
    </row>
    <row r="3233" spans="1:4" x14ac:dyDescent="0.2">
      <c r="A3233" s="5">
        <v>3172</v>
      </c>
      <c r="B3233" s="1832">
        <f>'Acct Summary 7-8'!C78</f>
        <v>-220745</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197180</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3500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3500</v>
      </c>
      <c r="C3255" s="2" t="s">
        <v>568</v>
      </c>
      <c r="D3255" s="2" t="str">
        <f t="shared" si="49"/>
        <v>Error?</v>
      </c>
    </row>
    <row r="3256" spans="1:4" x14ac:dyDescent="0.2">
      <c r="A3256" s="5">
        <v>3195</v>
      </c>
      <c r="B3256" s="1832">
        <f>'Acct Summary 7-8'!F78</f>
        <v>84911</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57083</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575</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575</v>
      </c>
      <c r="C3277" s="2" t="s">
        <v>568</v>
      </c>
      <c r="D3277" s="2" t="str">
        <f t="shared" si="50"/>
        <v>Error?</v>
      </c>
    </row>
    <row r="3278" spans="1:4" x14ac:dyDescent="0.2">
      <c r="A3278" s="5">
        <v>3217</v>
      </c>
      <c r="B3278" s="1832">
        <f>'Acct Summary 7-8'!E78</f>
        <v>-2181</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0</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2235358</v>
      </c>
      <c r="C3317" s="2" t="s">
        <v>568</v>
      </c>
      <c r="D3317" s="2" t="str">
        <f t="shared" si="50"/>
        <v>Error?</v>
      </c>
    </row>
    <row r="3318" spans="1:4" x14ac:dyDescent="0.2">
      <c r="A3318" s="5">
        <v>3257</v>
      </c>
      <c r="B3318" s="1832">
        <f>'Acct Summary 7-8'!I76</f>
        <v>458061</v>
      </c>
      <c r="C3318" s="2" t="s">
        <v>568</v>
      </c>
      <c r="D3318" s="2" t="str">
        <f t="shared" si="50"/>
        <v>Error?</v>
      </c>
    </row>
    <row r="3319" spans="1:4" x14ac:dyDescent="0.2">
      <c r="A3319" s="5">
        <v>3258</v>
      </c>
      <c r="B3319" s="1832">
        <f>'Acct Summary 7-8'!I77</f>
        <v>1777297</v>
      </c>
      <c r="C3319" s="2" t="s">
        <v>568</v>
      </c>
      <c r="D3319" s="2" t="str">
        <f t="shared" si="50"/>
        <v>Error?</v>
      </c>
    </row>
    <row r="3320" spans="1:4" x14ac:dyDescent="0.2">
      <c r="A3320" s="5">
        <v>3259</v>
      </c>
      <c r="B3320" s="1832">
        <f>'Acct Summary 7-8'!I78</f>
        <v>1919849</v>
      </c>
      <c r="C3320" s="2" t="s">
        <v>568</v>
      </c>
      <c r="D3320" s="2" t="str">
        <f t="shared" si="50"/>
        <v>Error?</v>
      </c>
    </row>
    <row r="3321" spans="1:4" x14ac:dyDescent="0.2">
      <c r="A3321" s="5">
        <v>3260</v>
      </c>
      <c r="B3321" s="1832">
        <f>'Acct Summary 7-8'!I79</f>
        <v>531778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2451627</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503101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99565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51851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1433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655950</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24663</v>
      </c>
      <c r="D3387" s="2" t="str">
        <f t="shared" si="51"/>
        <v>Error?</v>
      </c>
    </row>
    <row r="3388" spans="1:4" x14ac:dyDescent="0.2">
      <c r="A3388" s="5">
        <v>3327</v>
      </c>
      <c r="B3388" s="1832">
        <f>'Expenditures 15-22'!D217</f>
        <v>37545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24663</v>
      </c>
      <c r="C3390" s="2" t="s">
        <v>568</v>
      </c>
      <c r="D3390" s="2" t="str">
        <f t="shared" si="51"/>
        <v>Error?</v>
      </c>
    </row>
    <row r="3391" spans="1:4" x14ac:dyDescent="0.2">
      <c r="A3391" s="5">
        <v>3330</v>
      </c>
      <c r="B3391" s="1832">
        <f>'Expenditures 15-22'!K217</f>
        <v>37545</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123819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1239425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110554</v>
      </c>
      <c r="D3417" s="2" t="str">
        <f t="shared" si="52"/>
        <v>Error?</v>
      </c>
    </row>
    <row r="3418" spans="1:4" x14ac:dyDescent="0.2">
      <c r="A3418" s="10">
        <v>3357</v>
      </c>
      <c r="B3418" s="1832"/>
      <c r="D3418" s="2" t="str">
        <f t="shared" si="52"/>
        <v>OK</v>
      </c>
    </row>
    <row r="3419" spans="1:4" x14ac:dyDescent="0.2">
      <c r="A3419" s="5">
        <v>3358</v>
      </c>
      <c r="B3419" s="1832">
        <f>'Assets-Liab 5-6'!F4</f>
        <v>1227362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534630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2451627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499356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124301</v>
      </c>
      <c r="C3446" s="2" t="s">
        <v>568</v>
      </c>
      <c r="D3446" s="2" t="str">
        <f t="shared" si="52"/>
        <v>Error?</v>
      </c>
    </row>
    <row r="3447" spans="1:4" x14ac:dyDescent="0.2">
      <c r="A3447" s="5">
        <v>3386</v>
      </c>
      <c r="B3447" s="1832">
        <f>'Tax Sched 23'!D16</f>
        <v>124301</v>
      </c>
      <c r="C3447" s="2" t="s">
        <v>568</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74909</v>
      </c>
      <c r="C3449" s="2" t="s">
        <v>568</v>
      </c>
      <c r="D3449" s="2" t="str">
        <f t="shared" si="52"/>
        <v>Error?</v>
      </c>
    </row>
    <row r="3450" spans="1:4" x14ac:dyDescent="0.2">
      <c r="A3450" s="5">
        <v>3389</v>
      </c>
      <c r="B3450" s="1832">
        <f>'Tax Sched 23'!E16</f>
        <v>74909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3500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963508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963508</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963508</v>
      </c>
      <c r="D3567" s="2" t="str">
        <f t="shared" si="54"/>
        <v>Error?</v>
      </c>
    </row>
    <row r="3568" spans="1:4" x14ac:dyDescent="0.2">
      <c r="A3568" s="5">
        <v>3507</v>
      </c>
      <c r="B3568" s="1832">
        <f>'Assets-Liab 5-6'!K41</f>
        <v>963508</v>
      </c>
      <c r="C3568" s="2" t="s">
        <v>568</v>
      </c>
      <c r="D3568" s="2" t="str">
        <f t="shared" si="54"/>
        <v>Error?</v>
      </c>
    </row>
    <row r="3569" spans="1:4" x14ac:dyDescent="0.2">
      <c r="A3569" s="5">
        <v>3508</v>
      </c>
      <c r="B3569" s="1832">
        <f>'Acct Summary 7-8'!K4</f>
        <v>140507</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140507</v>
      </c>
      <c r="C3571" s="2" t="s">
        <v>568</v>
      </c>
      <c r="D3571" s="2" t="str">
        <f t="shared" si="54"/>
        <v>Error?</v>
      </c>
    </row>
    <row r="3572" spans="1:4" x14ac:dyDescent="0.2">
      <c r="A3572" s="5">
        <v>3511</v>
      </c>
      <c r="B3572" s="1832">
        <f>'Acct Summary 7-8'!K13</f>
        <v>66372</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66372</v>
      </c>
      <c r="C3575" s="2" t="s">
        <v>568</v>
      </c>
      <c r="D3575" s="2" t="str">
        <f t="shared" si="54"/>
        <v>Error?</v>
      </c>
    </row>
    <row r="3576" spans="1:4" x14ac:dyDescent="0.2">
      <c r="A3576" s="5">
        <v>3515</v>
      </c>
      <c r="B3576" s="1832">
        <f>'Acct Summary 7-8'!K20</f>
        <v>74135</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74135</v>
      </c>
      <c r="C3588" s="2" t="s">
        <v>568</v>
      </c>
      <c r="D3588" s="2" t="str">
        <f t="shared" si="55"/>
        <v>Error?</v>
      </c>
    </row>
    <row r="3589" spans="1:4" x14ac:dyDescent="0.2">
      <c r="A3589" s="5">
        <v>3528</v>
      </c>
      <c r="B3589" s="1832">
        <f>'Acct Summary 7-8'!K79</f>
        <v>889373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963508</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30352</v>
      </c>
      <c r="D3632" s="2" t="str">
        <f t="shared" si="55"/>
        <v>Error?</v>
      </c>
    </row>
    <row r="3633" spans="1:4" x14ac:dyDescent="0.2">
      <c r="A3633" s="5">
        <v>3572</v>
      </c>
      <c r="B3633" s="1832">
        <f>'Expenditures 15-22'!E350</f>
        <v>30352</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30352</v>
      </c>
      <c r="C3635" s="2" t="s">
        <v>568</v>
      </c>
      <c r="D3635" s="2" t="str">
        <f t="shared" si="55"/>
        <v>Error?</v>
      </c>
    </row>
    <row r="3636" spans="1:4" x14ac:dyDescent="0.2">
      <c r="A3636" s="5">
        <v>3575</v>
      </c>
      <c r="B3636" s="1832">
        <f>'Expenditures 15-22'!E367</f>
        <v>30352</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36020</v>
      </c>
      <c r="D3646" s="2" t="str">
        <f t="shared" si="55"/>
        <v>Error?</v>
      </c>
    </row>
    <row r="3647" spans="1:4" x14ac:dyDescent="0.2">
      <c r="A3647" s="5">
        <v>3586</v>
      </c>
      <c r="B3647" s="1832">
        <f>'Expenditures 15-22'!G350</f>
        <v>36020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36020</v>
      </c>
      <c r="C3649" s="2" t="s">
        <v>568</v>
      </c>
      <c r="D3649" s="2" t="str">
        <f t="shared" si="56"/>
        <v>Error?</v>
      </c>
    </row>
    <row r="3650" spans="1:4" x14ac:dyDescent="0.2">
      <c r="A3650" s="5">
        <v>3589</v>
      </c>
      <c r="B3650" s="1832">
        <f>'Expenditures 15-22'!G367</f>
        <v>36020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66372</v>
      </c>
      <c r="C3669" s="2" t="s">
        <v>568</v>
      </c>
      <c r="D3669" s="2" t="str">
        <f t="shared" si="56"/>
        <v>Error?</v>
      </c>
    </row>
    <row r="3670" spans="1:4" x14ac:dyDescent="0.2">
      <c r="A3670" s="5">
        <v>3609</v>
      </c>
      <c r="B3670" s="1832">
        <f>'Expenditures 15-22'!K350</f>
        <v>66372</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66372</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66372</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74135</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132540</v>
      </c>
      <c r="C3725" s="2" t="s">
        <v>568</v>
      </c>
      <c r="D3725" s="2" t="str">
        <f t="shared" si="57"/>
        <v>Error?</v>
      </c>
    </row>
    <row r="3726" spans="1:4" x14ac:dyDescent="0.2">
      <c r="A3726" s="5">
        <v>3665</v>
      </c>
      <c r="B3726" s="1832">
        <f>'Tax Sched 23'!D13</f>
        <v>132540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137097</v>
      </c>
      <c r="C3728" s="2" t="s">
        <v>568</v>
      </c>
      <c r="D3728" s="2" t="str">
        <f t="shared" si="57"/>
        <v>Error?</v>
      </c>
    </row>
    <row r="3729" spans="1:4" x14ac:dyDescent="0.2">
      <c r="A3729" s="5">
        <v>3668</v>
      </c>
      <c r="B3729" s="1832">
        <f>'Tax Sched 23'!E13</f>
        <v>137097</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2895994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7175132</v>
      </c>
      <c r="C4122" s="2" t="s">
        <v>568</v>
      </c>
      <c r="D4122" s="2" t="str">
        <f t="shared" si="63"/>
        <v>Error?</v>
      </c>
    </row>
    <row r="4123" spans="1:4" x14ac:dyDescent="0.2">
      <c r="A4123" s="5">
        <v>4062</v>
      </c>
      <c r="B4123" s="1832">
        <f>'Acct Summary 7-8'!D10</f>
        <v>757082</v>
      </c>
      <c r="C4123" s="2" t="s">
        <v>568</v>
      </c>
      <c r="D4123" s="2" t="str">
        <f t="shared" si="63"/>
        <v>Error?</v>
      </c>
    </row>
    <row r="4124" spans="1:4" x14ac:dyDescent="0.2">
      <c r="A4124" s="5">
        <v>4063</v>
      </c>
      <c r="B4124" s="1832">
        <f>'Acct Summary 7-8'!E10</f>
        <v>821769</v>
      </c>
      <c r="C4124" s="2" t="s">
        <v>568</v>
      </c>
      <c r="D4124" s="2" t="str">
        <f t="shared" si="63"/>
        <v>Error?</v>
      </c>
    </row>
    <row r="4125" spans="1:4" x14ac:dyDescent="0.2">
      <c r="A4125" s="5">
        <v>4064</v>
      </c>
      <c r="B4125" s="1832">
        <f>'Acct Summary 7-8'!F10</f>
        <v>418084</v>
      </c>
      <c r="C4125" s="2" t="s">
        <v>568</v>
      </c>
      <c r="D4125" s="2" t="str">
        <f t="shared" si="63"/>
        <v>Error?</v>
      </c>
    </row>
    <row r="4126" spans="1:4" x14ac:dyDescent="0.2">
      <c r="A4126" s="5">
        <v>4065</v>
      </c>
      <c r="B4126" s="1832">
        <f>'Acct Summary 7-8'!G10</f>
        <v>271336</v>
      </c>
      <c r="C4126" s="2" t="s">
        <v>568</v>
      </c>
      <c r="D4126" s="2" t="str">
        <f t="shared" si="63"/>
        <v>Error?</v>
      </c>
    </row>
    <row r="4127" spans="1:4" x14ac:dyDescent="0.2">
      <c r="A4127" s="5">
        <v>4066</v>
      </c>
      <c r="B4127" s="1832">
        <f>'Acct Summary 7-8'!H10</f>
        <v>0</v>
      </c>
      <c r="C4127" s="2" t="s">
        <v>568</v>
      </c>
      <c r="D4127" s="2" t="str">
        <f t="shared" si="63"/>
        <v>Error?</v>
      </c>
    </row>
    <row r="4128" spans="1:4" x14ac:dyDescent="0.2">
      <c r="A4128" s="5">
        <v>4067</v>
      </c>
      <c r="B4128" s="1832">
        <f>'Acct Summary 7-8'!I10</f>
        <v>142552</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140507</v>
      </c>
      <c r="C4130" s="2" t="s">
        <v>568</v>
      </c>
      <c r="D4130" s="2" t="str">
        <f t="shared" si="63"/>
        <v>Error?</v>
      </c>
    </row>
    <row r="4131" spans="1:4" x14ac:dyDescent="0.2">
      <c r="A4131" s="5">
        <v>4070</v>
      </c>
      <c r="B4131" s="1832">
        <f>'Acct Summary 7-8'!C18</f>
        <v>2895994</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7795877</v>
      </c>
      <c r="C4136" s="2" t="s">
        <v>568</v>
      </c>
      <c r="D4136" s="2" t="str">
        <f t="shared" si="63"/>
        <v>Error?</v>
      </c>
    </row>
    <row r="4137" spans="1:4" x14ac:dyDescent="0.2">
      <c r="A4137" s="5">
        <v>4076</v>
      </c>
      <c r="B4137" s="1832">
        <f>'Acct Summary 7-8'!D19</f>
        <v>559902</v>
      </c>
      <c r="C4137" s="2" t="s">
        <v>568</v>
      </c>
      <c r="D4137" s="2" t="str">
        <f t="shared" si="63"/>
        <v>Error?</v>
      </c>
    </row>
    <row r="4138" spans="1:4" x14ac:dyDescent="0.2">
      <c r="A4138" s="5">
        <v>4077</v>
      </c>
      <c r="B4138" s="1832">
        <f>'Acct Summary 7-8'!E19</f>
        <v>824525</v>
      </c>
      <c r="C4138" s="2" t="s">
        <v>568</v>
      </c>
      <c r="D4138" s="2" t="str">
        <f t="shared" si="63"/>
        <v>Error?</v>
      </c>
    </row>
    <row r="4139" spans="1:4" x14ac:dyDescent="0.2">
      <c r="A4139" s="5">
        <v>4078</v>
      </c>
      <c r="B4139" s="1832">
        <f>'Acct Summary 7-8'!F19</f>
        <v>336673</v>
      </c>
      <c r="C4139" s="2" t="s">
        <v>568</v>
      </c>
      <c r="D4139" s="2" t="str">
        <f t="shared" si="63"/>
        <v>Error?</v>
      </c>
    </row>
    <row r="4140" spans="1:4" x14ac:dyDescent="0.2">
      <c r="A4140" s="5">
        <v>4079</v>
      </c>
      <c r="B4140" s="1832">
        <f>'Acct Summary 7-8'!G19</f>
        <v>214253</v>
      </c>
      <c r="C4140" s="2" t="s">
        <v>568</v>
      </c>
      <c r="D4140" s="2" t="str">
        <f t="shared" si="63"/>
        <v>Error?</v>
      </c>
    </row>
    <row r="4141" spans="1:4" x14ac:dyDescent="0.2">
      <c r="A4141" s="5">
        <v>4080</v>
      </c>
      <c r="B4141" s="1832">
        <f>'Acct Summary 7-8'!H19</f>
        <v>0</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66372</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4016832</v>
      </c>
      <c r="C4171" s="2" t="s">
        <v>568</v>
      </c>
      <c r="D4171" s="2" t="str">
        <f t="shared" si="64"/>
        <v>Error?</v>
      </c>
    </row>
    <row r="4172" spans="1:4" x14ac:dyDescent="0.2">
      <c r="A4172" s="5">
        <v>4111</v>
      </c>
      <c r="B4172" s="1832">
        <f>'Short-Term Long-Term Debt 24'!J49</f>
        <v>3906278</v>
      </c>
      <c r="C4172" s="2" t="s">
        <v>568</v>
      </c>
      <c r="D4172" s="2" t="str">
        <f t="shared" si="64"/>
        <v>Error?</v>
      </c>
    </row>
    <row r="4173" spans="1:4" x14ac:dyDescent="0.2">
      <c r="A4173" s="5">
        <v>4112</v>
      </c>
      <c r="B4173" s="1832">
        <f>'Short-Term Long-Term Debt 24'!H49</f>
        <v>883578</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105379</v>
      </c>
      <c r="D4210" s="2" t="str">
        <f t="shared" si="64"/>
        <v>Error?</v>
      </c>
    </row>
    <row r="4211" spans="1:4" x14ac:dyDescent="0.2">
      <c r="A4211" s="5">
        <v>4150</v>
      </c>
      <c r="B4211" s="1832">
        <f>'Expenditures 15-22'!K206</f>
        <v>105379</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568</v>
      </c>
      <c r="D4265" s="2" t="str">
        <f t="shared" si="65"/>
        <v>Error?</v>
      </c>
      <c r="E4265" s="125"/>
    </row>
    <row r="4266" spans="1:5" x14ac:dyDescent="0.2">
      <c r="A4266" s="12">
        <v>4205</v>
      </c>
      <c r="B4266" s="1832">
        <f>('FP Info 3'!F10)*100000</f>
        <v>250</v>
      </c>
      <c r="C4266" s="2" t="s">
        <v>568</v>
      </c>
      <c r="D4266" s="2" t="str">
        <f t="shared" si="65"/>
        <v>Error?</v>
      </c>
      <c r="E4266" s="125"/>
    </row>
    <row r="4267" spans="1:5" x14ac:dyDescent="0.2">
      <c r="A4267" s="12">
        <v>4206</v>
      </c>
      <c r="B4267" s="1832">
        <f>('FP Info 3'!H10)*100000</f>
        <v>119.99999999999999</v>
      </c>
      <c r="C4267" s="2" t="s">
        <v>568</v>
      </c>
      <c r="D4267" s="2" t="str">
        <f t="shared" si="65"/>
        <v>Error?</v>
      </c>
      <c r="E4267" s="125"/>
    </row>
    <row r="4268" spans="1:5" x14ac:dyDescent="0.2">
      <c r="A4268" s="12">
        <v>4207</v>
      </c>
      <c r="B4268" s="1832">
        <f>('FP Info 3'!J10)*100000</f>
        <v>1290</v>
      </c>
      <c r="C4268" s="2" t="s">
        <v>568</v>
      </c>
      <c r="D4268" s="2" t="str">
        <f t="shared" si="65"/>
        <v>Error?</v>
      </c>
    </row>
    <row r="4269" spans="1:5" x14ac:dyDescent="0.2">
      <c r="A4269" s="12">
        <v>4208</v>
      </c>
      <c r="B4269" s="1832">
        <f>'FP Info 3'!J16</f>
        <v>5042352</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2343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1634</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18896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5075</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3600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274193093</v>
      </c>
      <c r="D4995" s="2" t="str">
        <f t="shared" si="77"/>
        <v>Error?</v>
      </c>
    </row>
    <row r="4996" spans="1:4" x14ac:dyDescent="0.2">
      <c r="A4996" s="12">
        <v>4935</v>
      </c>
      <c r="B4996" s="1832">
        <f>'FP Info 3'!H31</f>
        <v>18919323.417000003</v>
      </c>
      <c r="D4996" s="2" t="str">
        <f t="shared" si="77"/>
        <v>Error?</v>
      </c>
    </row>
    <row r="4997" spans="1:4" x14ac:dyDescent="0.2">
      <c r="A4997" s="12">
        <v>4936</v>
      </c>
      <c r="B4997" s="1832">
        <f>'FP Info 3'!H37</f>
        <v>4016832</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132540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2438769</v>
      </c>
      <c r="D5061" s="2" t="str">
        <f t="shared" si="78"/>
        <v>Error?</v>
      </c>
    </row>
    <row r="5062" spans="1:4" x14ac:dyDescent="0.2">
      <c r="A5062" s="10">
        <v>5001</v>
      </c>
      <c r="B5062" s="1832"/>
      <c r="D5062" s="2" t="str">
        <f t="shared" si="78"/>
        <v>OK</v>
      </c>
    </row>
    <row r="5063" spans="1:4" x14ac:dyDescent="0.2">
      <c r="A5063" s="5">
        <v>5002</v>
      </c>
      <c r="B5063" s="1832">
        <f>'Revenues 9-14'!C7</f>
        <v>53016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2624325</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237273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237273</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7004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7004</v>
      </c>
      <c r="C5090" s="2" t="s">
        <v>568</v>
      </c>
      <c r="D5090" s="2" t="str">
        <f t="shared" si="78"/>
        <v>Error?</v>
      </c>
    </row>
    <row r="5091" spans="1:4" x14ac:dyDescent="0.2">
      <c r="A5091" s="5">
        <v>5030</v>
      </c>
      <c r="B5091" s="1832">
        <f>'Revenues 9-14'!C70</f>
        <v>1758</v>
      </c>
      <c r="D5091" s="2" t="str">
        <f t="shared" si="78"/>
        <v>Error?</v>
      </c>
    </row>
    <row r="5092" spans="1:4" x14ac:dyDescent="0.2">
      <c r="A5092" s="5">
        <v>5031</v>
      </c>
      <c r="B5092" s="1832">
        <f>'Revenues 9-14'!C71</f>
        <v>77352</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668</v>
      </c>
      <c r="D5094" s="2" t="str">
        <f t="shared" si="78"/>
        <v>Error?</v>
      </c>
    </row>
    <row r="5095" spans="1:4" x14ac:dyDescent="0.2">
      <c r="A5095" s="5">
        <v>5034</v>
      </c>
      <c r="B5095" s="1832">
        <f>'Revenues 9-14'!C74</f>
        <v>8598</v>
      </c>
      <c r="D5095" s="2" t="str">
        <f t="shared" si="78"/>
        <v>Error?</v>
      </c>
    </row>
    <row r="5096" spans="1:4" x14ac:dyDescent="0.2">
      <c r="A5096" s="5">
        <v>5035</v>
      </c>
      <c r="B5096" s="1832">
        <f>'Revenues 9-14'!C75</f>
        <v>140733</v>
      </c>
      <c r="C5096" s="2" t="s">
        <v>568</v>
      </c>
      <c r="D5096" s="2" t="str">
        <f t="shared" si="78"/>
        <v>Error?</v>
      </c>
    </row>
    <row r="5097" spans="1:4" x14ac:dyDescent="0.2">
      <c r="A5097" s="5">
        <v>5036</v>
      </c>
      <c r="B5097" s="1832">
        <f>'Revenues 9-14'!C77</f>
        <v>37798</v>
      </c>
      <c r="D5097" s="2" t="str">
        <f t="shared" si="78"/>
        <v>Error?</v>
      </c>
    </row>
    <row r="5098" spans="1:4" x14ac:dyDescent="0.2">
      <c r="A5098" s="5">
        <v>5037</v>
      </c>
      <c r="B5098" s="1832">
        <f>'Revenues 9-14'!C78</f>
        <v>7086</v>
      </c>
      <c r="D5098" s="2" t="str">
        <f t="shared" si="78"/>
        <v>Error?</v>
      </c>
    </row>
    <row r="5099" spans="1:4" x14ac:dyDescent="0.2">
      <c r="A5099" s="5">
        <v>5038</v>
      </c>
      <c r="B5099" s="1832">
        <f>'Revenues 9-14'!C79</f>
        <v>21223</v>
      </c>
      <c r="D5099" s="2" t="str">
        <f t="shared" si="78"/>
        <v>Error?</v>
      </c>
    </row>
    <row r="5100" spans="1:4" x14ac:dyDescent="0.2">
      <c r="A5100" s="5">
        <v>5039</v>
      </c>
      <c r="B5100" s="1832">
        <f>'Revenues 9-14'!C80</f>
        <v>1054</v>
      </c>
      <c r="D5100" s="2" t="str">
        <f t="shared" si="78"/>
        <v>Error?</v>
      </c>
    </row>
    <row r="5101" spans="1:4" x14ac:dyDescent="0.2">
      <c r="A5101" s="5">
        <v>5040</v>
      </c>
      <c r="B5101" s="1832">
        <f>'Revenues 9-14'!C81</f>
        <v>15762</v>
      </c>
      <c r="D5101" s="2" t="str">
        <f t="shared" si="78"/>
        <v>Error?</v>
      </c>
    </row>
    <row r="5102" spans="1:4" x14ac:dyDescent="0.2">
      <c r="A5102" s="5">
        <v>5041</v>
      </c>
      <c r="B5102" s="1832">
        <f>'Revenues 9-14'!C82</f>
        <v>82923</v>
      </c>
      <c r="C5102" s="2" t="s">
        <v>568</v>
      </c>
      <c r="D5102" s="2" t="str">
        <f t="shared" si="78"/>
        <v>Error?</v>
      </c>
    </row>
    <row r="5103" spans="1:4" x14ac:dyDescent="0.2">
      <c r="A5103" s="5">
        <v>5042</v>
      </c>
      <c r="B5103" s="1832">
        <f>'Revenues 9-14'!C84</f>
        <v>20222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45</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20267</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905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9454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4030</v>
      </c>
      <c r="D5119" s="2" t="str">
        <f t="shared" ref="D5119:D5182" si="79">IF(ISBLANK(B5119),"OK",IF(A5119-B5119=0,"OK","Error?"))</f>
        <v>Error?</v>
      </c>
    </row>
    <row r="5120" spans="1:4" x14ac:dyDescent="0.2">
      <c r="A5120" s="5">
        <v>5059</v>
      </c>
      <c r="B5120" s="1832">
        <f>'Revenues 9-14'!C108</f>
        <v>17784</v>
      </c>
      <c r="C5120" s="2" t="s">
        <v>568</v>
      </c>
      <c r="D5120" s="2" t="str">
        <f t="shared" si="79"/>
        <v>Error?</v>
      </c>
    </row>
    <row r="5121" spans="1:4" x14ac:dyDescent="0.2">
      <c r="A5121" s="5">
        <v>5060</v>
      </c>
      <c r="B5121" s="1832">
        <f>'Revenues 9-14'!C109</f>
        <v>3130309</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665321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665321</v>
      </c>
      <c r="C5132" s="2" t="s">
        <v>568</v>
      </c>
      <c r="D5132" s="2" t="str">
        <f t="shared" si="79"/>
        <v>Error?</v>
      </c>
    </row>
    <row r="5133" spans="1:4" x14ac:dyDescent="0.2">
      <c r="A5133" s="5">
        <v>5072</v>
      </c>
      <c r="B5133" s="1832">
        <f>'Revenues 9-14'!C125</f>
        <v>29464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78903</v>
      </c>
      <c r="D5137" s="2" t="str">
        <f t="shared" si="79"/>
        <v>Error?</v>
      </c>
    </row>
    <row r="5138" spans="1:4" x14ac:dyDescent="0.2">
      <c r="A5138" s="10">
        <v>5077</v>
      </c>
      <c r="B5138" s="1832"/>
      <c r="D5138" s="2" t="str">
        <f t="shared" si="79"/>
        <v>OK</v>
      </c>
    </row>
    <row r="5139" spans="1:4" x14ac:dyDescent="0.2">
      <c r="A5139" s="5">
        <v>5078</v>
      </c>
      <c r="B5139" s="1832">
        <f>'Revenues 9-14'!C129</f>
        <v>8078</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116445</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36616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40731</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1069</v>
      </c>
      <c r="D5167" s="2" t="str">
        <f t="shared" si="79"/>
        <v>Error?</v>
      </c>
    </row>
    <row r="5168" spans="1:4" x14ac:dyDescent="0.2">
      <c r="A5168" s="5">
        <v>5107</v>
      </c>
      <c r="B5168" s="1832">
        <f>'Revenues 9-14'!C148</f>
        <v>16823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175818</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841139</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5075</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70893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10340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81233</v>
      </c>
      <c r="C5246" s="2" t="s">
        <v>568</v>
      </c>
      <c r="D5246" s="2" t="str">
        <f t="shared" si="80"/>
        <v>Error?</v>
      </c>
    </row>
    <row r="5247" spans="1:4" x14ac:dyDescent="0.2">
      <c r="A5247" s="5">
        <v>5186</v>
      </c>
      <c r="B5247" s="1832">
        <f>'Revenues 9-14'!C200</f>
        <v>105653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105653</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89256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89256</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302615</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307690</v>
      </c>
      <c r="C5326" s="2" t="s">
        <v>568</v>
      </c>
      <c r="D5326" s="2" t="str">
        <f t="shared" si="82"/>
        <v>Error?</v>
      </c>
    </row>
    <row r="5327" spans="1:5" x14ac:dyDescent="0.2">
      <c r="A5327" s="5">
        <v>5266</v>
      </c>
      <c r="B5327" s="1832">
        <f>'Revenues 9-14'!C268</f>
        <v>4279138</v>
      </c>
      <c r="C5327" s="2" t="s">
        <v>568</v>
      </c>
      <c r="D5327" s="2" t="str">
        <f t="shared" si="82"/>
        <v>Error?</v>
      </c>
    </row>
    <row r="5328" spans="1:5" x14ac:dyDescent="0.2">
      <c r="A5328" s="5">
        <v>5267</v>
      </c>
      <c r="B5328" s="1832">
        <f>'Revenues 9-14'!D5</f>
        <v>662704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662704</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9312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9312</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1140</v>
      </c>
      <c r="D5349" s="2" t="str">
        <f t="shared" si="82"/>
        <v>Error?</v>
      </c>
    </row>
    <row r="5350" spans="1:4" x14ac:dyDescent="0.2">
      <c r="A5350" s="5">
        <v>5289</v>
      </c>
      <c r="B5350" s="1832">
        <f>'Revenues 9-14'!D96</f>
        <v>7832</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1903</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8390</v>
      </c>
      <c r="D5354" s="2" t="str">
        <f t="shared" si="82"/>
        <v>Error?</v>
      </c>
    </row>
    <row r="5355" spans="1:4" x14ac:dyDescent="0.2">
      <c r="A5355" s="5">
        <v>5294</v>
      </c>
      <c r="B5355" s="1832">
        <f>'Revenues 9-14'!D108</f>
        <v>35066</v>
      </c>
      <c r="C5355" s="2" t="s">
        <v>568</v>
      </c>
      <c r="D5355" s="2" t="str">
        <f t="shared" si="82"/>
        <v>Error?</v>
      </c>
    </row>
    <row r="5356" spans="1:4" x14ac:dyDescent="0.2">
      <c r="A5356" s="5">
        <v>5295</v>
      </c>
      <c r="B5356" s="1832">
        <f>'Revenues 9-14'!D109</f>
        <v>707082</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757082</v>
      </c>
      <c r="C5508" s="2" t="s">
        <v>568</v>
      </c>
      <c r="D5508" s="2" t="str">
        <f t="shared" si="85"/>
        <v>Error?</v>
      </c>
    </row>
    <row r="5509" spans="1:4" x14ac:dyDescent="0.2">
      <c r="A5509" s="5">
        <v>5448</v>
      </c>
      <c r="B5509" s="1832">
        <f>'Revenues 9-14'!E5</f>
        <v>819297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819297</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2472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2472</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821769</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821769</v>
      </c>
      <c r="C5552" s="2" t="s">
        <v>568</v>
      </c>
      <c r="D5552" s="2" t="str">
        <f t="shared" si="85"/>
        <v>Error?</v>
      </c>
    </row>
    <row r="5553" spans="1:4" x14ac:dyDescent="0.2">
      <c r="A5553" s="5">
        <v>5492</v>
      </c>
      <c r="B5553" s="1832">
        <f>'Revenues 9-14'!F5</f>
        <v>318099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318099</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10044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10044</v>
      </c>
      <c r="C5582" s="2" t="s">
        <v>568</v>
      </c>
      <c r="D5582" s="2" t="str">
        <f t="shared" si="86"/>
        <v>Error?</v>
      </c>
    </row>
    <row r="5583" spans="1:4" x14ac:dyDescent="0.2">
      <c r="A5583" s="5">
        <v>5522</v>
      </c>
      <c r="B5583" s="1832">
        <f>'Revenues 9-14'!F96</f>
        <v>416</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416</v>
      </c>
      <c r="C5587" s="2" t="s">
        <v>568</v>
      </c>
      <c r="D5587" s="2" t="str">
        <f t="shared" si="86"/>
        <v>Error?</v>
      </c>
    </row>
    <row r="5588" spans="1:4" x14ac:dyDescent="0.2">
      <c r="A5588" s="5">
        <v>5527</v>
      </c>
      <c r="B5588" s="1832">
        <f>'Revenues 9-14'!F109</f>
        <v>328559</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26211</v>
      </c>
      <c r="D5615" s="2" t="str">
        <f t="shared" si="86"/>
        <v>Error?</v>
      </c>
    </row>
    <row r="5616" spans="1:4" x14ac:dyDescent="0.2">
      <c r="A5616" s="10">
        <v>5555</v>
      </c>
      <c r="B5616" s="1832"/>
      <c r="D5616" s="2" t="str">
        <f t="shared" si="86"/>
        <v>OK</v>
      </c>
    </row>
    <row r="5617" spans="1:5" x14ac:dyDescent="0.2">
      <c r="A5617" s="5">
        <v>5556</v>
      </c>
      <c r="B5617" s="1832">
        <f>'Revenues 9-14'!F153</f>
        <v>63314</v>
      </c>
      <c r="D5617" s="2" t="str">
        <f t="shared" si="86"/>
        <v>Error?</v>
      </c>
    </row>
    <row r="5618" spans="1:5" x14ac:dyDescent="0.2">
      <c r="A5618" s="5">
        <v>5557</v>
      </c>
      <c r="B5618" s="1832">
        <f>'Revenues 9-14'!F155</f>
        <v>89525</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89525</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89525</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418084</v>
      </c>
      <c r="C5720" s="2" t="s">
        <v>568</v>
      </c>
      <c r="D5720" s="2" t="str">
        <f t="shared" si="88"/>
        <v>Error?</v>
      </c>
    </row>
    <row r="5721" spans="1:4" x14ac:dyDescent="0.2">
      <c r="A5721" s="5">
        <v>5660</v>
      </c>
      <c r="B5721" s="1832">
        <f>'Revenues 9-14'!G5</f>
        <v>124301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124301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248602</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17860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17860</v>
      </c>
      <c r="C5730" s="2" t="s">
        <v>568</v>
      </c>
      <c r="D5730" s="2" t="str">
        <f t="shared" si="88"/>
        <v>Error?</v>
      </c>
    </row>
    <row r="5731" spans="1:4" x14ac:dyDescent="0.2">
      <c r="A5731" s="5">
        <v>5670</v>
      </c>
      <c r="B5731" s="1832">
        <f>'Revenues 9-14'!G65</f>
        <v>4874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4874</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271336</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0</v>
      </c>
      <c r="C5915" s="2" t="s">
        <v>568</v>
      </c>
      <c r="D5915" s="2" t="str">
        <f t="shared" si="91"/>
        <v>Error?</v>
      </c>
    </row>
    <row r="5916" spans="1:4" x14ac:dyDescent="0.2">
      <c r="A5916" s="5">
        <v>5855</v>
      </c>
      <c r="B5916" s="1832">
        <f>'Revenues 9-14'!I5</f>
        <v>132540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132540</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10012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10012</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142552</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132540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132540</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7967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7967</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140507</v>
      </c>
      <c r="C6023" s="2" t="s">
        <v>568</v>
      </c>
      <c r="D6023" s="2" t="str">
        <f t="shared" si="93"/>
        <v>Error?</v>
      </c>
    </row>
    <row r="6024" spans="1:5" x14ac:dyDescent="0.2">
      <c r="A6024" s="5">
        <v>5963</v>
      </c>
      <c r="B6024" s="1832">
        <f>'Revenues 9-14'!G109</f>
        <v>271336</v>
      </c>
      <c r="C6024" s="2" t="s">
        <v>568</v>
      </c>
      <c r="D6024" s="2" t="str">
        <f t="shared" si="93"/>
        <v>Error?</v>
      </c>
    </row>
    <row r="6025" spans="1:5" x14ac:dyDescent="0.2">
      <c r="A6025" s="5">
        <v>5964</v>
      </c>
      <c r="B6025" s="1832">
        <f>'Revenues 9-14'!H109</f>
        <v>0</v>
      </c>
      <c r="C6025" s="2" t="s">
        <v>568</v>
      </c>
      <c r="D6025" s="2" t="str">
        <f t="shared" si="93"/>
        <v>Error?</v>
      </c>
    </row>
    <row r="6026" spans="1:5" x14ac:dyDescent="0.2">
      <c r="A6026" s="5">
        <v>5965</v>
      </c>
      <c r="B6026" s="1832">
        <f>'Revenues 9-14'!I109</f>
        <v>142552</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140507</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52357</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9202</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481.8</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80244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-119</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80244</v>
      </c>
      <c r="D6215" s="2" t="str">
        <f t="shared" si="96"/>
        <v>Error?</v>
      </c>
      <c r="E6215" s="2" t="s">
        <v>189</v>
      </c>
    </row>
    <row r="6216" spans="1:5" x14ac:dyDescent="0.2">
      <c r="A6216">
        <v>6155</v>
      </c>
      <c r="B6216" s="1832">
        <f>'Assets-Liab 5-6'!J41</f>
        <v>80244</v>
      </c>
      <c r="D6216" s="2" t="str">
        <f t="shared" si="96"/>
        <v>Error?</v>
      </c>
      <c r="E6216" s="2" t="s">
        <v>189</v>
      </c>
    </row>
    <row r="6217" spans="1:5" x14ac:dyDescent="0.2">
      <c r="A6217">
        <v>6156</v>
      </c>
      <c r="B6217" s="1832">
        <f>'Assets-Liab 5-6'!J4</f>
        <v>80244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604875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604875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604875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544489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544489</v>
      </c>
      <c r="D6229" s="2" t="str">
        <f t="shared" si="96"/>
        <v>Error?</v>
      </c>
      <c r="E6229" s="2" t="s">
        <v>189</v>
      </c>
    </row>
    <row r="6230" spans="1:5" x14ac:dyDescent="0.2">
      <c r="A6230">
        <v>6169</v>
      </c>
      <c r="B6230" s="1832">
        <f>'Acct Summary 7-8'!J20</f>
        <v>60386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58061</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60386</v>
      </c>
      <c r="D6263" s="2" t="str">
        <f t="shared" si="96"/>
        <v>Error?</v>
      </c>
      <c r="E6263" s="2" t="s">
        <v>189</v>
      </c>
    </row>
    <row r="6264" spans="1:5" x14ac:dyDescent="0.2">
      <c r="A6264">
        <v>6203</v>
      </c>
      <c r="B6264" s="1832">
        <f>'Acct Summary 7-8'!J79</f>
        <v>19858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80244</v>
      </c>
      <c r="D6266" s="2" t="str">
        <f t="shared" si="96"/>
        <v>Error?</v>
      </c>
      <c r="E6266" s="2" t="s">
        <v>189</v>
      </c>
    </row>
    <row r="6267" spans="1:5" x14ac:dyDescent="0.2">
      <c r="A6267">
        <v>6206</v>
      </c>
      <c r="B6267" s="1832">
        <f>'Acct Summary 7-8'!C82</f>
        <v>-220745</v>
      </c>
      <c r="D6267" s="2" t="str">
        <f t="shared" si="96"/>
        <v>Error?</v>
      </c>
      <c r="E6267" s="2" t="s">
        <v>189</v>
      </c>
    </row>
    <row r="6268" spans="1:5" x14ac:dyDescent="0.2">
      <c r="A6268">
        <v>6207</v>
      </c>
      <c r="B6268" s="1832">
        <f>'Acct Summary 7-8'!D82</f>
        <v>197180</v>
      </c>
      <c r="D6268" s="2" t="str">
        <f t="shared" si="96"/>
        <v>Error?</v>
      </c>
      <c r="E6268" s="2" t="s">
        <v>189</v>
      </c>
    </row>
    <row r="6269" spans="1:5" x14ac:dyDescent="0.2">
      <c r="A6269">
        <v>6208</v>
      </c>
      <c r="B6269" s="1832">
        <f>'Acct Summary 7-8'!E82</f>
        <v>-2181</v>
      </c>
      <c r="D6269" s="2" t="str">
        <f t="shared" si="96"/>
        <v>Error?</v>
      </c>
      <c r="E6269" s="2" t="s">
        <v>189</v>
      </c>
    </row>
    <row r="6270" spans="1:5" x14ac:dyDescent="0.2">
      <c r="A6270">
        <v>6209</v>
      </c>
      <c r="B6270" s="1832">
        <f>'Acct Summary 7-8'!F82</f>
        <v>84911</v>
      </c>
      <c r="D6270" s="2" t="str">
        <f t="shared" si="96"/>
        <v>Error?</v>
      </c>
      <c r="E6270" s="2" t="s">
        <v>189</v>
      </c>
    </row>
    <row r="6271" spans="1:5" x14ac:dyDescent="0.2">
      <c r="A6271">
        <v>6210</v>
      </c>
      <c r="B6271" s="1832">
        <f>'Acct Summary 7-8'!G82</f>
        <v>57083</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1919849</v>
      </c>
      <c r="D6273" s="2" t="str">
        <f t="shared" si="97"/>
        <v>Error?</v>
      </c>
      <c r="E6273" s="2" t="s">
        <v>189</v>
      </c>
    </row>
    <row r="6274" spans="1:5" x14ac:dyDescent="0.2">
      <c r="A6274">
        <v>6213</v>
      </c>
      <c r="B6274" s="1832">
        <f>'Acct Summary 7-8'!J82</f>
        <v>60386</v>
      </c>
      <c r="D6274" s="2" t="str">
        <f t="shared" si="97"/>
        <v>Error?</v>
      </c>
      <c r="E6274" s="2" t="s">
        <v>189</v>
      </c>
    </row>
    <row r="6275" spans="1:5" x14ac:dyDescent="0.2">
      <c r="A6275">
        <v>6214</v>
      </c>
      <c r="B6275" s="1832">
        <f>'Acct Summary 7-8'!K82</f>
        <v>74135</v>
      </c>
      <c r="D6275" s="2" t="str">
        <f t="shared" si="97"/>
        <v>Error?</v>
      </c>
      <c r="E6275" s="2" t="s">
        <v>189</v>
      </c>
    </row>
    <row r="6276" spans="1:5" x14ac:dyDescent="0.2">
      <c r="A6276">
        <v>6215</v>
      </c>
      <c r="B6276" s="1832">
        <f>'Acct Summary 7-8'!C83</f>
        <v>-1.7828039315452395</v>
      </c>
      <c r="D6276" s="2" t="str">
        <f t="shared" si="97"/>
        <v>Error?</v>
      </c>
      <c r="E6276" s="2" t="s">
        <v>189</v>
      </c>
    </row>
    <row r="6277" spans="1:5" x14ac:dyDescent="0.2">
      <c r="A6277">
        <v>6216</v>
      </c>
      <c r="B6277" s="1832">
        <f>'Acct Summary 7-8'!D83</f>
        <v>0.15907462744364056</v>
      </c>
      <c r="D6277" s="2" t="str">
        <f t="shared" si="97"/>
        <v>Error?</v>
      </c>
      <c r="E6277" s="2" t="s">
        <v>189</v>
      </c>
    </row>
    <row r="6278" spans="1:5" x14ac:dyDescent="0.2">
      <c r="A6278">
        <v>6217</v>
      </c>
      <c r="B6278" s="1832">
        <f>'Acct Summary 7-8'!E83</f>
        <v>-1.9727915769669122E-2</v>
      </c>
      <c r="D6278" s="2" t="str">
        <f t="shared" si="97"/>
        <v>Error?</v>
      </c>
      <c r="E6278" s="2" t="s">
        <v>189</v>
      </c>
    </row>
    <row r="6279" spans="1:5" x14ac:dyDescent="0.2">
      <c r="A6279">
        <v>6218</v>
      </c>
      <c r="B6279" s="1832">
        <f>'Acct Summary 7-8'!F83</f>
        <v>6.9181708412025145E-2</v>
      </c>
      <c r="D6279" s="2" t="str">
        <f t="shared" si="97"/>
        <v>Error?</v>
      </c>
      <c r="E6279" s="2" t="s">
        <v>189</v>
      </c>
    </row>
    <row r="6280" spans="1:5" x14ac:dyDescent="0.2">
      <c r="A6280">
        <v>6219</v>
      </c>
      <c r="B6280" s="1832">
        <f>'Acct Summary 7-8'!G83</f>
        <v>0.10677103791407141</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0.78309179985372979</v>
      </c>
      <c r="D6282" s="2" t="str">
        <f t="shared" si="97"/>
        <v>Error?</v>
      </c>
      <c r="E6282" s="2" t="s">
        <v>189</v>
      </c>
    </row>
    <row r="6283" spans="1:5" x14ac:dyDescent="0.2">
      <c r="A6283">
        <v>6222</v>
      </c>
      <c r="B6283" s="1832">
        <f>'Acct Summary 7-8'!J83</f>
        <v>0.75252978415831717</v>
      </c>
      <c r="D6283" s="2" t="str">
        <f t="shared" si="97"/>
        <v>Error?</v>
      </c>
      <c r="E6283" s="2" t="s">
        <v>189</v>
      </c>
    </row>
    <row r="6284" spans="1:5" x14ac:dyDescent="0.2">
      <c r="A6284">
        <v>6223</v>
      </c>
      <c r="B6284" s="1832">
        <f>'Acct Summary 7-8'!K83</f>
        <v>7.6942796531009605E-2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596498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596498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3440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3440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4937</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15801</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3395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4937</v>
      </c>
      <c r="D6351" s="2" t="str">
        <f t="shared" si="98"/>
        <v>Error?</v>
      </c>
      <c r="E6351" s="2" t="s">
        <v>189</v>
      </c>
    </row>
    <row r="6352" spans="1:5" x14ac:dyDescent="0.2">
      <c r="A6352">
        <v>6291</v>
      </c>
      <c r="B6352" s="1832">
        <f>'Revenues 9-14'!J109</f>
        <v>604875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4115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125220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247182</v>
      </c>
      <c r="D6878" s="2" t="str">
        <f t="shared" si="106"/>
        <v>Error?</v>
      </c>
    </row>
    <row r="6879" spans="1:4" x14ac:dyDescent="0.2">
      <c r="A6879">
        <v>6818</v>
      </c>
      <c r="B6879" s="1832">
        <f>'Expenditures 15-22'!K21</f>
        <v>247182</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43875</v>
      </c>
      <c r="D6987" s="2" t="str">
        <f t="shared" si="108"/>
        <v>Error?</v>
      </c>
    </row>
    <row r="6988" spans="1:4" x14ac:dyDescent="0.2">
      <c r="A6988">
        <v>6927</v>
      </c>
      <c r="B6988" s="1832">
        <f>'Expenditures 15-22'!K88</f>
        <v>43875</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39886</v>
      </c>
      <c r="D6993" s="2" t="str">
        <f t="shared" si="108"/>
        <v>Error?</v>
      </c>
    </row>
    <row r="6994" spans="1:4" x14ac:dyDescent="0.2">
      <c r="A6994">
        <v>6933</v>
      </c>
      <c r="B6994" s="1832">
        <f>'Expenditures 15-22'!K91</f>
        <v>39886</v>
      </c>
      <c r="D6994" s="2" t="str">
        <f t="shared" si="108"/>
        <v>Error?</v>
      </c>
    </row>
    <row r="6995" spans="1:4" x14ac:dyDescent="0.2">
      <c r="A6995">
        <v>6934</v>
      </c>
      <c r="B6995" s="1832">
        <f>'Expenditures 15-22'!H92</f>
        <v>83761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544489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604875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8199</v>
      </c>
      <c r="D7067" s="2" t="str">
        <f t="shared" si="109"/>
        <v>Error?</v>
      </c>
    </row>
    <row r="7068" spans="1:4" x14ac:dyDescent="0.2">
      <c r="A7068">
        <v>7007</v>
      </c>
      <c r="B7068" s="1832">
        <f>'Expenditures 15-22'!K205</f>
        <v>8199</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1438</v>
      </c>
      <c r="D7079" s="2" t="str">
        <f t="shared" si="109"/>
        <v>Error?</v>
      </c>
    </row>
    <row r="7080" spans="1:4" x14ac:dyDescent="0.2">
      <c r="A7080">
        <v>7019</v>
      </c>
      <c r="B7080" s="1832">
        <f>'Expenditures 15-22'!K226</f>
        <v>1438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46247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46247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8595</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8595</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15557</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15557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413893</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1404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415297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6034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6034</v>
      </c>
      <c r="D7198" s="2" t="str">
        <f t="shared" si="111"/>
        <v>Error?</v>
      </c>
    </row>
    <row r="7199" spans="1:4" x14ac:dyDescent="0.2">
      <c r="A7199">
        <v>7138</v>
      </c>
      <c r="B7199" s="1832">
        <f>'Expenditures 15-22'!C330</f>
        <v>413893</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130596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544489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413893</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130596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544489</v>
      </c>
      <c r="D7224" s="2" t="str">
        <f t="shared" si="111"/>
        <v>Error?</v>
      </c>
    </row>
    <row r="7225" spans="1:4" x14ac:dyDescent="0.2">
      <c r="A7225">
        <v>7164</v>
      </c>
      <c r="B7225" s="1832">
        <f>'Expenditures 15-22'!K343</f>
        <v>60386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101512</v>
      </c>
      <c r="D7263" s="2" t="str">
        <f t="shared" si="112"/>
        <v>Error?</v>
      </c>
    </row>
    <row r="7264" spans="1:4" x14ac:dyDescent="0.2">
      <c r="A7264">
        <f t="shared" si="113"/>
        <v>7203</v>
      </c>
      <c r="B7264" s="1832">
        <f>'Expenditures 15-22'!D17</f>
        <v>21550</v>
      </c>
      <c r="D7264" s="2" t="str">
        <f t="shared" si="112"/>
        <v>Error?</v>
      </c>
    </row>
    <row r="7265" spans="1:5" x14ac:dyDescent="0.2">
      <c r="A7265">
        <f t="shared" si="113"/>
        <v>7204</v>
      </c>
      <c r="B7265" s="1832">
        <f>'Expenditures 15-22'!E17</f>
        <v>864</v>
      </c>
      <c r="D7265" s="2" t="str">
        <f t="shared" si="112"/>
        <v>Error?</v>
      </c>
    </row>
    <row r="7266" spans="1:5" x14ac:dyDescent="0.2">
      <c r="A7266">
        <f t="shared" si="113"/>
        <v>7205</v>
      </c>
      <c r="B7266" s="1832">
        <f>'Expenditures 15-22'!F17</f>
        <v>1294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772135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52759</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52759</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3395</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16823</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20218</v>
      </c>
      <c r="D7719" s="2" t="str">
        <f t="shared" si="126"/>
        <v>Error?</v>
      </c>
      <c r="E7719" s="2" t="s">
        <v>821</v>
      </c>
    </row>
    <row r="7720" spans="1:6" x14ac:dyDescent="0.2">
      <c r="A7720">
        <v>7659</v>
      </c>
      <c r="B7720" s="1832">
        <f>'Rest Tax Levies-Tort Im 25'!H14</f>
        <v>53016</v>
      </c>
      <c r="D7720" s="2" t="str">
        <f t="shared" si="126"/>
        <v>Error?</v>
      </c>
      <c r="E7720" s="2" t="s">
        <v>821</v>
      </c>
    </row>
    <row r="7721" spans="1:6" x14ac:dyDescent="0.2">
      <c r="A7721">
        <v>7660</v>
      </c>
      <c r="B7721" s="1832">
        <f>'Rest Tax Levies-Tort Im 25'!K14</f>
        <v>20218</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400000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20218</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7412890</v>
      </c>
      <c r="D7817" s="2" t="str">
        <f t="shared" si="128"/>
        <v>Error?</v>
      </c>
      <c r="E7817" s="4" t="s">
        <v>1965</v>
      </c>
    </row>
    <row r="7818" spans="1:5" x14ac:dyDescent="0.2">
      <c r="A7818">
        <v>7757</v>
      </c>
      <c r="B7818" s="1832">
        <f>'PCTC-OEPP 27-28'!F172</f>
        <v>189538</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7379725</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1327869</v>
      </c>
      <c r="D7834" s="2" t="str">
        <f t="shared" si="129"/>
        <v>Error?</v>
      </c>
      <c r="E7834" s="4" t="s">
        <v>1997</v>
      </c>
    </row>
    <row r="7835" spans="1:5" x14ac:dyDescent="0.2">
      <c r="A7835">
        <v>7774</v>
      </c>
      <c r="B7835" s="1832">
        <f>'PCTC-OEPP 27-28'!F78</f>
        <v>6051856</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12560.929846409299</v>
      </c>
      <c r="D7837" s="2" t="str">
        <f t="shared" si="129"/>
        <v>Error?</v>
      </c>
      <c r="E7837" s="4" t="s">
        <v>1997</v>
      </c>
    </row>
    <row r="7838" spans="1:5" x14ac:dyDescent="0.2">
      <c r="A7838">
        <v>7777</v>
      </c>
      <c r="B7838" s="1832">
        <f>'PCTC-OEPP 27-28'!F96</f>
        <v>82923</v>
      </c>
      <c r="D7838" s="2" t="str">
        <f t="shared" si="129"/>
        <v>Error?</v>
      </c>
      <c r="E7838" s="4" t="s">
        <v>1997</v>
      </c>
    </row>
    <row r="7839" spans="1:5" x14ac:dyDescent="0.2">
      <c r="A7839">
        <v>7778</v>
      </c>
      <c r="B7839" s="1832">
        <f>'PCTC-OEPP 27-28'!F102</f>
        <v>1140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116445</v>
      </c>
      <c r="D7842" s="2" t="str">
        <f t="shared" si="129"/>
        <v>Error?</v>
      </c>
      <c r="E7842" s="4" t="s">
        <v>1997</v>
      </c>
    </row>
    <row r="7843" spans="1:5" x14ac:dyDescent="0.2">
      <c r="A7843">
        <v>7782</v>
      </c>
      <c r="B7843" s="1832">
        <f>'PCTC-OEPP 27-28'!F107</f>
        <v>40731</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16823</v>
      </c>
      <c r="D7846" s="2" t="str">
        <f t="shared" si="129"/>
        <v>Error?</v>
      </c>
      <c r="E7846" s="4" t="s">
        <v>1997</v>
      </c>
    </row>
    <row r="7847" spans="1:5" x14ac:dyDescent="0.2">
      <c r="A7847">
        <v>7786</v>
      </c>
      <c r="B7847" s="1832">
        <f>'PCTC-OEPP 27-28'!F112</f>
        <v>89525</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750</v>
      </c>
      <c r="D7855" s="2" t="str">
        <f t="shared" si="129"/>
        <v>Error?</v>
      </c>
      <c r="E7855" s="4" t="s">
        <v>1997</v>
      </c>
    </row>
    <row r="7856" spans="1:5" x14ac:dyDescent="0.2">
      <c r="A7856">
        <v>7795</v>
      </c>
      <c r="B7856" s="1832">
        <f>'PCTC-OEPP 27-28'!F124</f>
        <v>5075</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81233</v>
      </c>
      <c r="D7858" s="2" t="str">
        <f t="shared" si="129"/>
        <v>Error?</v>
      </c>
      <c r="E7858" s="4" t="s">
        <v>1997</v>
      </c>
    </row>
    <row r="7859" spans="1:5" x14ac:dyDescent="0.2">
      <c r="A7859">
        <v>7798</v>
      </c>
      <c r="B7859" s="1832">
        <f>'PCTC-OEPP 27-28'!F127</f>
        <v>105653</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89256</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18896</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2343</v>
      </c>
      <c r="D7874" s="2" t="str">
        <f t="shared" si="129"/>
        <v>Error?</v>
      </c>
      <c r="E7874" s="4" t="s">
        <v>1997</v>
      </c>
    </row>
    <row r="7875" spans="1:5" x14ac:dyDescent="0.2">
      <c r="A7875">
        <v>7814</v>
      </c>
      <c r="B7875" s="1832">
        <f>'PCTC-OEPP 27-28'!F170</f>
        <v>1634</v>
      </c>
      <c r="D7875" s="2" t="str">
        <f t="shared" si="129"/>
        <v>Error?</v>
      </c>
      <c r="E7875" s="4" t="s">
        <v>1997</v>
      </c>
    </row>
    <row r="7876" spans="1:5" x14ac:dyDescent="0.2">
      <c r="A7876">
        <v>7815</v>
      </c>
      <c r="B7876" s="1832">
        <f>'PCTC-OEPP 27-28'!F171</f>
        <v>3600</v>
      </c>
      <c r="D7876" s="2" t="str">
        <f t="shared" si="129"/>
        <v>Error?</v>
      </c>
      <c r="E7876" s="4" t="s">
        <v>1997</v>
      </c>
    </row>
    <row r="7877" spans="1:5" x14ac:dyDescent="0.2">
      <c r="A7877">
        <v>7816</v>
      </c>
      <c r="B7877" s="1832">
        <f>'PCTC-OEPP 27-28'!F175</f>
        <v>1057634</v>
      </c>
      <c r="D7877" s="2" t="str">
        <f t="shared" si="129"/>
        <v>Error?</v>
      </c>
      <c r="E7877" s="4" t="s">
        <v>1997</v>
      </c>
    </row>
    <row r="7878" spans="1:5" x14ac:dyDescent="0.2">
      <c r="A7878">
        <v>7817</v>
      </c>
      <c r="B7878" s="1832">
        <f>'PCTC-OEPP 27-28'!F176</f>
        <v>4994222</v>
      </c>
      <c r="D7878" s="2" t="str">
        <f t="shared" si="129"/>
        <v>Error?</v>
      </c>
      <c r="E7878" s="4" t="s">
        <v>1997</v>
      </c>
    </row>
    <row r="7879" spans="1:5" x14ac:dyDescent="0.2">
      <c r="A7879">
        <v>7818</v>
      </c>
      <c r="B7879" s="1832">
        <f>'PCTC-OEPP 27-28'!F178</f>
        <v>5766357</v>
      </c>
      <c r="D7879" s="2" t="str">
        <f t="shared" si="129"/>
        <v>Error?</v>
      </c>
      <c r="E7879" s="4" t="s">
        <v>1997</v>
      </c>
    </row>
    <row r="7880" spans="1:5" x14ac:dyDescent="0.2">
      <c r="A7880">
        <v>7819</v>
      </c>
      <c r="B7880" s="1832">
        <f>'PCTC-OEPP 27-28'!F180</f>
        <v>11968.362391033623</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1180</v>
      </c>
      <c r="B2" s="2535"/>
      <c r="C2" s="2535"/>
      <c r="D2" s="2535"/>
      <c r="E2" s="2535"/>
      <c r="F2" s="2535"/>
      <c r="G2" s="2535"/>
      <c r="H2" s="2535"/>
      <c r="I2" s="2535"/>
      <c r="J2" s="2535"/>
      <c r="K2" s="2535"/>
      <c r="L2" s="2535"/>
    </row>
    <row r="3" spans="1:29" ht="13.5" customHeight="1" x14ac:dyDescent="0.2">
      <c r="A3" s="2521" t="s">
        <v>1179</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5" t="str">
        <f>COVER!A17</f>
        <v>Princeton Twp HSD 500</v>
      </c>
      <c r="B7" s="2516"/>
      <c r="C7" s="2516"/>
      <c r="D7" s="2554"/>
      <c r="E7" s="2555">
        <f>COVER!A13</f>
        <v>28006500015</v>
      </c>
      <c r="F7" s="2556"/>
      <c r="G7" s="2522" t="str">
        <f>COVER!T23</f>
        <v>066-004501</v>
      </c>
      <c r="H7" s="2523"/>
      <c r="I7" s="2523"/>
      <c r="J7" s="2523"/>
      <c r="K7" s="2523"/>
      <c r="L7" s="2524"/>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25"/>
      <c r="B9" s="2526"/>
      <c r="C9" s="2526"/>
      <c r="D9" s="2526"/>
      <c r="E9" s="2526"/>
      <c r="F9" s="2527"/>
      <c r="G9" s="2528" t="str">
        <f>COVER!T13</f>
        <v>Hopkins &amp; Associates, CPAs</v>
      </c>
      <c r="H9" s="2529"/>
      <c r="I9" s="2529"/>
      <c r="J9" s="2529"/>
      <c r="K9" s="2529"/>
      <c r="L9" s="2530"/>
    </row>
    <row r="10" spans="1:29" ht="13.5" customHeight="1" x14ac:dyDescent="0.2">
      <c r="A10" s="2512" t="str">
        <f>COVER!A38</f>
        <v>Kirk Haring</v>
      </c>
      <c r="B10" s="2513"/>
      <c r="C10" s="2513"/>
      <c r="D10" s="2513"/>
      <c r="E10" s="2513"/>
      <c r="F10" s="2514"/>
      <c r="G10" s="2528" t="str">
        <f>COVER!T17</f>
        <v>314 S McCoy St</v>
      </c>
      <c r="H10" s="2541"/>
      <c r="I10" s="2541"/>
      <c r="J10" s="2541"/>
      <c r="K10" s="2541"/>
      <c r="L10" s="2542"/>
    </row>
    <row r="11" spans="1:29" ht="13.5" customHeight="1" x14ac:dyDescent="0.2">
      <c r="A11" s="963" t="s">
        <v>1501</v>
      </c>
      <c r="B11" s="964"/>
      <c r="C11" s="965"/>
      <c r="D11" s="970"/>
      <c r="E11" s="965"/>
      <c r="F11" s="969"/>
      <c r="G11" s="2528" t="str">
        <f>COVER!T19</f>
        <v>Granville</v>
      </c>
      <c r="H11" s="2541"/>
      <c r="I11" s="2541"/>
      <c r="J11" s="2541"/>
      <c r="K11" s="2541"/>
      <c r="L11" s="2542"/>
    </row>
    <row r="12" spans="1:29" ht="13.5" customHeight="1" x14ac:dyDescent="0.2">
      <c r="A12" s="2546" t="s">
        <v>1500</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1502</v>
      </c>
      <c r="H13" s="2537"/>
      <c r="I13" s="2549" t="str">
        <f>COVER!T25</f>
        <v>kim@hopkinsoffice.com</v>
      </c>
      <c r="J13" s="2550"/>
      <c r="K13" s="2550"/>
      <c r="L13" s="2551"/>
    </row>
    <row r="14" spans="1:29" ht="13.5" customHeight="1" x14ac:dyDescent="0.2">
      <c r="A14" s="2528" t="str">
        <f>COVER!A19</f>
        <v>101 S Euclid Ave</v>
      </c>
      <c r="B14" s="2541"/>
      <c r="C14" s="2541"/>
      <c r="D14" s="2541"/>
      <c r="E14" s="2541"/>
      <c r="F14" s="2542"/>
      <c r="G14" s="974" t="s">
        <v>1174</v>
      </c>
      <c r="H14" s="972"/>
      <c r="I14" s="972"/>
      <c r="J14" s="972"/>
      <c r="K14" s="972"/>
      <c r="L14" s="973"/>
    </row>
    <row r="15" spans="1:29" ht="13.5" customHeight="1" x14ac:dyDescent="0.2">
      <c r="A15" s="2528" t="str">
        <f>COVER!A21</f>
        <v xml:space="preserve">Princeton  </v>
      </c>
      <c r="B15" s="2541"/>
      <c r="C15" s="2541"/>
      <c r="D15" s="2541"/>
      <c r="E15" s="2541"/>
      <c r="F15" s="2542"/>
      <c r="G15" s="2538" t="str">
        <f>COVER!T15</f>
        <v>Kim Bird</v>
      </c>
      <c r="H15" s="2539"/>
      <c r="I15" s="2539"/>
      <c r="J15" s="2539"/>
      <c r="K15" s="2539"/>
      <c r="L15" s="2540"/>
    </row>
    <row r="16" spans="1:29" ht="12.2" customHeight="1" x14ac:dyDescent="0.2">
      <c r="A16" s="2518">
        <f>COVER!A25</f>
        <v>61356</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1173</v>
      </c>
      <c r="H17" s="972"/>
      <c r="I17" s="972"/>
      <c r="J17" s="972"/>
      <c r="K17" s="976" t="s">
        <v>1172</v>
      </c>
      <c r="L17" s="969"/>
      <c r="M17" s="962"/>
    </row>
    <row r="18" spans="1:13" ht="12.2" customHeight="1" x14ac:dyDescent="0.2">
      <c r="A18" s="2512"/>
      <c r="B18" s="2513"/>
      <c r="C18" s="2513"/>
      <c r="D18" s="2513"/>
      <c r="E18" s="2513"/>
      <c r="F18" s="2514"/>
      <c r="G18" s="2515" t="str">
        <f>COVER!T21</f>
        <v>815-339-6630</v>
      </c>
      <c r="H18" s="2516"/>
      <c r="I18" s="2516"/>
      <c r="J18" s="2516"/>
      <c r="K18" s="2515" t="str">
        <f>COVER!X21</f>
        <v>815-339-6643</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Princeton Twp HSD 500</v>
      </c>
      <c r="B1" s="2558"/>
      <c r="C1" s="2558"/>
      <c r="D1" s="2558"/>
    </row>
    <row r="2" spans="1:11" s="991" customFormat="1" ht="12.75" x14ac:dyDescent="0.2">
      <c r="A2" s="2559">
        <f>'Single Audit Cover'!E7</f>
        <v>28006500015</v>
      </c>
      <c r="B2" s="2560"/>
      <c r="C2" s="2560"/>
      <c r="D2" s="2560"/>
    </row>
    <row r="3" spans="1:11" s="991" customFormat="1" ht="12.75" x14ac:dyDescent="0.2">
      <c r="A3" s="2557" t="s">
        <v>1495</v>
      </c>
      <c r="B3" s="2558"/>
      <c r="C3" s="2558"/>
      <c r="D3" s="2558"/>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Princeton Twp HSD 500</v>
      </c>
      <c r="B1" s="2562"/>
      <c r="C1" s="2562"/>
      <c r="D1" s="2562"/>
      <c r="E1" s="2562"/>
    </row>
    <row r="2" spans="1:5" x14ac:dyDescent="0.2">
      <c r="A2" s="2563">
        <f>'Single Audit Cover'!E7</f>
        <v>28006500015</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6" t="s">
        <v>1231</v>
      </c>
    </row>
    <row r="10" spans="1:5" x14ac:dyDescent="0.2">
      <c r="A10" s="1037" t="s">
        <v>1230</v>
      </c>
      <c r="B10" s="1038" t="s">
        <v>1229</v>
      </c>
      <c r="C10" s="1038"/>
      <c r="D10" s="1039">
        <f>SUM('Acct Summary 7-8'!C7:K7)</f>
        <v>307690</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9202</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-1634</v>
      </c>
    </row>
    <row r="19" spans="1:4" ht="13.5" thickBot="1" x14ac:dyDescent="0.25">
      <c r="A19" s="1041" t="s">
        <v>1223</v>
      </c>
      <c r="D19" s="1042">
        <f>SUM(D10:D17)</f>
        <v>315258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1221</v>
      </c>
      <c r="D32" s="1039">
        <f>SUM(D19:D30)</f>
        <v>315258</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1215</v>
      </c>
      <c r="C47" s="1048"/>
      <c r="D47" s="1049">
        <f>SUM(D35:D45)</f>
        <v>0</v>
      </c>
    </row>
    <row r="49" spans="2:4" x14ac:dyDescent="0.2">
      <c r="B49" s="1048" t="s">
        <v>1214</v>
      </c>
      <c r="C49" s="1048"/>
      <c r="D49" s="1049">
        <f>D32-D47</f>
        <v>315258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Princeton Twp HSD 500</v>
      </c>
      <c r="C1" s="2566"/>
      <c r="D1" s="2566"/>
      <c r="E1" s="2566"/>
      <c r="F1" s="2566"/>
      <c r="G1" s="2566"/>
      <c r="H1" s="2566"/>
      <c r="I1" s="2566"/>
      <c r="J1" s="2566"/>
      <c r="K1" s="2566"/>
      <c r="L1" s="2566"/>
      <c r="M1" s="2566"/>
    </row>
    <row r="2" spans="2:14" ht="15" x14ac:dyDescent="0.2">
      <c r="B2" s="2567">
        <f>'Single Audit Cover'!E7</f>
        <v>28006500015</v>
      </c>
      <c r="C2" s="2567"/>
      <c r="D2" s="2567"/>
      <c r="E2" s="2567"/>
      <c r="F2" s="2567"/>
      <c r="G2" s="2567"/>
      <c r="H2" s="2567"/>
      <c r="I2" s="2567"/>
      <c r="J2" s="2567"/>
      <c r="K2" s="2567"/>
      <c r="L2" s="2567"/>
      <c r="M2" s="2567"/>
      <c r="N2" s="1078"/>
    </row>
    <row r="3" spans="2:14" ht="15" x14ac:dyDescent="0.2">
      <c r="B3" s="2568" t="s">
        <v>1207</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Princeton Twp HSD 500</v>
      </c>
      <c r="B1" s="2571"/>
      <c r="C1" s="2571"/>
      <c r="D1" s="2571"/>
      <c r="E1" s="2571"/>
      <c r="F1" s="2571"/>
    </row>
    <row r="2" spans="1:7" ht="13.5" customHeight="1" x14ac:dyDescent="0.2">
      <c r="A2" s="2567">
        <f>'Single Audit Cover'!E7</f>
        <v>28006500015</v>
      </c>
      <c r="B2" s="2567"/>
      <c r="C2" s="2567"/>
      <c r="D2" s="2567"/>
      <c r="E2" s="2567"/>
      <c r="F2" s="2567"/>
      <c r="G2" s="1051"/>
    </row>
    <row r="3" spans="1:7" ht="15.75" customHeight="1" x14ac:dyDescent="0.2">
      <c r="A3" s="2572" t="s">
        <v>1259</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1704</v>
      </c>
      <c r="C6" s="295"/>
      <c r="D6" s="295"/>
    </row>
    <row r="7" spans="1:7" ht="60.95" customHeight="1" x14ac:dyDescent="0.2">
      <c r="A7" s="2570" t="s">
        <v>1705</v>
      </c>
      <c r="B7" s="2570"/>
      <c r="C7" s="2570"/>
      <c r="D7" s="2570"/>
      <c r="E7" s="2570"/>
      <c r="F7" s="25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0" t="s">
        <v>1707</v>
      </c>
      <c r="B13" s="2570"/>
      <c r="C13" s="2570"/>
      <c r="D13" s="2570"/>
      <c r="E13" s="2570"/>
      <c r="F13" s="2570"/>
    </row>
    <row r="14" spans="1:7" ht="9.75" customHeight="1" x14ac:dyDescent="0.2">
      <c r="C14" s="1036"/>
      <c r="D14" s="1036"/>
    </row>
    <row r="15" spans="1:7" ht="13.5" customHeight="1" x14ac:dyDescent="0.2">
      <c r="C15" s="1476" t="s">
        <v>1258</v>
      </c>
      <c r="D15" s="2575" t="s">
        <v>1257</v>
      </c>
      <c r="E15" s="2575"/>
      <c r="F15" s="2575"/>
    </row>
    <row r="16" spans="1:7" ht="13.5" customHeight="1" x14ac:dyDescent="0.2">
      <c r="A16" s="1058"/>
      <c r="B16" s="1052" t="s">
        <v>1256</v>
      </c>
      <c r="C16" s="1476" t="s">
        <v>1255</v>
      </c>
      <c r="D16" s="2576" t="s">
        <v>1570</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78" t="s">
        <v>1708</v>
      </c>
      <c r="B32" s="2578"/>
      <c r="C32" s="2578"/>
      <c r="D32" s="2578"/>
      <c r="E32" s="2578"/>
      <c r="F32" s="2578"/>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79">
        <f>+C33+C34</f>
        <v>0</v>
      </c>
      <c r="F34" s="2580"/>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1572</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1533</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C117" sqref="C117:H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6" t="s">
        <v>1988</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2057</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Princeton Twp HSD 500</v>
      </c>
      <c r="C1" s="2587"/>
      <c r="D1" s="2587"/>
      <c r="E1" s="2587"/>
      <c r="F1" s="2587"/>
      <c r="G1" s="2587"/>
      <c r="H1" s="2587"/>
      <c r="I1" s="2587"/>
      <c r="J1" s="1178"/>
    </row>
    <row r="2" spans="2:10" s="295" customFormat="1" ht="12.75" customHeight="1" x14ac:dyDescent="0.2">
      <c r="B2" s="2588">
        <f>'Single Audit Cover'!E7</f>
        <v>28006500015</v>
      </c>
      <c r="C2" s="2589"/>
      <c r="D2" s="2589"/>
      <c r="E2" s="2589"/>
      <c r="F2" s="2589"/>
      <c r="G2" s="2589"/>
      <c r="H2" s="2589"/>
      <c r="I2" s="2589"/>
      <c r="J2" s="1178"/>
    </row>
    <row r="3" spans="2:10" s="295" customFormat="1" ht="12.75" customHeight="1" x14ac:dyDescent="0.2">
      <c r="B3" s="2590" t="s">
        <v>1273</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1272</v>
      </c>
      <c r="C7" s="2591"/>
      <c r="D7" s="2591"/>
      <c r="E7" s="2591"/>
      <c r="F7" s="2591"/>
      <c r="G7" s="2591"/>
      <c r="H7" s="2591"/>
      <c r="I7" s="2591"/>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2"/>
      <c r="D11" s="2592"/>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3"/>
      <c r="E29" s="2593"/>
      <c r="F29" s="2593"/>
      <c r="G29" s="2593"/>
      <c r="H29" s="2593"/>
      <c r="I29" s="2593"/>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94" t="s">
        <v>1727</v>
      </c>
      <c r="D37" s="2595"/>
      <c r="E37" s="2595"/>
      <c r="F37" s="2596"/>
      <c r="G37" s="2594" t="s">
        <v>1574</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1575</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606"/>
      <c r="F49" s="2606"/>
      <c r="G49" s="2606"/>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Princeton Twp HSD 500</v>
      </c>
      <c r="C1" s="2586"/>
      <c r="D1" s="2586"/>
      <c r="E1" s="2586"/>
      <c r="F1" s="2586"/>
      <c r="G1" s="2586"/>
      <c r="H1" s="2586"/>
      <c r="I1" s="2586"/>
      <c r="J1" s="2586"/>
      <c r="K1" s="2586"/>
      <c r="L1" s="1144"/>
      <c r="M1" s="1144"/>
    </row>
    <row r="2" spans="1:13" ht="12" customHeight="1" x14ac:dyDescent="0.2">
      <c r="B2" s="2588">
        <f>'Single Audit Cover'!E7</f>
        <v>28006500015</v>
      </c>
      <c r="C2" s="2588"/>
      <c r="D2" s="2588"/>
      <c r="E2" s="2588"/>
      <c r="F2" s="2588"/>
      <c r="G2" s="2588"/>
      <c r="H2" s="2588"/>
      <c r="I2" s="2588"/>
      <c r="J2" s="2588"/>
      <c r="K2" s="2588"/>
      <c r="L2" s="1145"/>
      <c r="M2" s="1146"/>
    </row>
    <row r="3" spans="1:13" ht="10.35" customHeight="1" x14ac:dyDescent="0.2">
      <c r="B3" s="2609" t="s">
        <v>1273</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1284</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Princeton Twp HSD 500</v>
      </c>
      <c r="C1" s="2613"/>
      <c r="D1" s="2613"/>
      <c r="E1" s="2613"/>
      <c r="F1" s="2613"/>
      <c r="G1" s="2613"/>
      <c r="H1" s="2613"/>
      <c r="I1" s="2613"/>
      <c r="J1" s="2613"/>
      <c r="K1" s="2613"/>
      <c r="L1" s="1221"/>
    </row>
    <row r="2" spans="1:12" ht="12.75" customHeight="1" x14ac:dyDescent="0.2">
      <c r="B2" s="2614">
        <f>'Single Audit Cover'!E7</f>
        <v>28006500015</v>
      </c>
      <c r="C2" s="2614"/>
      <c r="D2" s="2614"/>
      <c r="E2" s="2614"/>
      <c r="F2" s="2614"/>
      <c r="G2" s="2614"/>
      <c r="H2" s="2614"/>
      <c r="I2" s="2614"/>
      <c r="J2" s="2614"/>
      <c r="K2" s="2614"/>
      <c r="L2" s="1222"/>
    </row>
    <row r="3" spans="1:12" ht="12.75" customHeight="1" x14ac:dyDescent="0.2">
      <c r="B3" s="2609" t="s">
        <v>1273</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1158</v>
      </c>
      <c r="C5" s="1036"/>
      <c r="L5" s="300"/>
    </row>
    <row r="6" spans="1:12" ht="30.75" customHeight="1" x14ac:dyDescent="0.2">
      <c r="A6" s="300"/>
      <c r="B6" s="2615" t="s">
        <v>1296</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6"/>
      <c r="E14" s="2616"/>
      <c r="F14" s="2616"/>
      <c r="H14" s="1230" t="s">
        <v>1291</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7"/>
      <c r="E16" s="2617"/>
      <c r="F16" s="2617"/>
      <c r="G16" s="2617"/>
      <c r="H16" s="2617"/>
      <c r="I16" s="2617"/>
      <c r="J16" s="2617"/>
      <c r="K16" s="2617"/>
      <c r="L16" s="300"/>
    </row>
    <row r="17" spans="2:12" ht="13.5" customHeight="1" x14ac:dyDescent="0.2">
      <c r="B17" s="1156" t="s">
        <v>1289</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Princeton Twp HSD 500</v>
      </c>
      <c r="C1" s="2586"/>
      <c r="D1" s="2586"/>
      <c r="E1" s="1240"/>
    </row>
    <row r="2" spans="2:5" s="1058" customFormat="1" ht="12.75" customHeight="1" x14ac:dyDescent="0.2">
      <c r="B2" s="2588">
        <f>'Single Audit Cover'!E7</f>
        <v>28006500015</v>
      </c>
      <c r="C2" s="2588"/>
      <c r="D2" s="2588"/>
      <c r="E2" s="1241"/>
    </row>
    <row r="3" spans="2:5" ht="12.75" customHeight="1" x14ac:dyDescent="0.2">
      <c r="B3" s="2609" t="s">
        <v>1742</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274193093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9.1999999999999998E-3</v>
      </c>
      <c r="E10" s="333" t="s">
        <v>997</v>
      </c>
      <c r="F10" s="332">
        <v>2.5000000000000001E-3</v>
      </c>
      <c r="G10" s="333" t="s">
        <v>997</v>
      </c>
      <c r="H10" s="332">
        <v>1.1999999999999999E-3</v>
      </c>
      <c r="I10" s="333" t="s">
        <v>998</v>
      </c>
      <c r="J10" s="1424">
        <f>ROUND(D10+F10+H10,5)</f>
        <v>1.29E-2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5596856</v>
      </c>
      <c r="E16" s="1547"/>
      <c r="F16" s="1546">
        <f>SUM('Acct Summary 7-8'!C17,'Acct Summary 7-8'!D17,'Acct Summary 7-8'!F17)</f>
        <v>5796458</v>
      </c>
      <c r="G16" s="1547"/>
      <c r="H16" s="1546">
        <f>SUM(D16-F16)</f>
        <v>-199602</v>
      </c>
      <c r="I16" s="1548"/>
      <c r="J16" s="1546">
        <f>SUM('Acct Summary 7-8'!C81,'Acct Summary 7-8'!D81,'Acct Summary 7-8'!F81,'Acct Summary 7-8'!I81)</f>
        <v>5042352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581</v>
      </c>
      <c r="D31" s="232" t="s">
        <v>1062</v>
      </c>
      <c r="E31" s="217"/>
      <c r="F31" s="217"/>
      <c r="G31" s="340"/>
      <c r="H31" s="1425">
        <f>IF(B31="X",(J7*0.069),IF(B32="X",(J7*0.138),"Enter x in a.or b."))</f>
        <v>18919323.417000003</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4016832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Princeton Twp HSD 500</v>
      </c>
      <c r="E7" s="368"/>
      <c r="G7" s="247"/>
      <c r="H7" s="364"/>
      <c r="I7" s="364"/>
      <c r="J7" s="364"/>
      <c r="K7" s="364"/>
      <c r="L7" s="307"/>
      <c r="M7" s="307"/>
      <c r="N7" s="307"/>
      <c r="O7" s="307"/>
      <c r="P7" s="307"/>
    </row>
    <row r="8" spans="1:18" ht="12.75" x14ac:dyDescent="0.2">
      <c r="A8" s="307"/>
      <c r="B8" s="307"/>
      <c r="C8" s="366" t="s">
        <v>1114</v>
      </c>
      <c r="D8" s="369">
        <f>COVER!A13</f>
        <v>28006500015</v>
      </c>
      <c r="E8" s="370"/>
      <c r="G8" s="307"/>
      <c r="H8" s="307"/>
      <c r="I8" s="307"/>
      <c r="J8" s="307"/>
      <c r="K8" s="307"/>
      <c r="L8" s="307"/>
      <c r="M8" s="307"/>
      <c r="N8" s="307"/>
      <c r="O8" s="307"/>
      <c r="P8" s="307"/>
    </row>
    <row r="9" spans="1:18" ht="12.75" x14ac:dyDescent="0.2">
      <c r="A9" s="307"/>
      <c r="B9" s="307"/>
      <c r="C9" s="366" t="s">
        <v>707</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5042352</v>
      </c>
      <c r="I12" s="380"/>
      <c r="J12" s="380"/>
      <c r="K12" s="1559">
        <f>TRUNC((H12/H13*100000),5)/100000</f>
        <v>0.9009258054</v>
      </c>
      <c r="L12" s="381"/>
      <c r="M12" s="337" t="s">
        <v>1133</v>
      </c>
      <c r="N12" s="337"/>
      <c r="O12" s="1562">
        <v>0.35</v>
      </c>
      <c r="P12" s="213"/>
      <c r="Q12" s="213"/>
    </row>
    <row r="13" spans="1:18" s="382" customFormat="1" ht="12.75" x14ac:dyDescent="0.2">
      <c r="A13" s="213"/>
      <c r="B13" s="377"/>
      <c r="C13" s="2206" t="s">
        <v>1312</v>
      </c>
      <c r="D13" s="2207"/>
      <c r="E13" s="213"/>
      <c r="F13" s="383" t="s">
        <v>787</v>
      </c>
      <c r="G13" s="378"/>
      <c r="H13" s="1551">
        <f>SUM('Acct Summary 7-8'!C8+'Acct Summary 7-8'!D8+'Acct Summary 7-8'!F8+'Acct Summary 7-8'!I8)+H14</f>
        <v>5596856</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5796458</v>
      </c>
      <c r="I17" s="380"/>
      <c r="J17" s="389"/>
      <c r="K17" s="1559">
        <f>TRUNC((H17/H18*100000),5)/100000</f>
        <v>1.0356632366</v>
      </c>
      <c r="L17" s="381"/>
      <c r="M17" s="390" t="s">
        <v>1160</v>
      </c>
      <c r="O17" s="1565" t="str">
        <f>IF(AND(O16="2", J20 &gt; 2),"1",IF(AND(O16 = "1", J20 &gt; 2),"2",IF(AND(O16="1", J20 &gt;1),"1","0")))</f>
        <v>0</v>
      </c>
      <c r="P17" s="213"/>
    </row>
    <row r="18" spans="1:18" s="382" customFormat="1" ht="11.25" x14ac:dyDescent="0.2">
      <c r="A18" s="213"/>
      <c r="B18" s="377"/>
      <c r="C18" s="2206" t="s">
        <v>1305</v>
      </c>
      <c r="D18" s="2207"/>
      <c r="E18" s="213"/>
      <c r="F18" s="391" t="s">
        <v>788</v>
      </c>
      <c r="G18" s="378"/>
      <c r="H18" s="1551">
        <f>SUM('Acct Summary 7-8'!C8+'Acct Summary 7-8'!D8+'Acct Summary 7-8'!F8+'Acct Summary 7-8'!I8)+H19</f>
        <v>5596856</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22.458023400000002</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3" t="s">
        <v>1394</v>
      </c>
      <c r="D24" s="2203"/>
      <c r="E24" s="213"/>
      <c r="F24" s="213" t="s">
        <v>441</v>
      </c>
      <c r="G24" s="378"/>
      <c r="H24" s="1551">
        <f>SUM('Assets-Liab 5-6'!C4+'Assets-Liab 5-6'!D4+'Assets-Liab 5-6'!F4+'Assets-Liab 5-6'!I4+'Assets-Liab 5-6'!C5+'Assets-Liab 5-6'!D5+'Assets-Liab 5-6'!F5+'Assets-Liab 5-6'!I5)</f>
        <v>5042233</v>
      </c>
      <c r="I24" s="394"/>
      <c r="J24" s="394"/>
      <c r="K24" s="1555">
        <f>TRUNC(((H24/H25*100000)/100000),2)</f>
        <v>313.14999999999998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16101.272220000001</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3006527.2647500001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4016832</v>
      </c>
      <c r="I32" s="392"/>
      <c r="J32" s="392"/>
      <c r="K32" s="1555">
        <f>TRUNC(100-((((H32/H33*100))*100)/100),2)</f>
        <v>78.760000000000005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18919323.417000003</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6"/>
      <c r="D3" s="1307"/>
      <c r="E3" s="1307"/>
      <c r="F3" s="1307"/>
      <c r="G3" s="1307"/>
      <c r="H3" s="1307"/>
      <c r="I3" s="1307"/>
      <c r="J3" s="1307"/>
      <c r="K3" s="1307"/>
      <c r="L3" s="1307"/>
      <c r="M3" s="1308"/>
      <c r="N3" s="1309"/>
    </row>
    <row r="4" spans="1:14" ht="13.5" customHeight="1" x14ac:dyDescent="0.2">
      <c r="A4" s="427" t="s">
        <v>1631</v>
      </c>
      <c r="B4" s="428"/>
      <c r="C4" s="1572">
        <f>242781+2080-14042-107000</f>
        <v>123819</v>
      </c>
      <c r="D4" s="1573">
        <f>162000+1077425</f>
        <v>1239425</v>
      </c>
      <c r="E4" s="1573">
        <v>110554</v>
      </c>
      <c r="F4" s="1573">
        <v>1227362</v>
      </c>
      <c r="G4" s="1573">
        <v>534630</v>
      </c>
      <c r="H4" s="1573"/>
      <c r="I4" s="1573">
        <v>2451627</v>
      </c>
      <c r="J4" s="1574">
        <f>-55000+135244</f>
        <v>80244</v>
      </c>
      <c r="K4" s="1573">
        <v>963508</v>
      </c>
      <c r="L4" s="1573">
        <f>214315+285041</f>
        <v>499356</v>
      </c>
      <c r="M4" s="1575"/>
      <c r="N4" s="1576"/>
    </row>
    <row r="5" spans="1:14" x14ac:dyDescent="0.2">
      <c r="A5" s="427" t="s">
        <v>984</v>
      </c>
      <c r="B5" s="429">
        <v>120</v>
      </c>
      <c r="C5" s="1572"/>
      <c r="D5" s="1573"/>
      <c r="E5" s="1573"/>
      <c r="F5" s="1573"/>
      <c r="G5" s="1573"/>
      <c r="H5" s="1573"/>
      <c r="I5" s="1573"/>
      <c r="J5" s="1574"/>
      <c r="K5" s="1577"/>
      <c r="L5" s="1578">
        <v>1456992</v>
      </c>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f>1144350+365000</f>
        <v>1509350</v>
      </c>
      <c r="M12" s="1576"/>
      <c r="N12" s="1576"/>
    </row>
    <row r="13" spans="1:14" ht="13.5" customHeight="1" thickBot="1" x14ac:dyDescent="0.25">
      <c r="A13" s="1426" t="s">
        <v>638</v>
      </c>
      <c r="B13" s="1407"/>
      <c r="C13" s="1587">
        <f>SUM(C4:C12)</f>
        <v>123819</v>
      </c>
      <c r="D13" s="1587">
        <f t="shared" ref="D13:L13" si="0">SUM(D4:D12)</f>
        <v>1239425</v>
      </c>
      <c r="E13" s="1587">
        <f t="shared" si="0"/>
        <v>110554</v>
      </c>
      <c r="F13" s="1587">
        <f t="shared" si="0"/>
        <v>1227362</v>
      </c>
      <c r="G13" s="1587">
        <f t="shared" si="0"/>
        <v>534630</v>
      </c>
      <c r="H13" s="1587">
        <f t="shared" si="0"/>
        <v>0</v>
      </c>
      <c r="I13" s="1587">
        <f t="shared" si="0"/>
        <v>2451627</v>
      </c>
      <c r="J13" s="1587">
        <f t="shared" si="0"/>
        <v>80244</v>
      </c>
      <c r="K13" s="1587">
        <f t="shared" si="0"/>
        <v>963508</v>
      </c>
      <c r="L13" s="1587">
        <f t="shared" si="0"/>
        <v>3465698</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198042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52008402</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6600771</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110554</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3906278</v>
      </c>
    </row>
    <row r="23" spans="1:14" ht="13.5" customHeight="1" thickBot="1" x14ac:dyDescent="0.25">
      <c r="A23" s="1426" t="s">
        <v>637</v>
      </c>
      <c r="B23" s="1429"/>
      <c r="C23" s="1575"/>
      <c r="D23" s="1575"/>
      <c r="E23" s="1575"/>
      <c r="F23" s="1575"/>
      <c r="G23" s="1575"/>
      <c r="H23" s="1575"/>
      <c r="I23" s="1575"/>
      <c r="J23" s="1575"/>
      <c r="K23" s="1575"/>
      <c r="L23" s="1575"/>
      <c r="M23" s="1594">
        <f>SUM(M15:M22)</f>
        <v>58807215</v>
      </c>
      <c r="N23" s="1594">
        <f>SUM(N21:N22)</f>
        <v>4016832</v>
      </c>
    </row>
    <row r="24" spans="1:14" ht="18" customHeight="1" thickTop="1" x14ac:dyDescent="0.2">
      <c r="A24" s="2217" t="s">
        <v>593</v>
      </c>
      <c r="B24" s="2218"/>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v>-119</v>
      </c>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285041</v>
      </c>
      <c r="M33" s="1575"/>
      <c r="N33" s="1576"/>
    </row>
    <row r="34" spans="1:14" ht="13.5" customHeight="1" thickBot="1" x14ac:dyDescent="0.25">
      <c r="A34" s="1427" t="s">
        <v>648</v>
      </c>
      <c r="B34" s="1428"/>
      <c r="C34" s="1600">
        <f>SUM(C25:C33)</f>
        <v>0</v>
      </c>
      <c r="D34" s="1600">
        <f t="shared" ref="D34:K34" si="1">SUM(D25:D33)</f>
        <v>-119</v>
      </c>
      <c r="E34" s="1600">
        <f t="shared" si="1"/>
        <v>0</v>
      </c>
      <c r="F34" s="1600">
        <f t="shared" si="1"/>
        <v>0</v>
      </c>
      <c r="G34" s="1600">
        <f t="shared" si="1"/>
        <v>0</v>
      </c>
      <c r="H34" s="1600">
        <f t="shared" si="1"/>
        <v>0</v>
      </c>
      <c r="I34" s="1600">
        <f t="shared" si="1"/>
        <v>0</v>
      </c>
      <c r="J34" s="1600">
        <f t="shared" si="1"/>
        <v>0</v>
      </c>
      <c r="K34" s="1600">
        <f t="shared" si="1"/>
        <v>0</v>
      </c>
      <c r="L34" s="1601">
        <f>SUM(L33)</f>
        <v>285041</v>
      </c>
      <c r="M34" s="1575"/>
      <c r="N34" s="1585"/>
    </row>
    <row r="35" spans="1:14" ht="18" customHeight="1" thickTop="1" x14ac:dyDescent="0.2">
      <c r="A35" s="2219" t="s">
        <v>525</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4016832</v>
      </c>
    </row>
    <row r="37" spans="1:14" ht="13.5" thickBot="1" x14ac:dyDescent="0.25">
      <c r="A37" s="1426" t="s">
        <v>647</v>
      </c>
      <c r="B37" s="1429"/>
      <c r="C37" s="1582"/>
      <c r="D37" s="1582"/>
      <c r="E37" s="1582"/>
      <c r="F37" s="1582"/>
      <c r="G37" s="1582"/>
      <c r="H37" s="1582"/>
      <c r="I37" s="1582"/>
      <c r="J37" s="1582"/>
      <c r="K37" s="1582"/>
      <c r="L37" s="1585"/>
      <c r="M37" s="1575"/>
      <c r="N37" s="1594">
        <f>SUM(N36:N36)</f>
        <v>4016832</v>
      </c>
    </row>
    <row r="38" spans="1:14" s="307" customFormat="1" ht="13.5" customHeight="1" thickTop="1" x14ac:dyDescent="0.2">
      <c r="A38" s="438" t="s">
        <v>416</v>
      </c>
      <c r="B38" s="432">
        <v>714</v>
      </c>
      <c r="C38" s="1573">
        <v>153138</v>
      </c>
      <c r="D38" s="1573"/>
      <c r="E38" s="1573"/>
      <c r="F38" s="1573"/>
      <c r="G38" s="1573">
        <v>118480</v>
      </c>
      <c r="H38" s="1573"/>
      <c r="I38" s="1573"/>
      <c r="J38" s="1574"/>
      <c r="K38" s="1573"/>
      <c r="L38" s="1586">
        <v>3180657</v>
      </c>
      <c r="M38" s="1604"/>
      <c r="N38" s="1604"/>
    </row>
    <row r="39" spans="1:14" s="307" customFormat="1" ht="13.5" customHeight="1" x14ac:dyDescent="0.2">
      <c r="A39" s="438" t="s">
        <v>338</v>
      </c>
      <c r="B39" s="432">
        <v>730</v>
      </c>
      <c r="C39" s="1573">
        <f>-153138+123819</f>
        <v>-29319</v>
      </c>
      <c r="D39" s="1573">
        <f>1239425+119</f>
        <v>1239544</v>
      </c>
      <c r="E39" s="1573">
        <v>110554</v>
      </c>
      <c r="F39" s="1573">
        <v>1227362</v>
      </c>
      <c r="G39" s="1573">
        <f>-118480+534630</f>
        <v>416150</v>
      </c>
      <c r="H39" s="1573"/>
      <c r="I39" s="1573">
        <v>2451627</v>
      </c>
      <c r="J39" s="1574">
        <f>-55000+135244</f>
        <v>80244</v>
      </c>
      <c r="K39" s="1573">
        <v>963508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58807215</v>
      </c>
      <c r="N40" s="1604"/>
    </row>
    <row r="41" spans="1:14" ht="13.5" customHeight="1" thickBot="1" x14ac:dyDescent="0.25">
      <c r="A41" s="1426" t="s">
        <v>649</v>
      </c>
      <c r="B41" s="1405"/>
      <c r="C41" s="1594">
        <f>(SUM(C34,C37,C38,C39))</f>
        <v>123819</v>
      </c>
      <c r="D41" s="1594">
        <f t="shared" ref="D41:L41" si="2">SUM(D34,D37,D38:D39)</f>
        <v>1239425</v>
      </c>
      <c r="E41" s="1594">
        <f t="shared" si="2"/>
        <v>110554</v>
      </c>
      <c r="F41" s="1594">
        <f t="shared" si="2"/>
        <v>1227362</v>
      </c>
      <c r="G41" s="1594">
        <f t="shared" si="2"/>
        <v>534630</v>
      </c>
      <c r="H41" s="1594">
        <f t="shared" si="2"/>
        <v>0</v>
      </c>
      <c r="I41" s="1594">
        <f t="shared" si="2"/>
        <v>2451627</v>
      </c>
      <c r="J41" s="1594">
        <f t="shared" si="2"/>
        <v>80244</v>
      </c>
      <c r="K41" s="1594">
        <f t="shared" si="2"/>
        <v>963508</v>
      </c>
      <c r="L41" s="1594">
        <f t="shared" si="2"/>
        <v>3465698</v>
      </c>
      <c r="M41" s="1594">
        <f>SUM(M40)</f>
        <v>58807215</v>
      </c>
      <c r="N41" s="1594">
        <f>SUM(N37)</f>
        <v>4016832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D88" sqref="D8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1"/>
      <c r="D3" s="1312"/>
      <c r="E3" s="1312"/>
      <c r="F3" s="1312"/>
      <c r="G3" s="1312"/>
      <c r="H3" s="1312"/>
      <c r="I3" s="1312"/>
      <c r="J3" s="1312"/>
      <c r="K3" s="1313"/>
      <c r="L3" s="446"/>
    </row>
    <row r="4" spans="1:13" ht="15.75" customHeight="1" x14ac:dyDescent="0.2">
      <c r="A4" s="1537" t="s">
        <v>1481</v>
      </c>
      <c r="B4" s="1538">
        <v>1000</v>
      </c>
      <c r="C4" s="1606">
        <f>'Revenues 9-14'!C109</f>
        <v>3130309</v>
      </c>
      <c r="D4" s="1606">
        <f>'Revenues 9-14'!D109</f>
        <v>707082</v>
      </c>
      <c r="E4" s="1606">
        <f>'Revenues 9-14'!E109</f>
        <v>821769</v>
      </c>
      <c r="F4" s="1606">
        <f>'Revenues 9-14'!F109</f>
        <v>328559</v>
      </c>
      <c r="G4" s="1606">
        <f>'Revenues 9-14'!G109</f>
        <v>271336</v>
      </c>
      <c r="H4" s="1606">
        <f>'Revenues 9-14'!H109</f>
        <v>0</v>
      </c>
      <c r="I4" s="1606">
        <f>'Revenues 9-14'!I109</f>
        <v>142552</v>
      </c>
      <c r="J4" s="1606">
        <f>'Revenues 9-14'!J109</f>
        <v>604875</v>
      </c>
      <c r="K4" s="1606">
        <f>'Revenues 9-14'!K109</f>
        <v>140507</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841139</v>
      </c>
      <c r="D6" s="1607">
        <f>'Revenues 9-14'!D170</f>
        <v>50000</v>
      </c>
      <c r="E6" s="1607">
        <f>'Revenues 9-14'!E170</f>
        <v>0</v>
      </c>
      <c r="F6" s="1607">
        <f>'Revenues 9-14'!F170</f>
        <v>89525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307690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4279138</v>
      </c>
      <c r="D8" s="1594">
        <f t="shared" ref="D8:K8" si="0">SUM(D4:D7)</f>
        <v>757082</v>
      </c>
      <c r="E8" s="1594">
        <f t="shared" si="0"/>
        <v>821769</v>
      </c>
      <c r="F8" s="1594">
        <f t="shared" si="0"/>
        <v>418084</v>
      </c>
      <c r="G8" s="1594">
        <f t="shared" si="0"/>
        <v>271336</v>
      </c>
      <c r="H8" s="1594">
        <f t="shared" si="0"/>
        <v>0</v>
      </c>
      <c r="I8" s="1594">
        <f t="shared" si="0"/>
        <v>142552</v>
      </c>
      <c r="J8" s="1594">
        <f t="shared" si="0"/>
        <v>604875</v>
      </c>
      <c r="K8" s="1594">
        <f t="shared" si="0"/>
        <v>140507</v>
      </c>
      <c r="L8" s="325"/>
    </row>
    <row r="9" spans="1:13" ht="15.75" thickTop="1" x14ac:dyDescent="0.2">
      <c r="A9" s="449" t="s">
        <v>1633</v>
      </c>
      <c r="B9" s="450">
        <v>3998</v>
      </c>
      <c r="C9" s="1586">
        <f>43663+2852331</f>
        <v>2895994</v>
      </c>
      <c r="D9" s="1613"/>
      <c r="E9" s="1586"/>
      <c r="F9" s="1586"/>
      <c r="G9" s="1614"/>
      <c r="H9" s="1586"/>
      <c r="I9" s="1609" t="s">
        <v>1158</v>
      </c>
      <c r="J9" s="1583"/>
      <c r="K9" s="1586"/>
      <c r="L9" s="325"/>
    </row>
    <row r="10" spans="1:13" s="452" customFormat="1" ht="13.5" thickBot="1" x14ac:dyDescent="0.25">
      <c r="A10" s="1426" t="s">
        <v>1162</v>
      </c>
      <c r="B10" s="1407"/>
      <c r="C10" s="1594">
        <f>SUM(C8:C9)</f>
        <v>7175132</v>
      </c>
      <c r="D10" s="1594">
        <f t="shared" ref="D10:K10" si="1">SUM(D8:D9)</f>
        <v>757082</v>
      </c>
      <c r="E10" s="1594">
        <f t="shared" si="1"/>
        <v>821769</v>
      </c>
      <c r="F10" s="1594">
        <f t="shared" si="1"/>
        <v>418084</v>
      </c>
      <c r="G10" s="1594">
        <f t="shared" si="1"/>
        <v>271336</v>
      </c>
      <c r="H10" s="1594">
        <f t="shared" si="1"/>
        <v>0</v>
      </c>
      <c r="I10" s="1594">
        <f t="shared" si="1"/>
        <v>142552</v>
      </c>
      <c r="J10" s="1594">
        <f t="shared" si="1"/>
        <v>604875</v>
      </c>
      <c r="K10" s="1594">
        <f t="shared" si="1"/>
        <v>140507</v>
      </c>
      <c r="L10" s="451"/>
    </row>
    <row r="11" spans="1:13" s="452" customFormat="1" ht="16.7" customHeight="1" thickTop="1" x14ac:dyDescent="0.2">
      <c r="A11" s="2215" t="s">
        <v>1165</v>
      </c>
      <c r="B11" s="2216"/>
      <c r="C11" s="1602"/>
      <c r="D11" s="1603"/>
      <c r="E11" s="1603"/>
      <c r="F11" s="1603"/>
      <c r="G11" s="1603"/>
      <c r="H11" s="1603"/>
      <c r="I11" s="1603"/>
      <c r="J11" s="1603"/>
      <c r="K11" s="1615"/>
      <c r="L11" s="451"/>
    </row>
    <row r="12" spans="1:13" ht="15.75" customHeight="1" x14ac:dyDescent="0.2">
      <c r="A12" s="1314" t="s">
        <v>452</v>
      </c>
      <c r="B12" s="1316">
        <v>1000</v>
      </c>
      <c r="C12" s="1606">
        <f>'Expenditures 15-22'!K33</f>
        <v>3670223</v>
      </c>
      <c r="D12" s="1616" t="s">
        <v>1158</v>
      </c>
      <c r="E12" s="1575" t="s">
        <v>1158</v>
      </c>
      <c r="F12" s="1575" t="s">
        <v>1158</v>
      </c>
      <c r="G12" s="1606">
        <f>'Expenditures 15-22'!K229</f>
        <v>78492</v>
      </c>
      <c r="H12" s="1617"/>
      <c r="I12" s="1575" t="s">
        <v>1158</v>
      </c>
      <c r="J12" s="1575" t="s">
        <v>1158</v>
      </c>
      <c r="K12" s="1617" t="s">
        <v>1158</v>
      </c>
      <c r="L12" s="325"/>
    </row>
    <row r="13" spans="1:13" ht="15.75" customHeight="1" x14ac:dyDescent="0.2">
      <c r="A13" s="1314" t="s">
        <v>453</v>
      </c>
      <c r="B13" s="1316">
        <v>2000</v>
      </c>
      <c r="C13" s="1607">
        <f>'Expenditures 15-22'!K74</f>
        <v>1080611</v>
      </c>
      <c r="D13" s="1607">
        <f>'Expenditures 15-22'!K129</f>
        <v>559902</v>
      </c>
      <c r="E13" s="1576" t="s">
        <v>1158</v>
      </c>
      <c r="F13" s="1607">
        <f>'Expenditures 15-22'!K184</f>
        <v>166836</v>
      </c>
      <c r="G13" s="1607">
        <f>'Expenditures 15-22'!K279</f>
        <v>135761</v>
      </c>
      <c r="H13" s="1607">
        <f>'Expenditures 15-22'!K303</f>
        <v>0</v>
      </c>
      <c r="I13" s="1575" t="s">
        <v>1158</v>
      </c>
      <c r="J13" s="1607">
        <f>'Expenditures 15-22'!K330</f>
        <v>544489</v>
      </c>
      <c r="K13" s="1618">
        <f>'Expenditures 15-22'!K352</f>
        <v>66372</v>
      </c>
      <c r="L13" s="325"/>
    </row>
    <row r="14" spans="1:13" ht="15.75" customHeight="1" x14ac:dyDescent="0.2">
      <c r="A14" s="1314" t="s">
        <v>445</v>
      </c>
      <c r="B14" s="1316">
        <v>3000</v>
      </c>
      <c r="C14" s="1607">
        <f>'Expenditures 15-22'!K75</f>
        <v>0</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149049</v>
      </c>
      <c r="D15" s="1607">
        <f>'Expenditures 15-22'!K139</f>
        <v>0</v>
      </c>
      <c r="E15" s="1607">
        <f>'Expenditures 15-22'!K160</f>
        <v>0</v>
      </c>
      <c r="F15" s="1607">
        <f>'Expenditures 15-22'!K196</f>
        <v>56259</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824525</v>
      </c>
      <c r="F16" s="1607">
        <f>'Expenditures 15-22'!K208</f>
        <v>113578</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4899883</v>
      </c>
      <c r="D17" s="1594">
        <f t="shared" si="2"/>
        <v>559902</v>
      </c>
      <c r="E17" s="1594">
        <f t="shared" si="2"/>
        <v>824525</v>
      </c>
      <c r="F17" s="1594">
        <f t="shared" si="2"/>
        <v>336673</v>
      </c>
      <c r="G17" s="1594">
        <f t="shared" si="2"/>
        <v>214253</v>
      </c>
      <c r="H17" s="1594">
        <f t="shared" si="2"/>
        <v>0</v>
      </c>
      <c r="I17" s="1575"/>
      <c r="J17" s="1594">
        <f>SUM(J12:J16)</f>
        <v>544489</v>
      </c>
      <c r="K17" s="1594">
        <f>SUM(K12:K16)</f>
        <v>66372</v>
      </c>
      <c r="L17" s="325"/>
    </row>
    <row r="18" spans="1:12" ht="15" customHeight="1" thickTop="1" x14ac:dyDescent="0.2">
      <c r="A18" s="1430" t="s">
        <v>1634</v>
      </c>
      <c r="B18" s="1431">
        <v>4180</v>
      </c>
      <c r="C18" s="1606">
        <f t="shared" ref="C18:H18" si="3">C9</f>
        <v>2895994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7795877</v>
      </c>
      <c r="D19" s="1594">
        <f t="shared" si="4"/>
        <v>559902</v>
      </c>
      <c r="E19" s="1594">
        <f t="shared" si="4"/>
        <v>824525</v>
      </c>
      <c r="F19" s="1594">
        <f t="shared" si="4"/>
        <v>336673</v>
      </c>
      <c r="G19" s="1594">
        <f t="shared" si="4"/>
        <v>214253</v>
      </c>
      <c r="H19" s="1594">
        <f t="shared" si="4"/>
        <v>0</v>
      </c>
      <c r="I19" s="1575"/>
      <c r="J19" s="1594">
        <f>SUM(J17:J18)</f>
        <v>544489</v>
      </c>
      <c r="K19" s="1594">
        <f>SUM(K17:K18)</f>
        <v>66372</v>
      </c>
      <c r="L19" s="325"/>
    </row>
    <row r="20" spans="1:12" ht="16.5" thickTop="1" thickBot="1" x14ac:dyDescent="0.25">
      <c r="A20" s="2231" t="s">
        <v>1635</v>
      </c>
      <c r="B20" s="2232"/>
      <c r="C20" s="1622">
        <f>C8-C17</f>
        <v>-620745</v>
      </c>
      <c r="D20" s="1622">
        <f t="shared" ref="D20:K20" si="5">D8-D17</f>
        <v>197180</v>
      </c>
      <c r="E20" s="1622">
        <f t="shared" si="5"/>
        <v>-2756</v>
      </c>
      <c r="F20" s="1622">
        <f t="shared" si="5"/>
        <v>81411</v>
      </c>
      <c r="G20" s="1622">
        <f t="shared" si="5"/>
        <v>57083</v>
      </c>
      <c r="H20" s="1622">
        <f t="shared" si="5"/>
        <v>0</v>
      </c>
      <c r="I20" s="1622">
        <f t="shared" si="5"/>
        <v>142552</v>
      </c>
      <c r="J20" s="1622">
        <f t="shared" si="5"/>
        <v>60386</v>
      </c>
      <c r="K20" s="1622">
        <f t="shared" si="5"/>
        <v>74135</v>
      </c>
      <c r="L20" s="325"/>
    </row>
    <row r="21" spans="1:12" ht="16.7" customHeight="1" thickTop="1" x14ac:dyDescent="0.2">
      <c r="A21" s="2243" t="s">
        <v>590</v>
      </c>
      <c r="B21" s="2244"/>
      <c r="C21" s="1602"/>
      <c r="D21" s="1603"/>
      <c r="E21" s="1603"/>
      <c r="F21" s="1603"/>
      <c r="G21" s="1603"/>
      <c r="H21" s="1603"/>
      <c r="I21" s="1603"/>
      <c r="J21" s="1603"/>
      <c r="K21" s="1615"/>
      <c r="L21" s="453"/>
    </row>
    <row r="22" spans="1:12" ht="15.75" customHeight="1" collapsed="1" x14ac:dyDescent="0.2">
      <c r="A22" s="2239" t="s">
        <v>591</v>
      </c>
      <c r="B22" s="2240"/>
      <c r="C22" s="1582"/>
      <c r="D22" s="1582"/>
      <c r="E22" s="1582"/>
      <c r="F22" s="1582"/>
      <c r="G22" s="1582"/>
      <c r="H22" s="1582"/>
      <c r="I22" s="1582"/>
      <c r="J22" s="1582"/>
      <c r="K22" s="1582"/>
      <c r="L22" s="325"/>
    </row>
    <row r="23" spans="1:12" s="433" customFormat="1" ht="15.75" customHeight="1" x14ac:dyDescent="0.2">
      <c r="A23" s="2235" t="s">
        <v>289</v>
      </c>
      <c r="B23" s="2236"/>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v>400000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7" t="s">
        <v>973</v>
      </c>
      <c r="B32" s="2238"/>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v>2075000</v>
      </c>
      <c r="J33" s="1574"/>
      <c r="K33" s="1574"/>
      <c r="L33" s="453"/>
    </row>
    <row r="34" spans="1:12" s="433" customFormat="1" x14ac:dyDescent="0.2">
      <c r="A34" s="1260" t="s">
        <v>993</v>
      </c>
      <c r="B34" s="454">
        <v>7220</v>
      </c>
      <c r="C34" s="1574"/>
      <c r="D34" s="1574"/>
      <c r="E34" s="1574">
        <v>575</v>
      </c>
      <c r="F34" s="1574"/>
      <c r="G34" s="1582"/>
      <c r="H34" s="1583"/>
      <c r="I34" s="1583">
        <v>160358</v>
      </c>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v>3500</v>
      </c>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5" t="s">
        <v>370</v>
      </c>
      <c r="B44" s="2246"/>
      <c r="C44" s="1624">
        <f>SUM(C24:C43)</f>
        <v>400000</v>
      </c>
      <c r="D44" s="1624">
        <f t="shared" ref="D44:K44" si="6">SUM(D24:D43)</f>
        <v>0</v>
      </c>
      <c r="E44" s="1624">
        <f t="shared" si="6"/>
        <v>575</v>
      </c>
      <c r="F44" s="1624">
        <f t="shared" si="6"/>
        <v>3500</v>
      </c>
      <c r="G44" s="1624">
        <f t="shared" si="6"/>
        <v>0</v>
      </c>
      <c r="H44" s="1624">
        <f t="shared" si="6"/>
        <v>0</v>
      </c>
      <c r="I44" s="1624">
        <f t="shared" si="6"/>
        <v>2235358</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400000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v>58061</v>
      </c>
      <c r="J75" s="1626"/>
      <c r="K75" s="1628"/>
      <c r="L75" s="453"/>
    </row>
    <row r="76" spans="1:12" s="433" customFormat="1" ht="14.25" thickTop="1" thickBot="1" x14ac:dyDescent="0.25">
      <c r="A76" s="2221" t="s">
        <v>436</v>
      </c>
      <c r="B76" s="2222"/>
      <c r="C76" s="1624">
        <f t="shared" ref="C76:K76" si="7">SUM(C47:C75)</f>
        <v>0</v>
      </c>
      <c r="D76" s="1624">
        <f t="shared" si="7"/>
        <v>0</v>
      </c>
      <c r="E76" s="1624">
        <f t="shared" si="7"/>
        <v>0</v>
      </c>
      <c r="F76" s="1624">
        <f t="shared" si="7"/>
        <v>0</v>
      </c>
      <c r="G76" s="1624">
        <f t="shared" si="7"/>
        <v>0</v>
      </c>
      <c r="H76" s="1624">
        <f t="shared" si="7"/>
        <v>0</v>
      </c>
      <c r="I76" s="1624">
        <f t="shared" si="7"/>
        <v>458061</v>
      </c>
      <c r="J76" s="1624">
        <f t="shared" si="7"/>
        <v>0</v>
      </c>
      <c r="K76" s="1624">
        <f t="shared" si="7"/>
        <v>0</v>
      </c>
      <c r="L76" s="453"/>
    </row>
    <row r="77" spans="1:12" ht="14.25" thickTop="1" thickBot="1" x14ac:dyDescent="0.25">
      <c r="A77" s="2223" t="s">
        <v>1166</v>
      </c>
      <c r="B77" s="2224"/>
      <c r="C77" s="1624">
        <f t="shared" ref="C77:K77" si="8">C44-C76</f>
        <v>400000</v>
      </c>
      <c r="D77" s="1624">
        <f t="shared" si="8"/>
        <v>0</v>
      </c>
      <c r="E77" s="1624">
        <f t="shared" si="8"/>
        <v>575</v>
      </c>
      <c r="F77" s="1624">
        <f t="shared" si="8"/>
        <v>3500</v>
      </c>
      <c r="G77" s="1624">
        <f t="shared" si="8"/>
        <v>0</v>
      </c>
      <c r="H77" s="1624">
        <f t="shared" si="8"/>
        <v>0</v>
      </c>
      <c r="I77" s="1624">
        <f t="shared" si="8"/>
        <v>1777297</v>
      </c>
      <c r="J77" s="1624">
        <f t="shared" si="8"/>
        <v>0</v>
      </c>
      <c r="K77" s="1624">
        <f t="shared" si="8"/>
        <v>0</v>
      </c>
      <c r="L77" s="325"/>
    </row>
    <row r="78" spans="1:12" ht="21.75" customHeight="1" thickTop="1" thickBot="1" x14ac:dyDescent="0.25">
      <c r="A78" s="2227" t="s">
        <v>592</v>
      </c>
      <c r="B78" s="2228"/>
      <c r="C78" s="1629">
        <f t="shared" ref="C78:K78" si="9">C20+C77</f>
        <v>-220745</v>
      </c>
      <c r="D78" s="1629">
        <f t="shared" si="9"/>
        <v>197180</v>
      </c>
      <c r="E78" s="1629">
        <f t="shared" si="9"/>
        <v>-2181</v>
      </c>
      <c r="F78" s="1629">
        <f t="shared" si="9"/>
        <v>84911</v>
      </c>
      <c r="G78" s="1629">
        <f t="shared" si="9"/>
        <v>57083</v>
      </c>
      <c r="H78" s="1629">
        <f t="shared" si="9"/>
        <v>0</v>
      </c>
      <c r="I78" s="1629">
        <f t="shared" si="9"/>
        <v>1919849</v>
      </c>
      <c r="J78" s="1629">
        <f t="shared" si="9"/>
        <v>60386</v>
      </c>
      <c r="K78" s="1629">
        <f t="shared" si="9"/>
        <v>74135</v>
      </c>
      <c r="L78" s="457"/>
    </row>
    <row r="79" spans="1:12" ht="13.5" thickTop="1" x14ac:dyDescent="0.2">
      <c r="A79" s="1844" t="str">
        <f>"Fund Balances - July 1, "&amp;'AFR20'!E2-1</f>
        <v>Fund Balances - July 1, 2019</v>
      </c>
      <c r="B79" s="458"/>
      <c r="C79" s="1583">
        <v>344564</v>
      </c>
      <c r="D79" s="1630">
        <v>1042364</v>
      </c>
      <c r="E79" s="1630">
        <v>112735</v>
      </c>
      <c r="F79" s="1630">
        <v>1142451</v>
      </c>
      <c r="G79" s="1630">
        <v>477547</v>
      </c>
      <c r="H79" s="1630"/>
      <c r="I79" s="1630">
        <v>531778</v>
      </c>
      <c r="J79" s="1630">
        <v>19858</v>
      </c>
      <c r="K79" s="1630">
        <v>889373</v>
      </c>
      <c r="L79" s="325"/>
    </row>
    <row r="80" spans="1:12" x14ac:dyDescent="0.2">
      <c r="A80" s="2233" t="s">
        <v>1771</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123819</v>
      </c>
      <c r="D81" s="1594">
        <f>SUM(D78:D80)</f>
        <v>1239544</v>
      </c>
      <c r="E81" s="1594">
        <f t="shared" ref="E81:K81" si="10">SUM(E78:E80)</f>
        <v>110554</v>
      </c>
      <c r="F81" s="1594">
        <f t="shared" si="10"/>
        <v>1227362</v>
      </c>
      <c r="G81" s="1594">
        <f t="shared" si="10"/>
        <v>534630</v>
      </c>
      <c r="H81" s="1594">
        <f t="shared" si="10"/>
        <v>0</v>
      </c>
      <c r="I81" s="1594">
        <f t="shared" si="10"/>
        <v>2451627</v>
      </c>
      <c r="J81" s="1594">
        <f t="shared" si="10"/>
        <v>80244</v>
      </c>
      <c r="K81" s="1594">
        <f t="shared" si="10"/>
        <v>963508</v>
      </c>
      <c r="L81" s="325"/>
    </row>
    <row r="82" spans="1:12" ht="0.75" customHeight="1" thickTop="1" thickBot="1" x14ac:dyDescent="0.25">
      <c r="A82" s="459" t="s">
        <v>339</v>
      </c>
      <c r="B82" s="460"/>
      <c r="C82" s="461">
        <f>(C81-C79)</f>
        <v>-220745</v>
      </c>
      <c r="D82" s="461">
        <f t="shared" ref="D82:K82" si="11">(D81-D79)</f>
        <v>197180</v>
      </c>
      <c r="E82" s="461">
        <f t="shared" si="11"/>
        <v>-2181</v>
      </c>
      <c r="F82" s="461">
        <f t="shared" si="11"/>
        <v>84911</v>
      </c>
      <c r="G82" s="461">
        <f t="shared" si="11"/>
        <v>57083</v>
      </c>
      <c r="H82" s="461">
        <f t="shared" si="11"/>
        <v>0</v>
      </c>
      <c r="I82" s="461">
        <f t="shared" si="11"/>
        <v>1919849</v>
      </c>
      <c r="J82" s="461">
        <f t="shared" si="11"/>
        <v>60386</v>
      </c>
      <c r="K82" s="461">
        <f t="shared" si="11"/>
        <v>74135</v>
      </c>
    </row>
    <row r="83" spans="1:12" ht="14.25" hidden="1" thickTop="1" thickBot="1" x14ac:dyDescent="0.25">
      <c r="A83" s="462" t="s">
        <v>340</v>
      </c>
      <c r="B83" s="428"/>
      <c r="C83" s="463">
        <f>C82/C81</f>
        <v>-1.7828039315452395</v>
      </c>
      <c r="D83" s="463">
        <f t="shared" ref="D83:K83" si="12">D82/D81</f>
        <v>0.15907462744364056</v>
      </c>
      <c r="E83" s="463">
        <f t="shared" si="12"/>
        <v>-1.9727915769669122E-2</v>
      </c>
      <c r="F83" s="463">
        <f t="shared" si="12"/>
        <v>6.9181708412025145E-2</v>
      </c>
      <c r="G83" s="463">
        <f t="shared" si="12"/>
        <v>0.10677103791407141</v>
      </c>
      <c r="H83" s="463" t="e">
        <f t="shared" si="12"/>
        <v>#DIV/0!</v>
      </c>
      <c r="I83" s="463">
        <f t="shared" si="12"/>
        <v>0.78309179985372979</v>
      </c>
      <c r="J83" s="463">
        <f t="shared" si="12"/>
        <v>0.75252978415831717</v>
      </c>
      <c r="K83" s="463">
        <f t="shared" si="12"/>
        <v>7.6942796531009605E-2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2"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2438769</v>
      </c>
      <c r="D5" s="1586">
        <v>662704</v>
      </c>
      <c r="E5" s="1573">
        <v>819297</v>
      </c>
      <c r="F5" s="1631">
        <v>318099</v>
      </c>
      <c r="G5" s="1573">
        <v>124301</v>
      </c>
      <c r="H5" s="1573"/>
      <c r="I5" s="1573">
        <v>132540</v>
      </c>
      <c r="J5" s="1574">
        <v>596498</v>
      </c>
      <c r="K5" s="1573">
        <v>132540</v>
      </c>
    </row>
    <row r="6" spans="1:12" ht="15" x14ac:dyDescent="0.2">
      <c r="A6" s="427" t="s">
        <v>1642</v>
      </c>
      <c r="B6" s="429">
        <v>1130</v>
      </c>
      <c r="C6" s="1573">
        <v>132540</v>
      </c>
      <c r="D6" s="1573"/>
      <c r="E6" s="1580"/>
      <c r="F6" s="1580"/>
      <c r="G6" s="1575"/>
      <c r="H6" s="1575"/>
      <c r="I6" s="1575"/>
      <c r="J6" s="1575"/>
      <c r="K6" s="1575"/>
    </row>
    <row r="7" spans="1:12" x14ac:dyDescent="0.2">
      <c r="A7" s="427" t="s">
        <v>110</v>
      </c>
      <c r="B7" s="471">
        <v>1140</v>
      </c>
      <c r="C7" s="1573">
        <v>53016</v>
      </c>
      <c r="D7" s="1573"/>
      <c r="E7" s="1575"/>
      <c r="F7" s="1574"/>
      <c r="G7" s="1574"/>
      <c r="H7" s="1574"/>
      <c r="I7" s="1575"/>
      <c r="J7" s="1575"/>
      <c r="K7" s="1575"/>
    </row>
    <row r="8" spans="1:12" x14ac:dyDescent="0.2">
      <c r="A8" s="427" t="s">
        <v>409</v>
      </c>
      <c r="B8" s="429">
        <v>1150</v>
      </c>
      <c r="C8" s="1580"/>
      <c r="D8" s="1580"/>
      <c r="E8" s="1582"/>
      <c r="F8" s="1582"/>
      <c r="G8" s="1586">
        <v>124301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2624325</v>
      </c>
      <c r="D12" s="1633">
        <f t="shared" si="0"/>
        <v>662704</v>
      </c>
      <c r="E12" s="1633">
        <f t="shared" si="0"/>
        <v>819297</v>
      </c>
      <c r="F12" s="1633">
        <f t="shared" si="0"/>
        <v>318099</v>
      </c>
      <c r="G12" s="1633">
        <f t="shared" si="0"/>
        <v>248602</v>
      </c>
      <c r="H12" s="1633">
        <f t="shared" si="0"/>
        <v>0</v>
      </c>
      <c r="I12" s="1633">
        <f t="shared" si="0"/>
        <v>132540</v>
      </c>
      <c r="J12" s="1633">
        <f t="shared" si="0"/>
        <v>596498</v>
      </c>
      <c r="K12" s="1594">
        <f t="shared" si="0"/>
        <v>132540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237273</v>
      </c>
      <c r="D16" s="1573"/>
      <c r="E16" s="1573"/>
      <c r="F16" s="1573"/>
      <c r="G16" s="1573">
        <v>17860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237273</v>
      </c>
      <c r="D18" s="1635">
        <f t="shared" ref="D18:K18" si="1">SUM(D14:D17)</f>
        <v>0</v>
      </c>
      <c r="E18" s="1635">
        <f t="shared" si="1"/>
        <v>0</v>
      </c>
      <c r="F18" s="1635">
        <f t="shared" si="1"/>
        <v>0</v>
      </c>
      <c r="G18" s="1635">
        <f t="shared" si="1"/>
        <v>17860</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7004</v>
      </c>
      <c r="D65" s="1573">
        <v>9312</v>
      </c>
      <c r="E65" s="1573">
        <v>2472</v>
      </c>
      <c r="F65" s="1574">
        <v>10044</v>
      </c>
      <c r="G65" s="1573">
        <v>4874</v>
      </c>
      <c r="H65" s="1573"/>
      <c r="I65" s="1573">
        <v>10012</v>
      </c>
      <c r="J65" s="1574">
        <v>3440</v>
      </c>
      <c r="K65" s="1573">
        <v>7967</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7004</v>
      </c>
      <c r="D67" s="1594">
        <f t="shared" ref="D67:K67" si="2">SUM(D65:D66)</f>
        <v>9312</v>
      </c>
      <c r="E67" s="1594">
        <f t="shared" si="2"/>
        <v>2472</v>
      </c>
      <c r="F67" s="1594">
        <f t="shared" si="2"/>
        <v>10044</v>
      </c>
      <c r="G67" s="1594">
        <f t="shared" si="2"/>
        <v>4874</v>
      </c>
      <c r="H67" s="1594">
        <f t="shared" si="2"/>
        <v>0</v>
      </c>
      <c r="I67" s="1594">
        <f t="shared" si="2"/>
        <v>10012</v>
      </c>
      <c r="J67" s="1594">
        <f t="shared" si="2"/>
        <v>3440</v>
      </c>
      <c r="K67" s="1594">
        <f t="shared" si="2"/>
        <v>7967</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52357</v>
      </c>
      <c r="D69" s="1575"/>
      <c r="E69" s="1575"/>
      <c r="F69" s="1575"/>
      <c r="G69" s="1575"/>
      <c r="H69" s="1575"/>
      <c r="I69" s="1575"/>
      <c r="J69" s="1575"/>
      <c r="K69" s="1575"/>
    </row>
    <row r="70" spans="1:11" ht="12.75" customHeight="1" x14ac:dyDescent="0.2">
      <c r="A70" s="427" t="s">
        <v>989</v>
      </c>
      <c r="B70" s="429">
        <v>1612</v>
      </c>
      <c r="C70" s="1632">
        <v>1758</v>
      </c>
      <c r="D70" s="1575"/>
      <c r="E70" s="1575"/>
      <c r="F70" s="1575"/>
      <c r="G70" s="1575"/>
      <c r="H70" s="1575"/>
      <c r="I70" s="1575"/>
      <c r="J70" s="1575"/>
      <c r="K70" s="1575"/>
    </row>
    <row r="71" spans="1:11" ht="12.75" customHeight="1" x14ac:dyDescent="0.2">
      <c r="A71" s="427" t="s">
        <v>270</v>
      </c>
      <c r="B71" s="429">
        <v>1613</v>
      </c>
      <c r="C71" s="1632">
        <v>77352</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v>668</v>
      </c>
      <c r="D73" s="1575"/>
      <c r="E73" s="1575"/>
      <c r="F73" s="1575"/>
      <c r="G73" s="1575"/>
      <c r="H73" s="1575"/>
      <c r="I73" s="1575"/>
      <c r="J73" s="1575"/>
      <c r="K73" s="1575"/>
    </row>
    <row r="74" spans="1:11" ht="12.75" customHeight="1" x14ac:dyDescent="0.2">
      <c r="A74" s="427" t="s">
        <v>25</v>
      </c>
      <c r="B74" s="429">
        <v>1690</v>
      </c>
      <c r="C74" s="1632">
        <v>8598</v>
      </c>
      <c r="D74" s="1575"/>
      <c r="E74" s="1575"/>
      <c r="F74" s="1575"/>
      <c r="G74" s="1575"/>
      <c r="H74" s="1575"/>
      <c r="I74" s="1575"/>
      <c r="J74" s="1575"/>
      <c r="K74" s="1575"/>
    </row>
    <row r="75" spans="1:11" ht="12.75" customHeight="1" thickBot="1" x14ac:dyDescent="0.25">
      <c r="A75" s="1406" t="s">
        <v>543</v>
      </c>
      <c r="B75" s="1407"/>
      <c r="C75" s="1594">
        <f>SUM(C69:C74)</f>
        <v>140733</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37798</v>
      </c>
      <c r="D77" s="1573"/>
      <c r="E77" s="1575"/>
      <c r="F77" s="1575"/>
      <c r="G77" s="1575"/>
      <c r="H77" s="1575"/>
      <c r="I77" s="1575"/>
      <c r="J77" s="1575"/>
      <c r="K77" s="1575"/>
    </row>
    <row r="78" spans="1:11" ht="12.75" customHeight="1" x14ac:dyDescent="0.2">
      <c r="A78" s="427" t="s">
        <v>76</v>
      </c>
      <c r="B78" s="429">
        <v>1719</v>
      </c>
      <c r="C78" s="1632">
        <v>7086</v>
      </c>
      <c r="D78" s="1573"/>
      <c r="E78" s="1575"/>
      <c r="F78" s="1575"/>
      <c r="G78" s="1575"/>
      <c r="H78" s="1575"/>
      <c r="I78" s="1575"/>
      <c r="J78" s="1575"/>
      <c r="K78" s="1575"/>
    </row>
    <row r="79" spans="1:11" ht="12.75" customHeight="1" x14ac:dyDescent="0.2">
      <c r="A79" s="427" t="s">
        <v>545</v>
      </c>
      <c r="B79" s="429">
        <v>1720</v>
      </c>
      <c r="C79" s="1632">
        <v>21223</v>
      </c>
      <c r="D79" s="1573"/>
      <c r="E79" s="1575"/>
      <c r="F79" s="1575"/>
      <c r="G79" s="1575"/>
      <c r="H79" s="1575"/>
      <c r="I79" s="1575"/>
      <c r="J79" s="1575"/>
      <c r="K79" s="1575"/>
    </row>
    <row r="80" spans="1:11" ht="12.75" customHeight="1" x14ac:dyDescent="0.2">
      <c r="A80" s="427" t="s">
        <v>546</v>
      </c>
      <c r="B80" s="429">
        <v>1730</v>
      </c>
      <c r="C80" s="1632">
        <v>1054</v>
      </c>
      <c r="D80" s="1573"/>
      <c r="E80" s="1575"/>
      <c r="F80" s="1575"/>
      <c r="G80" s="1575"/>
      <c r="H80" s="1575"/>
      <c r="I80" s="1575"/>
      <c r="J80" s="1575"/>
      <c r="K80" s="1575"/>
    </row>
    <row r="81" spans="1:11" ht="12.75" customHeight="1" x14ac:dyDescent="0.2">
      <c r="A81" s="427" t="s">
        <v>26</v>
      </c>
      <c r="B81" s="429">
        <v>1790</v>
      </c>
      <c r="C81" s="1632">
        <v>15762</v>
      </c>
      <c r="D81" s="1573"/>
      <c r="E81" s="1575"/>
      <c r="F81" s="1575"/>
      <c r="G81" s="1575"/>
      <c r="H81" s="1575"/>
      <c r="I81" s="1575"/>
      <c r="J81" s="1575"/>
      <c r="K81" s="1575"/>
    </row>
    <row r="82" spans="1:11" ht="12.75" customHeight="1" thickBot="1" x14ac:dyDescent="0.25">
      <c r="A82" s="1406" t="s">
        <v>239</v>
      </c>
      <c r="B82" s="1407"/>
      <c r="C82" s="1633">
        <f>SUM(C77:C81)</f>
        <v>82923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20222</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45</v>
      </c>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20267</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v>1140</v>
      </c>
      <c r="E95" s="1617"/>
      <c r="F95" s="1617"/>
      <c r="G95" s="1617"/>
      <c r="H95" s="1617"/>
      <c r="I95" s="1617"/>
      <c r="J95" s="1617"/>
      <c r="K95" s="1617"/>
    </row>
    <row r="96" spans="1:11" ht="12.75" customHeight="1" x14ac:dyDescent="0.2">
      <c r="A96" s="427" t="s">
        <v>387</v>
      </c>
      <c r="B96" s="429">
        <v>1920</v>
      </c>
      <c r="C96" s="1632">
        <v>905</v>
      </c>
      <c r="D96" s="1632">
        <v>7832</v>
      </c>
      <c r="E96" s="1584"/>
      <c r="F96" s="1583">
        <v>416</v>
      </c>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9454</v>
      </c>
      <c r="D99" s="1573">
        <v>1903</v>
      </c>
      <c r="E99" s="1573"/>
      <c r="F99" s="1573"/>
      <c r="G99" s="1573"/>
      <c r="H99" s="1573"/>
      <c r="I99" s="1575"/>
      <c r="J99" s="1574">
        <v>4937</v>
      </c>
      <c r="K99" s="1573"/>
    </row>
    <row r="100" spans="1:12" ht="12.75" customHeight="1" x14ac:dyDescent="0.2">
      <c r="A100" s="427" t="s">
        <v>243</v>
      </c>
      <c r="B100" s="429">
        <v>1960</v>
      </c>
      <c r="C100" s="1598"/>
      <c r="D100" s="1598">
        <v>15801</v>
      </c>
      <c r="E100" s="1598"/>
      <c r="F100" s="1598"/>
      <c r="G100" s="1598"/>
      <c r="H100" s="1598"/>
      <c r="I100" s="1574"/>
      <c r="J100" s="1598"/>
      <c r="K100" s="1574"/>
    </row>
    <row r="101" spans="1:12" ht="12.75" customHeight="1" x14ac:dyDescent="0.2">
      <c r="A101" s="427" t="s">
        <v>244</v>
      </c>
      <c r="B101" s="429">
        <v>1970</v>
      </c>
      <c r="C101" s="1598">
        <v>3395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4030</v>
      </c>
      <c r="D107" s="1573">
        <v>8390</v>
      </c>
      <c r="E107" s="1573"/>
      <c r="F107" s="1573"/>
      <c r="G107" s="1573"/>
      <c r="H107" s="1573"/>
      <c r="I107" s="1573"/>
      <c r="J107" s="1574"/>
      <c r="K107" s="1573"/>
    </row>
    <row r="108" spans="1:12" ht="12.75" customHeight="1" thickBot="1" x14ac:dyDescent="0.25">
      <c r="A108" s="1406" t="s">
        <v>483</v>
      </c>
      <c r="B108" s="1408"/>
      <c r="C108" s="1633">
        <f>SUM(C95:C107)</f>
        <v>17784</v>
      </c>
      <c r="D108" s="1633">
        <f t="shared" ref="D108:K108" si="3">SUM(D95:D107)</f>
        <v>35066</v>
      </c>
      <c r="E108" s="1633">
        <f t="shared" si="3"/>
        <v>0</v>
      </c>
      <c r="F108" s="1633">
        <f t="shared" si="3"/>
        <v>416</v>
      </c>
      <c r="G108" s="1633">
        <f t="shared" si="3"/>
        <v>0</v>
      </c>
      <c r="H108" s="1633">
        <f t="shared" si="3"/>
        <v>0</v>
      </c>
      <c r="I108" s="1633">
        <f t="shared" si="3"/>
        <v>0</v>
      </c>
      <c r="J108" s="1633">
        <f t="shared" si="3"/>
        <v>4937</v>
      </c>
      <c r="K108" s="1594">
        <f t="shared" si="3"/>
        <v>0</v>
      </c>
    </row>
    <row r="109" spans="1:12" ht="14.25" thickTop="1" thickBot="1" x14ac:dyDescent="0.25">
      <c r="A109" s="1409" t="s">
        <v>246</v>
      </c>
      <c r="B109" s="1410" t="s">
        <v>565</v>
      </c>
      <c r="C109" s="1641">
        <f t="shared" ref="C109:K109" si="4">SUM(C12,C18,C40,C63,C67,C75,C82,C93,C108,)</f>
        <v>3130309</v>
      </c>
      <c r="D109" s="1641">
        <f t="shared" si="4"/>
        <v>707082</v>
      </c>
      <c r="E109" s="1641">
        <f t="shared" si="4"/>
        <v>821769</v>
      </c>
      <c r="F109" s="1641">
        <f t="shared" si="4"/>
        <v>328559</v>
      </c>
      <c r="G109" s="1641">
        <f t="shared" si="4"/>
        <v>271336</v>
      </c>
      <c r="H109" s="1641">
        <f t="shared" si="4"/>
        <v>0</v>
      </c>
      <c r="I109" s="1641">
        <f t="shared" si="4"/>
        <v>142552</v>
      </c>
      <c r="J109" s="1641">
        <f t="shared" si="4"/>
        <v>604875</v>
      </c>
      <c r="K109" s="1629">
        <f t="shared" si="4"/>
        <v>140507</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665321</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665321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29464</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78903</v>
      </c>
      <c r="D128" s="1640"/>
      <c r="E128" s="1575"/>
      <c r="F128" s="1573"/>
      <c r="G128" s="1575"/>
      <c r="H128" s="1575"/>
      <c r="I128" s="1575"/>
      <c r="J128" s="1575"/>
      <c r="K128" s="1575"/>
    </row>
    <row r="129" spans="1:11" ht="12.75" customHeight="1" x14ac:dyDescent="0.2">
      <c r="A129" s="427" t="s">
        <v>1429</v>
      </c>
      <c r="B129" s="478">
        <v>3130</v>
      </c>
      <c r="C129" s="1573">
        <v>8078</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116445</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36616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4115</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40731</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1069</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16823</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26211</v>
      </c>
      <c r="G152" s="1574"/>
      <c r="H152" s="1575"/>
      <c r="I152" s="1575"/>
      <c r="J152" s="1575"/>
      <c r="K152" s="1575"/>
    </row>
    <row r="153" spans="1:11" ht="12.75" customHeight="1" x14ac:dyDescent="0.2">
      <c r="A153" s="427" t="s">
        <v>1047</v>
      </c>
      <c r="B153" s="478">
        <v>3510</v>
      </c>
      <c r="C153" s="1632"/>
      <c r="D153" s="1573"/>
      <c r="E153" s="1640"/>
      <c r="F153" s="1573">
        <v>63314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89525</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9" t="s">
        <v>394</v>
      </c>
      <c r="B169" s="2250"/>
      <c r="C169" s="1658">
        <f t="shared" ref="C169:K169" si="6">SUM(C132,C141,C145,C146:C150,C155,C156:C167,C168)</f>
        <v>175818</v>
      </c>
      <c r="D169" s="1658">
        <f t="shared" si="6"/>
        <v>50000</v>
      </c>
      <c r="E169" s="1658">
        <f t="shared" si="6"/>
        <v>0</v>
      </c>
      <c r="F169" s="1658">
        <f t="shared" si="6"/>
        <v>89525</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841139</v>
      </c>
      <c r="D170" s="1641">
        <f t="shared" si="7"/>
        <v>50000</v>
      </c>
      <c r="E170" s="1641">
        <f t="shared" si="7"/>
        <v>0</v>
      </c>
      <c r="F170" s="1641">
        <f t="shared" si="7"/>
        <v>89525</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1" t="s">
        <v>1474</v>
      </c>
      <c r="B172" s="2252"/>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5" t="s">
        <v>1645</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1644</v>
      </c>
      <c r="B176" s="2260"/>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v>5075</v>
      </c>
      <c r="D180" s="1573"/>
      <c r="E180" s="1575"/>
      <c r="F180" s="1573"/>
      <c r="G180" s="1573"/>
      <c r="H180" s="1573"/>
      <c r="I180" s="1575"/>
      <c r="J180" s="1575"/>
      <c r="K180" s="1573"/>
    </row>
    <row r="181" spans="1:11" ht="13.5" thickBot="1" x14ac:dyDescent="0.25">
      <c r="A181" s="2257" t="s">
        <v>779</v>
      </c>
      <c r="B181" s="2258"/>
      <c r="C181" s="1633">
        <f>SUM(C177:C180)</f>
        <v>5075</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1779</v>
      </c>
      <c r="B182" s="2254"/>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70893</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10340</v>
      </c>
      <c r="D193" s="1575"/>
      <c r="E193" s="1640"/>
      <c r="F193" s="1575"/>
      <c r="G193" s="1664"/>
      <c r="H193" s="1575"/>
      <c r="I193" s="1575"/>
      <c r="J193" s="1575"/>
      <c r="K193" s="1575"/>
    </row>
    <row r="194" spans="1:11" ht="12.75" customHeight="1" x14ac:dyDescent="0.2">
      <c r="A194" s="427" t="s">
        <v>1433</v>
      </c>
      <c r="B194" s="429">
        <v>4225</v>
      </c>
      <c r="C194" s="1632"/>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81233</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105653</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105653</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c r="D213" s="1573"/>
      <c r="E213" s="1575"/>
      <c r="F213" s="1573"/>
      <c r="G213" s="1573"/>
      <c r="H213" s="1575"/>
      <c r="I213" s="1575"/>
      <c r="J213" s="1575"/>
      <c r="K213" s="1575"/>
    </row>
    <row r="214" spans="1:11" ht="12.75" customHeight="1" x14ac:dyDescent="0.2">
      <c r="A214" s="427" t="s">
        <v>1044</v>
      </c>
      <c r="B214" s="429">
        <v>4625</v>
      </c>
      <c r="C214" s="1632">
        <v>89256</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89256</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18896</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2343</v>
      </c>
      <c r="D263" s="1651"/>
      <c r="E263" s="1575"/>
      <c r="F263" s="1651"/>
      <c r="G263" s="1651"/>
      <c r="H263" s="1575"/>
      <c r="I263" s="1575"/>
      <c r="J263" s="1575"/>
      <c r="K263" s="1575"/>
    </row>
    <row r="264" spans="1:11" ht="12.75" customHeight="1" thickTop="1" thickBot="1" x14ac:dyDescent="0.25">
      <c r="A264" s="427" t="s">
        <v>373</v>
      </c>
      <c r="B264" s="429">
        <v>4992</v>
      </c>
      <c r="C264" s="1650">
        <v>1634</v>
      </c>
      <c r="D264" s="1651"/>
      <c r="E264" s="1575"/>
      <c r="F264" s="1651"/>
      <c r="G264" s="1651"/>
      <c r="H264" s="1575"/>
      <c r="I264" s="1575"/>
      <c r="J264" s="1575"/>
      <c r="K264" s="1575"/>
    </row>
    <row r="265" spans="1:11" s="489" customFormat="1" ht="12.75" customHeight="1" thickTop="1" thickBot="1" x14ac:dyDescent="0.25">
      <c r="A265" s="479" t="s">
        <v>75</v>
      </c>
      <c r="B265" s="475">
        <v>4998</v>
      </c>
      <c r="C265" s="1650">
        <v>3600</v>
      </c>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302615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307690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4279138</v>
      </c>
      <c r="D268" s="1641">
        <f t="shared" si="12"/>
        <v>757082</v>
      </c>
      <c r="E268" s="1641">
        <f t="shared" si="12"/>
        <v>821769</v>
      </c>
      <c r="F268" s="1641">
        <f t="shared" si="12"/>
        <v>418084</v>
      </c>
      <c r="G268" s="1641">
        <f t="shared" si="12"/>
        <v>271336</v>
      </c>
      <c r="H268" s="1641">
        <f t="shared" si="12"/>
        <v>0</v>
      </c>
      <c r="I268" s="1641">
        <f t="shared" si="12"/>
        <v>142552</v>
      </c>
      <c r="J268" s="1641">
        <f t="shared" si="12"/>
        <v>604875</v>
      </c>
      <c r="K268" s="1629">
        <f t="shared" si="12"/>
        <v>140507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18" activePane="bottomLeft" state="frozen"/>
      <selection pane="bottomLeft" activeCell="K151" sqref="K1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9" t="s">
        <v>293</v>
      </c>
      <c r="B3" s="2270"/>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1467401</v>
      </c>
      <c r="D5" s="1573">
        <v>535549</v>
      </c>
      <c r="E5" s="1573">
        <v>31208</v>
      </c>
      <c r="F5" s="1573">
        <f>64096+68889</f>
        <v>132985</v>
      </c>
      <c r="G5" s="1573"/>
      <c r="H5" s="1573"/>
      <c r="I5" s="1574"/>
      <c r="J5" s="1574"/>
      <c r="K5" s="1672">
        <f>SUM(C5:J5)</f>
        <v>2167143</v>
      </c>
      <c r="L5" s="1573">
        <v>2367806</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503101</v>
      </c>
      <c r="D8" s="1573">
        <v>99565</v>
      </c>
      <c r="E8" s="1573">
        <v>51851</v>
      </c>
      <c r="F8" s="1573">
        <v>1433</v>
      </c>
      <c r="G8" s="1573"/>
      <c r="H8" s="1573"/>
      <c r="I8" s="1574"/>
      <c r="J8" s="1574"/>
      <c r="K8" s="1672">
        <f t="shared" si="0"/>
        <v>655950</v>
      </c>
      <c r="L8" s="1573">
        <v>688848</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v>128516</v>
      </c>
      <c r="D10" s="1573">
        <v>27989</v>
      </c>
      <c r="E10" s="1573">
        <v>16421</v>
      </c>
      <c r="F10" s="1573">
        <v>518</v>
      </c>
      <c r="G10" s="1573"/>
      <c r="H10" s="1573"/>
      <c r="I10" s="1574"/>
      <c r="J10" s="1574"/>
      <c r="K10" s="1672">
        <f t="shared" si="0"/>
        <v>173444</v>
      </c>
      <c r="L10" s="1573">
        <v>88803</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16542</v>
      </c>
      <c r="D13" s="1573"/>
      <c r="E13" s="1573"/>
      <c r="F13" s="1573"/>
      <c r="G13" s="1573"/>
      <c r="H13" s="1573"/>
      <c r="I13" s="1574"/>
      <c r="J13" s="1574"/>
      <c r="K13" s="1672">
        <f t="shared" si="0"/>
        <v>16542</v>
      </c>
      <c r="L13" s="1573">
        <v>18216</v>
      </c>
    </row>
    <row r="14" spans="1:14" x14ac:dyDescent="0.2">
      <c r="A14" s="1274" t="s">
        <v>956</v>
      </c>
      <c r="B14" s="503">
        <v>1500</v>
      </c>
      <c r="C14" s="1573">
        <v>206004</v>
      </c>
      <c r="D14" s="1573">
        <v>16334</v>
      </c>
      <c r="E14" s="1573">
        <v>30450</v>
      </c>
      <c r="F14" s="1573">
        <v>19181</v>
      </c>
      <c r="G14" s="1573"/>
      <c r="H14" s="1573">
        <v>12773</v>
      </c>
      <c r="I14" s="1574"/>
      <c r="J14" s="1574"/>
      <c r="K14" s="1672">
        <f t="shared" si="0"/>
        <v>284742</v>
      </c>
      <c r="L14" s="1573">
        <v>305174</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v>101512</v>
      </c>
      <c r="D17" s="1574">
        <v>21550</v>
      </c>
      <c r="E17" s="1574">
        <v>864</v>
      </c>
      <c r="F17" s="1574">
        <v>1294</v>
      </c>
      <c r="G17" s="1574"/>
      <c r="H17" s="1574"/>
      <c r="I17" s="1574"/>
      <c r="J17" s="1574"/>
      <c r="K17" s="1672">
        <f t="shared" si="0"/>
        <v>125220</v>
      </c>
      <c r="L17" s="1573">
        <v>170005</v>
      </c>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v>247182</v>
      </c>
      <c r="I21" s="1673"/>
      <c r="J21" s="1582"/>
      <c r="K21" s="1672">
        <f t="shared" si="0"/>
        <v>247182</v>
      </c>
      <c r="L21" s="1577">
        <v>175000</v>
      </c>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v>20000</v>
      </c>
    </row>
    <row r="33" spans="1:14" ht="12.75" customHeight="1" thickBot="1" x14ac:dyDescent="0.25">
      <c r="A33" s="1380" t="s">
        <v>1648</v>
      </c>
      <c r="B33" s="1381" t="s">
        <v>565</v>
      </c>
      <c r="C33" s="1674">
        <f>SUM(C5:C32)</f>
        <v>2423076</v>
      </c>
      <c r="D33" s="1674">
        <f t="shared" ref="D33:L33" si="1">SUM(D5:D32)</f>
        <v>700987</v>
      </c>
      <c r="E33" s="1674">
        <f t="shared" si="1"/>
        <v>130794</v>
      </c>
      <c r="F33" s="1674">
        <f t="shared" si="1"/>
        <v>155411</v>
      </c>
      <c r="G33" s="1674">
        <f t="shared" si="1"/>
        <v>0</v>
      </c>
      <c r="H33" s="1674">
        <f t="shared" si="1"/>
        <v>259955</v>
      </c>
      <c r="I33" s="1674">
        <f t="shared" si="1"/>
        <v>0</v>
      </c>
      <c r="J33" s="1674">
        <f t="shared" si="1"/>
        <v>0</v>
      </c>
      <c r="K33" s="1674">
        <f t="shared" si="1"/>
        <v>3670223</v>
      </c>
      <c r="L33" s="1674">
        <f t="shared" si="1"/>
        <v>3833852</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22191</v>
      </c>
      <c r="D36" s="1586"/>
      <c r="E36" s="1586"/>
      <c r="F36" s="1586">
        <v>105</v>
      </c>
      <c r="G36" s="1586"/>
      <c r="H36" s="1586"/>
      <c r="I36" s="1574"/>
      <c r="J36" s="1574"/>
      <c r="K36" s="1672">
        <f t="shared" ref="K36:K41" si="2">SUM(C36:J36)</f>
        <v>22296</v>
      </c>
      <c r="L36" s="1573">
        <v>21408</v>
      </c>
    </row>
    <row r="37" spans="1:14" x14ac:dyDescent="0.2">
      <c r="A37" s="1274" t="s">
        <v>1080</v>
      </c>
      <c r="B37" s="503">
        <v>2120</v>
      </c>
      <c r="C37" s="1573">
        <v>130041</v>
      </c>
      <c r="D37" s="1573">
        <v>36401</v>
      </c>
      <c r="E37" s="1573"/>
      <c r="F37" s="1573">
        <v>839</v>
      </c>
      <c r="G37" s="1573"/>
      <c r="H37" s="1573"/>
      <c r="I37" s="1574"/>
      <c r="J37" s="1574"/>
      <c r="K37" s="1672">
        <f t="shared" si="2"/>
        <v>167281</v>
      </c>
      <c r="L37" s="1573">
        <v>173258</v>
      </c>
    </row>
    <row r="38" spans="1:14" x14ac:dyDescent="0.2">
      <c r="A38" s="1274" t="s">
        <v>196</v>
      </c>
      <c r="B38" s="503">
        <v>2130</v>
      </c>
      <c r="C38" s="1573"/>
      <c r="D38" s="1573"/>
      <c r="E38" s="1573">
        <v>8266</v>
      </c>
      <c r="F38" s="1573">
        <v>285</v>
      </c>
      <c r="G38" s="1573"/>
      <c r="H38" s="1573"/>
      <c r="I38" s="1574"/>
      <c r="J38" s="1574"/>
      <c r="K38" s="1672">
        <f t="shared" si="2"/>
        <v>8551</v>
      </c>
      <c r="L38" s="1573">
        <v>18000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1649</v>
      </c>
      <c r="B41" s="503">
        <v>2190</v>
      </c>
      <c r="C41" s="1573"/>
      <c r="D41" s="1573"/>
      <c r="E41" s="1573"/>
      <c r="F41" s="1573">
        <v>262</v>
      </c>
      <c r="G41" s="1573"/>
      <c r="H41" s="1573"/>
      <c r="I41" s="1574"/>
      <c r="J41" s="1574"/>
      <c r="K41" s="1672">
        <f t="shared" si="2"/>
        <v>262</v>
      </c>
      <c r="L41" s="1573">
        <v>1550</v>
      </c>
    </row>
    <row r="42" spans="1:14" ht="12.75" customHeight="1" thickBot="1" x14ac:dyDescent="0.25">
      <c r="A42" s="1380" t="s">
        <v>555</v>
      </c>
      <c r="B42" s="1381" t="s">
        <v>710</v>
      </c>
      <c r="C42" s="1674">
        <f>SUM(C36:C41)</f>
        <v>152232</v>
      </c>
      <c r="D42" s="1674">
        <f t="shared" ref="D42:L42" si="3">SUM(D36:D41)</f>
        <v>36401</v>
      </c>
      <c r="E42" s="1674">
        <f t="shared" si="3"/>
        <v>8266</v>
      </c>
      <c r="F42" s="1674">
        <f t="shared" si="3"/>
        <v>1491</v>
      </c>
      <c r="G42" s="1674">
        <f t="shared" si="3"/>
        <v>0</v>
      </c>
      <c r="H42" s="1674">
        <f t="shared" si="3"/>
        <v>0</v>
      </c>
      <c r="I42" s="1674">
        <f t="shared" si="3"/>
        <v>0</v>
      </c>
      <c r="J42" s="1674">
        <f t="shared" si="3"/>
        <v>0</v>
      </c>
      <c r="K42" s="1674">
        <f t="shared" si="3"/>
        <v>198390</v>
      </c>
      <c r="L42" s="1674">
        <f t="shared" si="3"/>
        <v>214216</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c r="D44" s="1586"/>
      <c r="E44" s="1586"/>
      <c r="F44" s="1586"/>
      <c r="G44" s="1586"/>
      <c r="H44" s="1586"/>
      <c r="I44" s="1574"/>
      <c r="J44" s="1574"/>
      <c r="K44" s="1678">
        <f>SUM(C44:J44)</f>
        <v>0</v>
      </c>
      <c r="L44" s="1586"/>
    </row>
    <row r="45" spans="1:14" x14ac:dyDescent="0.2">
      <c r="A45" s="1274" t="s">
        <v>809</v>
      </c>
      <c r="B45" s="503">
        <v>2220</v>
      </c>
      <c r="C45" s="1573">
        <f>63761+93119</f>
        <v>156880</v>
      </c>
      <c r="D45" s="1573">
        <f>22002+12036</f>
        <v>34038</v>
      </c>
      <c r="E45" s="1573">
        <f>8700+3712</f>
        <v>12412</v>
      </c>
      <c r="F45" s="1573">
        <f>1344+9271</f>
        <v>10615</v>
      </c>
      <c r="G45" s="1573"/>
      <c r="H45" s="1573">
        <v>324</v>
      </c>
      <c r="I45" s="1574"/>
      <c r="J45" s="1574"/>
      <c r="K45" s="1678">
        <f>SUM(C45:J45)</f>
        <v>214269</v>
      </c>
      <c r="L45" s="1573">
        <v>127077</v>
      </c>
    </row>
    <row r="46" spans="1:14" x14ac:dyDescent="0.2">
      <c r="A46" s="1274" t="s">
        <v>810</v>
      </c>
      <c r="B46" s="503">
        <v>2230</v>
      </c>
      <c r="C46" s="1573"/>
      <c r="D46" s="1573"/>
      <c r="E46" s="1573"/>
      <c r="F46" s="1573"/>
      <c r="G46" s="1573"/>
      <c r="H46" s="1573"/>
      <c r="I46" s="1574"/>
      <c r="J46" s="1574"/>
      <c r="K46" s="1678">
        <f>SUM(C46:J46)</f>
        <v>0</v>
      </c>
      <c r="L46" s="1573"/>
    </row>
    <row r="47" spans="1:14" ht="12.75" customHeight="1" thickBot="1" x14ac:dyDescent="0.25">
      <c r="A47" s="1380" t="s">
        <v>556</v>
      </c>
      <c r="B47" s="1381" t="s">
        <v>32</v>
      </c>
      <c r="C47" s="1674">
        <f>SUM(C44:C46)</f>
        <v>156880</v>
      </c>
      <c r="D47" s="1674">
        <f t="shared" ref="D47:K47" si="4">SUM(D44:D46)</f>
        <v>34038</v>
      </c>
      <c r="E47" s="1674">
        <f t="shared" si="4"/>
        <v>12412</v>
      </c>
      <c r="F47" s="1674">
        <f t="shared" si="4"/>
        <v>10615</v>
      </c>
      <c r="G47" s="1674">
        <f t="shared" si="4"/>
        <v>0</v>
      </c>
      <c r="H47" s="1674">
        <f t="shared" si="4"/>
        <v>324</v>
      </c>
      <c r="I47" s="1674">
        <f t="shared" si="4"/>
        <v>0</v>
      </c>
      <c r="J47" s="1674">
        <f t="shared" si="4"/>
        <v>0</v>
      </c>
      <c r="K47" s="1674">
        <f t="shared" si="4"/>
        <v>214269</v>
      </c>
      <c r="L47" s="1674">
        <f>SUM(L44:L46)</f>
        <v>127077</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6557</v>
      </c>
      <c r="D49" s="1586">
        <v>5325</v>
      </c>
      <c r="E49" s="1586">
        <v>24133</v>
      </c>
      <c r="F49" s="1586"/>
      <c r="G49" s="1586"/>
      <c r="H49" s="1586">
        <v>12450</v>
      </c>
      <c r="I49" s="1574"/>
      <c r="J49" s="1574"/>
      <c r="K49" s="1678">
        <f>SUM(C49:J49)</f>
        <v>48465</v>
      </c>
      <c r="L49" s="1586">
        <v>65958</v>
      </c>
    </row>
    <row r="50" spans="1:14" x14ac:dyDescent="0.2">
      <c r="A50" s="1274" t="s">
        <v>812</v>
      </c>
      <c r="B50" s="503">
        <v>2320</v>
      </c>
      <c r="C50" s="1573">
        <f>94025+34285</f>
        <v>128310</v>
      </c>
      <c r="D50" s="1573">
        <v>54900</v>
      </c>
      <c r="E50" s="1573">
        <v>1127</v>
      </c>
      <c r="F50" s="1573">
        <v>60</v>
      </c>
      <c r="G50" s="1573"/>
      <c r="H50" s="1573">
        <v>1370</v>
      </c>
      <c r="I50" s="1574"/>
      <c r="J50" s="1574"/>
      <c r="K50" s="1678">
        <f>SUM(C50:J50)</f>
        <v>185767</v>
      </c>
      <c r="L50" s="1573">
        <v>181037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134867</v>
      </c>
      <c r="D53" s="1674">
        <f t="shared" ref="D53:L53" si="5">SUM(D49:D52)</f>
        <v>60225</v>
      </c>
      <c r="E53" s="1674">
        <f t="shared" si="5"/>
        <v>25260</v>
      </c>
      <c r="F53" s="1674">
        <f t="shared" si="5"/>
        <v>60</v>
      </c>
      <c r="G53" s="1674">
        <f t="shared" si="5"/>
        <v>0</v>
      </c>
      <c r="H53" s="1674">
        <f t="shared" si="5"/>
        <v>13820</v>
      </c>
      <c r="I53" s="1674">
        <f t="shared" si="5"/>
        <v>0</v>
      </c>
      <c r="J53" s="1674">
        <f t="shared" si="5"/>
        <v>0</v>
      </c>
      <c r="K53" s="1674">
        <f t="shared" si="5"/>
        <v>234232</v>
      </c>
      <c r="L53" s="1674">
        <f t="shared" si="5"/>
        <v>246995</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f>77590+15180+31572</f>
        <v>124342</v>
      </c>
      <c r="D55" s="1586">
        <v>50337</v>
      </c>
      <c r="E55" s="1586">
        <v>1010</v>
      </c>
      <c r="F55" s="1586">
        <v>201</v>
      </c>
      <c r="G55" s="1586"/>
      <c r="H55" s="1586">
        <v>798</v>
      </c>
      <c r="I55" s="1574"/>
      <c r="J55" s="1574"/>
      <c r="K55" s="1678">
        <f>SUM(C55:J55)</f>
        <v>176688</v>
      </c>
      <c r="L55" s="1586">
        <v>178302</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124342</v>
      </c>
      <c r="D57" s="1679">
        <f t="shared" ref="D57:K57" si="6">SUM(D55:D56)</f>
        <v>50337</v>
      </c>
      <c r="E57" s="1679">
        <f t="shared" si="6"/>
        <v>1010</v>
      </c>
      <c r="F57" s="1679">
        <f t="shared" si="6"/>
        <v>201</v>
      </c>
      <c r="G57" s="1679">
        <f t="shared" si="6"/>
        <v>0</v>
      </c>
      <c r="H57" s="1679">
        <f t="shared" si="6"/>
        <v>798</v>
      </c>
      <c r="I57" s="1679">
        <f t="shared" si="6"/>
        <v>0</v>
      </c>
      <c r="J57" s="1679">
        <f t="shared" si="6"/>
        <v>0</v>
      </c>
      <c r="K57" s="1679">
        <f t="shared" si="6"/>
        <v>176688</v>
      </c>
      <c r="L57" s="1674">
        <f>SUM(L55:L56)</f>
        <v>178302</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38166</v>
      </c>
      <c r="D60" s="1573">
        <v>12036</v>
      </c>
      <c r="E60" s="1573">
        <v>150</v>
      </c>
      <c r="F60" s="1573"/>
      <c r="G60" s="1573"/>
      <c r="H60" s="1573"/>
      <c r="I60" s="1574"/>
      <c r="J60" s="1574"/>
      <c r="K60" s="1678">
        <f t="shared" si="7"/>
        <v>50352</v>
      </c>
      <c r="L60" s="1573">
        <v>50786</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84973</v>
      </c>
      <c r="D63" s="1573"/>
      <c r="E63" s="1573"/>
      <c r="F63" s="1573">
        <v>121178</v>
      </c>
      <c r="G63" s="1573"/>
      <c r="H63" s="1573">
        <v>529</v>
      </c>
      <c r="I63" s="1574"/>
      <c r="J63" s="1574"/>
      <c r="K63" s="1678">
        <f t="shared" si="7"/>
        <v>206680</v>
      </c>
      <c r="L63" s="1573">
        <v>224027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123139</v>
      </c>
      <c r="D65" s="1674">
        <f t="shared" ref="D65:L65" si="8">SUM(D59:D64)</f>
        <v>12036</v>
      </c>
      <c r="E65" s="1674">
        <f t="shared" si="8"/>
        <v>150</v>
      </c>
      <c r="F65" s="1674">
        <f t="shared" si="8"/>
        <v>121178</v>
      </c>
      <c r="G65" s="1674">
        <f t="shared" si="8"/>
        <v>0</v>
      </c>
      <c r="H65" s="1674">
        <f t="shared" si="8"/>
        <v>529</v>
      </c>
      <c r="I65" s="1674">
        <f t="shared" si="8"/>
        <v>0</v>
      </c>
      <c r="J65" s="1674">
        <f t="shared" si="8"/>
        <v>0</v>
      </c>
      <c r="K65" s="1674">
        <f t="shared" si="8"/>
        <v>257032</v>
      </c>
      <c r="L65" s="1674">
        <f t="shared" si="8"/>
        <v>274813</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691460</v>
      </c>
      <c r="D74" s="1681">
        <f t="shared" ref="D74:K74" si="10">SUM(D42,D47,D53,D57,D65,D72,D73)</f>
        <v>193037</v>
      </c>
      <c r="E74" s="1681">
        <f t="shared" si="10"/>
        <v>47098</v>
      </c>
      <c r="F74" s="1681">
        <f t="shared" si="10"/>
        <v>133545</v>
      </c>
      <c r="G74" s="1681">
        <f t="shared" si="10"/>
        <v>0</v>
      </c>
      <c r="H74" s="1681">
        <f t="shared" si="10"/>
        <v>15471</v>
      </c>
      <c r="I74" s="1681">
        <f t="shared" si="10"/>
        <v>0</v>
      </c>
      <c r="J74" s="1681">
        <f t="shared" si="10"/>
        <v>0</v>
      </c>
      <c r="K74" s="1681">
        <f t="shared" si="10"/>
        <v>1080611</v>
      </c>
      <c r="L74" s="1681">
        <f>SUM(L42,L47,L53,L57,L65,L72,L73)</f>
        <v>1041403</v>
      </c>
    </row>
    <row r="75" spans="1:14" s="254" customFormat="1" ht="15.75" customHeight="1" thickTop="1" thickBot="1" x14ac:dyDescent="0.25">
      <c r="A75" s="1348" t="s">
        <v>47</v>
      </c>
      <c r="B75" s="1349" t="s">
        <v>570</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65288</v>
      </c>
      <c r="F79" s="1673"/>
      <c r="G79" s="1673"/>
      <c r="H79" s="1573"/>
      <c r="I79" s="1582"/>
      <c r="J79" s="1582"/>
      <c r="K79" s="1672">
        <f t="shared" si="11"/>
        <v>65288</v>
      </c>
      <c r="L79" s="1573">
        <v>68000</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v>3000</v>
      </c>
    </row>
    <row r="84" spans="1:12" ht="13.5" thickBot="1" x14ac:dyDescent="0.25">
      <c r="A84" s="1380" t="s">
        <v>1467</v>
      </c>
      <c r="B84" s="1385">
        <v>4100</v>
      </c>
      <c r="C84" s="1673"/>
      <c r="D84" s="1673"/>
      <c r="E84" s="1674">
        <f>SUM(E78:E83)</f>
        <v>65288</v>
      </c>
      <c r="F84" s="1673"/>
      <c r="G84" s="1673"/>
      <c r="H84" s="1674">
        <f>SUM(H78:H83)</f>
        <v>0</v>
      </c>
      <c r="I84" s="1582"/>
      <c r="J84" s="1582"/>
      <c r="K84" s="1674">
        <f>SUM(K78:K83)</f>
        <v>65288</v>
      </c>
      <c r="L84" s="1674">
        <f>SUM(L78:L83)</f>
        <v>71000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v>43875</v>
      </c>
      <c r="I88" s="1582"/>
      <c r="J88" s="1582"/>
      <c r="K88" s="1681">
        <f t="shared" si="12"/>
        <v>43875</v>
      </c>
      <c r="L88" s="1626">
        <v>35000</v>
      </c>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v>39886</v>
      </c>
      <c r="I91" s="1582"/>
      <c r="J91" s="1582"/>
      <c r="K91" s="1681">
        <f t="shared" si="12"/>
        <v>39886</v>
      </c>
      <c r="L91" s="1626"/>
    </row>
    <row r="92" spans="1:12" ht="14.25" thickTop="1" thickBot="1" x14ac:dyDescent="0.25">
      <c r="A92" s="1386" t="s">
        <v>1542</v>
      </c>
      <c r="B92" s="1385">
        <v>4200</v>
      </c>
      <c r="C92" s="1673"/>
      <c r="D92" s="1673"/>
      <c r="E92" s="1684"/>
      <c r="F92" s="1673"/>
      <c r="G92" s="1673"/>
      <c r="H92" s="1674">
        <f>SUM(H85:H91)</f>
        <v>83761</v>
      </c>
      <c r="I92" s="1582"/>
      <c r="J92" s="1582"/>
      <c r="K92" s="1681">
        <f t="shared" si="12"/>
        <v>83761</v>
      </c>
      <c r="L92" s="1674">
        <f>SUM(L85:L91)</f>
        <v>35000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65288</v>
      </c>
      <c r="F102" s="1673"/>
      <c r="G102" s="1673"/>
      <c r="H102" s="1681">
        <f>SUM(H84,H92,H100,H101)</f>
        <v>83761</v>
      </c>
      <c r="I102" s="1582"/>
      <c r="J102" s="1582"/>
      <c r="K102" s="1681">
        <f>SUM(K84,K92,K100,K101)</f>
        <v>149049</v>
      </c>
      <c r="L102" s="1681">
        <f>SUM(L84,L92,L100,L101)</f>
        <v>106000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10000</v>
      </c>
      <c r="M113" s="502"/>
      <c r="N113" s="502"/>
    </row>
    <row r="114" spans="1:14" ht="12.75" customHeight="1" thickTop="1" thickBot="1" x14ac:dyDescent="0.25">
      <c r="A114" s="1380" t="s">
        <v>48</v>
      </c>
      <c r="B114" s="1388"/>
      <c r="C114" s="1674">
        <f>SUM(C33,C74,C75,C102,C112,C113)</f>
        <v>3114536</v>
      </c>
      <c r="D114" s="1674">
        <f t="shared" ref="D114:K114" si="13">SUM(D33,D74,D75,D102,D112,D113)</f>
        <v>894024</v>
      </c>
      <c r="E114" s="1674">
        <f t="shared" si="13"/>
        <v>243180</v>
      </c>
      <c r="F114" s="1674">
        <f t="shared" si="13"/>
        <v>288956</v>
      </c>
      <c r="G114" s="1674">
        <f t="shared" si="13"/>
        <v>0</v>
      </c>
      <c r="H114" s="1674">
        <f>SUM(H33,H74,H75,H102,H112,H113)</f>
        <v>359187</v>
      </c>
      <c r="I114" s="1674">
        <f t="shared" si="13"/>
        <v>0</v>
      </c>
      <c r="J114" s="1674">
        <f t="shared" si="13"/>
        <v>0</v>
      </c>
      <c r="K114" s="1674">
        <f t="shared" si="13"/>
        <v>4899883</v>
      </c>
      <c r="L114" s="1674">
        <f>SUM(L33,L74,L75,L102,L112,L113)</f>
        <v>4991255</v>
      </c>
    </row>
    <row r="115" spans="1:14" ht="13.5" thickTop="1" x14ac:dyDescent="0.2">
      <c r="A115" s="2261" t="s">
        <v>988</v>
      </c>
      <c r="B115" s="2262"/>
      <c r="C115" s="1675"/>
      <c r="D115" s="1675"/>
      <c r="E115" s="1675"/>
      <c r="F115" s="1675"/>
      <c r="G115" s="1675"/>
      <c r="H115" s="1675"/>
      <c r="I115" s="1675"/>
      <c r="J115" s="1675"/>
      <c r="K115" s="1689">
        <f>'Revenues 9-14'!C268-'Expenditures 15-22'!K114</f>
        <v>-620745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292</v>
      </c>
      <c r="B117" s="2267"/>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39500</v>
      </c>
    </row>
    <row r="124" spans="1:14" ht="14.25" thickTop="1" thickBot="1" x14ac:dyDescent="0.25">
      <c r="A124" s="1274" t="s">
        <v>195</v>
      </c>
      <c r="B124" s="503">
        <v>2540</v>
      </c>
      <c r="C124" s="1573">
        <v>205226</v>
      </c>
      <c r="D124" s="1573">
        <v>55344</v>
      </c>
      <c r="E124" s="1573">
        <f>35102+48211</f>
        <v>83313</v>
      </c>
      <c r="F124" s="1573">
        <v>216019</v>
      </c>
      <c r="G124" s="1573"/>
      <c r="H124" s="1573"/>
      <c r="I124" s="1574"/>
      <c r="J124" s="1574"/>
      <c r="K124" s="1674">
        <f>SUM(C124:J124)</f>
        <v>559902</v>
      </c>
      <c r="L124" s="1573">
        <v>607626</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205226</v>
      </c>
      <c r="D127" s="1674">
        <f t="shared" ref="D127:L127" si="14">SUM(D122:D126)</f>
        <v>55344</v>
      </c>
      <c r="E127" s="1674">
        <f t="shared" si="14"/>
        <v>83313</v>
      </c>
      <c r="F127" s="1674">
        <f t="shared" si="14"/>
        <v>216019</v>
      </c>
      <c r="G127" s="1674">
        <f t="shared" si="14"/>
        <v>0</v>
      </c>
      <c r="H127" s="1674">
        <f t="shared" si="14"/>
        <v>0</v>
      </c>
      <c r="I127" s="1674">
        <f t="shared" si="14"/>
        <v>0</v>
      </c>
      <c r="J127" s="1674">
        <f t="shared" si="14"/>
        <v>0</v>
      </c>
      <c r="K127" s="1674">
        <f t="shared" si="14"/>
        <v>559902</v>
      </c>
      <c r="L127" s="1674">
        <f t="shared" si="14"/>
        <v>647126</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205226</v>
      </c>
      <c r="D129" s="1681">
        <f t="shared" ref="D129:L129" si="15">SUM(D120,D127,D128)</f>
        <v>55344</v>
      </c>
      <c r="E129" s="1681">
        <f t="shared" si="15"/>
        <v>83313</v>
      </c>
      <c r="F129" s="1681">
        <f t="shared" si="15"/>
        <v>216019</v>
      </c>
      <c r="G129" s="1681">
        <f t="shared" si="15"/>
        <v>0</v>
      </c>
      <c r="H129" s="1681">
        <f t="shared" si="15"/>
        <v>0</v>
      </c>
      <c r="I129" s="1681">
        <f t="shared" si="15"/>
        <v>0</v>
      </c>
      <c r="J129" s="1681">
        <f t="shared" si="15"/>
        <v>0</v>
      </c>
      <c r="K129" s="1681">
        <f t="shared" si="15"/>
        <v>559902</v>
      </c>
      <c r="L129" s="1681">
        <f t="shared" si="15"/>
        <v>647126</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5000</v>
      </c>
    </row>
    <row r="151" spans="1:14" ht="12.75" customHeight="1" thickTop="1" thickBot="1" x14ac:dyDescent="0.25">
      <c r="A151" s="2278" t="s">
        <v>615</v>
      </c>
      <c r="B151" s="2258"/>
      <c r="C151" s="1674">
        <f>SUM(C129,C130,C139,C149,C150)</f>
        <v>205226</v>
      </c>
      <c r="D151" s="1674">
        <f t="shared" ref="D151:K151" si="16">SUM(D129,D130,D139,D149,D150)</f>
        <v>55344</v>
      </c>
      <c r="E151" s="1674">
        <f t="shared" si="16"/>
        <v>83313</v>
      </c>
      <c r="F151" s="1674">
        <f t="shared" si="16"/>
        <v>216019</v>
      </c>
      <c r="G151" s="1674">
        <f t="shared" si="16"/>
        <v>0</v>
      </c>
      <c r="H151" s="1674">
        <f t="shared" si="16"/>
        <v>0</v>
      </c>
      <c r="I151" s="1674">
        <f t="shared" si="16"/>
        <v>0</v>
      </c>
      <c r="J151" s="1674">
        <f t="shared" si="16"/>
        <v>0</v>
      </c>
      <c r="K151" s="1674">
        <f t="shared" si="16"/>
        <v>559902</v>
      </c>
      <c r="L151" s="1674">
        <f>SUM(L129,L130,L139,L149,L150)</f>
        <v>652126</v>
      </c>
    </row>
    <row r="152" spans="1:14" ht="12.75" customHeight="1" thickTop="1" x14ac:dyDescent="0.2">
      <c r="A152" s="2281" t="s">
        <v>1167</v>
      </c>
      <c r="B152" s="2282"/>
      <c r="C152" s="1675"/>
      <c r="D152" s="1675"/>
      <c r="E152" s="1675"/>
      <c r="F152" s="1675"/>
      <c r="G152" s="1675"/>
      <c r="H152" s="1675"/>
      <c r="I152" s="1675"/>
      <c r="J152" s="1673"/>
      <c r="K152" s="1689">
        <f>'Revenues 9-14'!D268-'Expenditures 15-22'!K151</f>
        <v>197180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616</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54050</v>
      </c>
      <c r="I169" s="1673"/>
      <c r="J169" s="1673"/>
      <c r="K169" s="1672">
        <f>SUM(C169:H169)</f>
        <v>54050</v>
      </c>
      <c r="L169" s="1695">
        <v>54050</v>
      </c>
    </row>
    <row r="170" spans="1:14" ht="33.75" customHeight="1" x14ac:dyDescent="0.2">
      <c r="A170" s="543" t="s">
        <v>1650</v>
      </c>
      <c r="B170" s="545" t="s">
        <v>31</v>
      </c>
      <c r="C170" s="1673"/>
      <c r="D170" s="1673"/>
      <c r="E170" s="1673"/>
      <c r="F170" s="1673"/>
      <c r="G170" s="1673"/>
      <c r="H170" s="1646">
        <v>770000</v>
      </c>
      <c r="I170" s="1673"/>
      <c r="J170" s="1673"/>
      <c r="K170" s="1672">
        <f>SUM(C170:J170)</f>
        <v>770000</v>
      </c>
      <c r="L170" s="1646">
        <v>770000</v>
      </c>
    </row>
    <row r="171" spans="1:14" ht="15.75" customHeight="1" x14ac:dyDescent="0.2">
      <c r="A171" s="507" t="s">
        <v>760</v>
      </c>
      <c r="B171" s="546" t="s">
        <v>84</v>
      </c>
      <c r="C171" s="1673"/>
      <c r="D171" s="1673"/>
      <c r="E171" s="1573"/>
      <c r="F171" s="1673"/>
      <c r="G171" s="1673"/>
      <c r="H171" s="1646">
        <v>475</v>
      </c>
      <c r="I171" s="1582"/>
      <c r="J171" s="1673"/>
      <c r="K171" s="1672">
        <f>SUM(C171:J171)</f>
        <v>475</v>
      </c>
      <c r="L171" s="1646">
        <v>475</v>
      </c>
    </row>
    <row r="172" spans="1:14" ht="12.75" customHeight="1" thickBot="1" x14ac:dyDescent="0.25">
      <c r="A172" s="1380" t="s">
        <v>632</v>
      </c>
      <c r="B172" s="1381" t="s">
        <v>488</v>
      </c>
      <c r="C172" s="1673"/>
      <c r="D172" s="1673"/>
      <c r="E172" s="1681">
        <f>SUM(E168,E169,E170,E171)</f>
        <v>0</v>
      </c>
      <c r="F172" s="1673"/>
      <c r="G172" s="1673"/>
      <c r="H172" s="1681">
        <f>SUM(H168,H169,H170,H171)</f>
        <v>824525</v>
      </c>
      <c r="I172" s="1684"/>
      <c r="J172" s="1673"/>
      <c r="K172" s="1681">
        <f>SUM(K168,K169,K170,K171)</f>
        <v>824525</v>
      </c>
      <c r="L172" s="1681">
        <f>SUM(L168,L169,L170,L171)</f>
        <v>824525</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824525</v>
      </c>
      <c r="I174" s="1684"/>
      <c r="J174" s="1673"/>
      <c r="K174" s="1681">
        <f>SUM(K160,K172,K173)</f>
        <v>824525</v>
      </c>
      <c r="L174" s="1681">
        <f>SUM(L160,L172,L173)</f>
        <v>824525</v>
      </c>
    </row>
    <row r="175" spans="1:14" ht="13.5" thickTop="1" x14ac:dyDescent="0.2">
      <c r="A175" s="2261" t="s">
        <v>988</v>
      </c>
      <c r="B175" s="2262"/>
      <c r="C175" s="1673"/>
      <c r="D175" s="1673"/>
      <c r="E175" s="1673"/>
      <c r="F175" s="1673"/>
      <c r="G175" s="1673"/>
      <c r="H175" s="1675"/>
      <c r="I175" s="1673"/>
      <c r="J175" s="1673"/>
      <c r="K175" s="1689">
        <f>'Revenues 9-14'!E268-'Expenditures 15-22'!K174</f>
        <v>-2756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110107</v>
      </c>
      <c r="D182" s="1573"/>
      <c r="E182" s="1573">
        <v>33763</v>
      </c>
      <c r="F182" s="1573">
        <v>22966</v>
      </c>
      <c r="G182" s="1573"/>
      <c r="H182" s="1573"/>
      <c r="I182" s="1574"/>
      <c r="J182" s="1574"/>
      <c r="K182" s="1672">
        <f>SUM(C182:J182)</f>
        <v>166836</v>
      </c>
      <c r="L182" s="1573">
        <v>238740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110107</v>
      </c>
      <c r="D184" s="1681">
        <f t="shared" ref="D184:J184" si="17">SUM(D180,D182,D183)</f>
        <v>0</v>
      </c>
      <c r="E184" s="1681">
        <f t="shared" si="17"/>
        <v>33763</v>
      </c>
      <c r="F184" s="1681">
        <f t="shared" si="17"/>
        <v>22966</v>
      </c>
      <c r="G184" s="1681">
        <f t="shared" si="17"/>
        <v>0</v>
      </c>
      <c r="H184" s="1681">
        <f t="shared" si="17"/>
        <v>0</v>
      </c>
      <c r="I184" s="1681">
        <f t="shared" si="17"/>
        <v>0</v>
      </c>
      <c r="J184" s="1681">
        <f t="shared" si="17"/>
        <v>0</v>
      </c>
      <c r="K184" s="1681">
        <f>SUM(K180,K182,K183)</f>
        <v>166836</v>
      </c>
      <c r="L184" s="1681">
        <f>SUM(L180, L182:L183)</f>
        <v>238740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v>56259</v>
      </c>
      <c r="I188" s="1582"/>
      <c r="J188" s="1673"/>
      <c r="K188" s="1672">
        <f t="shared" ref="K188:K193" si="18">SUM(E188,H188)</f>
        <v>56259</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56259</v>
      </c>
      <c r="I194" s="1582"/>
      <c r="J194" s="1673"/>
      <c r="K194" s="1674">
        <f>SUM(K188:K193)</f>
        <v>56259</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56259</v>
      </c>
      <c r="I196" s="1582"/>
      <c r="J196" s="1673"/>
      <c r="K196" s="1681">
        <f>SUM(K194,K195)</f>
        <v>56259</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8199</v>
      </c>
      <c r="I205" s="1673"/>
      <c r="J205" s="1673"/>
      <c r="K205" s="1696">
        <f>SUM(H205)</f>
        <v>8199</v>
      </c>
      <c r="L205" s="1630">
        <v>112430</v>
      </c>
    </row>
    <row r="206" spans="1:14" ht="30" customHeight="1" x14ac:dyDescent="0.2">
      <c r="A206" s="555" t="s">
        <v>1651</v>
      </c>
      <c r="B206" s="546" t="s">
        <v>31</v>
      </c>
      <c r="C206" s="1673"/>
      <c r="D206" s="1673"/>
      <c r="E206" s="1673"/>
      <c r="F206" s="1673"/>
      <c r="G206" s="1673"/>
      <c r="H206" s="1573">
        <v>105379</v>
      </c>
      <c r="I206" s="1673"/>
      <c r="J206" s="1673"/>
      <c r="K206" s="1672">
        <f>SUM(H206)</f>
        <v>105379</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113578</v>
      </c>
      <c r="I208" s="1673"/>
      <c r="J208" s="1673"/>
      <c r="K208" s="1681">
        <f>SUM(K204,K205,K206,K207)</f>
        <v>113578</v>
      </c>
      <c r="L208" s="1681">
        <f>SUM(L204,L205,L206,L207)</f>
        <v>112430</v>
      </c>
    </row>
    <row r="209" spans="1:14" ht="15.75" customHeight="1" thickTop="1" thickBot="1" x14ac:dyDescent="0.25">
      <c r="A209" s="1344" t="s">
        <v>866</v>
      </c>
      <c r="B209" s="1351" t="s">
        <v>855</v>
      </c>
      <c r="C209" s="1676"/>
      <c r="D209" s="1676"/>
      <c r="E209" s="1676"/>
      <c r="F209" s="1676"/>
      <c r="G209" s="1676"/>
      <c r="H209" s="1676"/>
      <c r="I209" s="1673"/>
      <c r="J209" s="1673"/>
      <c r="K209" s="1676"/>
      <c r="L209" s="1651">
        <v>5000</v>
      </c>
    </row>
    <row r="210" spans="1:14" ht="12.75" customHeight="1" thickTop="1" thickBot="1" x14ac:dyDescent="0.25">
      <c r="A210" s="1394" t="s">
        <v>274</v>
      </c>
      <c r="B210" s="1395"/>
      <c r="C210" s="1674">
        <f>SUM(C184,C185)</f>
        <v>110107</v>
      </c>
      <c r="D210" s="1674">
        <f>SUM(D184,D185)</f>
        <v>0</v>
      </c>
      <c r="E210" s="1674">
        <f>SUM(E184,E185,E196)</f>
        <v>33763</v>
      </c>
      <c r="F210" s="1674">
        <f>SUM(F184,F185)</f>
        <v>22966</v>
      </c>
      <c r="G210" s="1674">
        <f>SUM(G184,G185)</f>
        <v>0</v>
      </c>
      <c r="H210" s="1674">
        <f>SUM(H184,H185,H196,H208,H209)</f>
        <v>169837</v>
      </c>
      <c r="I210" s="1674">
        <f>SUM(I184,I185)</f>
        <v>0</v>
      </c>
      <c r="J210" s="1674">
        <f>SUM(J184,J185)</f>
        <v>0</v>
      </c>
      <c r="K210" s="1672">
        <f>SUM(K184,K185,K196,K208,K209)</f>
        <v>336673</v>
      </c>
      <c r="L210" s="1674">
        <f>SUM(L184,L185,L196,L208,L209)</f>
        <v>356170</v>
      </c>
    </row>
    <row r="211" spans="1:14" ht="13.5" thickTop="1" x14ac:dyDescent="0.2">
      <c r="A211" s="2261" t="s">
        <v>988</v>
      </c>
      <c r="B211" s="2262"/>
      <c r="C211" s="1675"/>
      <c r="D211" s="1675"/>
      <c r="E211" s="1675"/>
      <c r="F211" s="1675"/>
      <c r="G211" s="1675"/>
      <c r="H211" s="1675"/>
      <c r="I211" s="1673"/>
      <c r="J211" s="1673"/>
      <c r="K211" s="1689">
        <f>'Revenues 9-14'!F268-'Expenditures 15-22'!K210</f>
        <v>81411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958</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24663</v>
      </c>
      <c r="E215" s="1673"/>
      <c r="F215" s="1673"/>
      <c r="G215" s="1673"/>
      <c r="H215" s="1673"/>
      <c r="I215" s="1673"/>
      <c r="J215" s="1673"/>
      <c r="K215" s="1672">
        <f>D215</f>
        <v>24663</v>
      </c>
      <c r="L215" s="1573">
        <v>39619</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f>20142+17403</f>
        <v>37545</v>
      </c>
      <c r="E217" s="1673"/>
      <c r="F217" s="1673"/>
      <c r="G217" s="1673"/>
      <c r="H217" s="1673"/>
      <c r="I217" s="1673"/>
      <c r="J217" s="1673"/>
      <c r="K217" s="1672">
        <f t="shared" si="19"/>
        <v>37545</v>
      </c>
      <c r="L217" s="1573">
        <v>44847</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f>140+1722</f>
        <v>1862</v>
      </c>
      <c r="E219" s="1673"/>
      <c r="F219" s="1673"/>
      <c r="G219" s="1673"/>
      <c r="H219" s="1673"/>
      <c r="I219" s="1673"/>
      <c r="J219" s="1673"/>
      <c r="K219" s="1672">
        <f t="shared" si="19"/>
        <v>1862</v>
      </c>
      <c r="L219" s="1573">
        <v>982</v>
      </c>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f>2086+1265</f>
        <v>3351</v>
      </c>
      <c r="E222" s="1673"/>
      <c r="F222" s="1673"/>
      <c r="G222" s="1673"/>
      <c r="H222" s="1673"/>
      <c r="I222" s="1673"/>
      <c r="J222" s="1673"/>
      <c r="K222" s="1672">
        <f t="shared" si="19"/>
        <v>3351</v>
      </c>
      <c r="L222" s="1573">
        <v>3595</v>
      </c>
    </row>
    <row r="223" spans="1:14" x14ac:dyDescent="0.2">
      <c r="A223" s="1274" t="s">
        <v>956</v>
      </c>
      <c r="B223" s="503">
        <v>1500</v>
      </c>
      <c r="C223" s="1673"/>
      <c r="D223" s="1573">
        <v>9633</v>
      </c>
      <c r="E223" s="1673"/>
      <c r="F223" s="1673"/>
      <c r="G223" s="1673"/>
      <c r="H223" s="1673"/>
      <c r="I223" s="1673"/>
      <c r="J223" s="1673"/>
      <c r="K223" s="1672">
        <f t="shared" si="19"/>
        <v>9633</v>
      </c>
      <c r="L223" s="1573">
        <v>10200</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1438</v>
      </c>
      <c r="E226" s="1673"/>
      <c r="F226" s="1673"/>
      <c r="G226" s="1673"/>
      <c r="H226" s="1673"/>
      <c r="I226" s="1673"/>
      <c r="J226" s="1673"/>
      <c r="K226" s="1672">
        <f t="shared" si="19"/>
        <v>1438</v>
      </c>
      <c r="L226" s="1573">
        <v>2151</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78492</v>
      </c>
      <c r="E229" s="1673"/>
      <c r="F229" s="1673"/>
      <c r="G229" s="1673"/>
      <c r="H229" s="1673"/>
      <c r="I229" s="1673"/>
      <c r="J229" s="1673"/>
      <c r="K229" s="1674">
        <f>SUM(K215:K228)</f>
        <v>78492</v>
      </c>
      <c r="L229" s="1674">
        <f>SUM(L215:L228)</f>
        <v>101394</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f>2815+1698</f>
        <v>4513</v>
      </c>
      <c r="E232" s="1673"/>
      <c r="F232" s="1673"/>
      <c r="G232" s="1673"/>
      <c r="H232" s="1673"/>
      <c r="I232" s="1673"/>
      <c r="J232" s="1673"/>
      <c r="K232" s="1672">
        <f t="shared" ref="K232:K237" si="20">D232</f>
        <v>4513</v>
      </c>
      <c r="L232" s="1573">
        <v>4378</v>
      </c>
    </row>
    <row r="233" spans="1:12" x14ac:dyDescent="0.2">
      <c r="A233" s="1274" t="s">
        <v>1080</v>
      </c>
      <c r="B233" s="503">
        <v>2120</v>
      </c>
      <c r="C233" s="1673"/>
      <c r="D233" s="1573">
        <f>2261+2992</f>
        <v>5253</v>
      </c>
      <c r="E233" s="1673"/>
      <c r="F233" s="1673"/>
      <c r="G233" s="1673"/>
      <c r="H233" s="1673"/>
      <c r="I233" s="1673"/>
      <c r="J233" s="1673"/>
      <c r="K233" s="1672">
        <f t="shared" si="20"/>
        <v>5253</v>
      </c>
      <c r="L233" s="1573">
        <v>5223</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9766</v>
      </c>
      <c r="E238" s="1673"/>
      <c r="F238" s="1673"/>
      <c r="G238" s="1673"/>
      <c r="H238" s="1673"/>
      <c r="I238" s="1673"/>
      <c r="J238" s="1673"/>
      <c r="K238" s="1674">
        <f>SUM(K232:K237)</f>
        <v>9766</v>
      </c>
      <c r="L238" s="1674">
        <f>SUM(L232:L237)</f>
        <v>9601</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c r="E240" s="1673"/>
      <c r="F240" s="1673"/>
      <c r="G240" s="1673"/>
      <c r="H240" s="1673"/>
      <c r="I240" s="1673"/>
      <c r="J240" s="1673"/>
      <c r="K240" s="1678">
        <f>D240</f>
        <v>0</v>
      </c>
      <c r="L240" s="1586"/>
    </row>
    <row r="241" spans="1:12" x14ac:dyDescent="0.2">
      <c r="A241" s="1274" t="s">
        <v>809</v>
      </c>
      <c r="B241" s="503">
        <v>2220</v>
      </c>
      <c r="C241" s="1673"/>
      <c r="D241" s="1573">
        <f>11894+8317</f>
        <v>20211</v>
      </c>
      <c r="E241" s="1673"/>
      <c r="F241" s="1673"/>
      <c r="G241" s="1673"/>
      <c r="H241" s="1673"/>
      <c r="I241" s="1673"/>
      <c r="J241" s="1673"/>
      <c r="K241" s="1678">
        <f>D241</f>
        <v>20211</v>
      </c>
      <c r="L241" s="1573">
        <v>4764</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20211</v>
      </c>
      <c r="E243" s="1673"/>
      <c r="F243" s="1673"/>
      <c r="G243" s="1673"/>
      <c r="H243" s="1673"/>
      <c r="I243" s="1673"/>
      <c r="J243" s="1673"/>
      <c r="K243" s="1674">
        <f>SUM(K240:K242)</f>
        <v>20211</v>
      </c>
      <c r="L243" s="1674">
        <f>SUM(L240:L242)</f>
        <v>4764</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502</v>
      </c>
      <c r="E245" s="1673"/>
      <c r="F245" s="1673"/>
      <c r="G245" s="1673"/>
      <c r="H245" s="1673"/>
      <c r="I245" s="1673"/>
      <c r="J245" s="1673"/>
      <c r="K245" s="1678">
        <f>D245</f>
        <v>502</v>
      </c>
      <c r="L245" s="1586">
        <v>509</v>
      </c>
    </row>
    <row r="246" spans="1:12" x14ac:dyDescent="0.2">
      <c r="A246" s="1274" t="s">
        <v>812</v>
      </c>
      <c r="B246" s="503">
        <v>2320</v>
      </c>
      <c r="C246" s="1673"/>
      <c r="D246" s="1573">
        <f>4299+5055</f>
        <v>9354</v>
      </c>
      <c r="E246" s="1673"/>
      <c r="F246" s="1673"/>
      <c r="G246" s="1673"/>
      <c r="H246" s="1673"/>
      <c r="I246" s="1673"/>
      <c r="J246" s="1673"/>
      <c r="K246" s="1678">
        <f t="shared" ref="K246:K256" si="21">D246</f>
        <v>9354</v>
      </c>
      <c r="L246" s="1573">
        <v>9000</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9856</v>
      </c>
      <c r="E257" s="1673"/>
      <c r="F257" s="1673"/>
      <c r="G257" s="1673"/>
      <c r="H257" s="1673"/>
      <c r="I257" s="1673"/>
      <c r="J257" s="1673"/>
      <c r="K257" s="1674">
        <f>SUM(K245:K256)</f>
        <v>9856</v>
      </c>
      <c r="L257" s="1674">
        <f>SUM(L245:L256)</f>
        <v>9509</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f>1930+3160</f>
        <v>5090</v>
      </c>
      <c r="E259" s="1673"/>
      <c r="F259" s="1673"/>
      <c r="G259" s="1673"/>
      <c r="H259" s="1673"/>
      <c r="I259" s="1673"/>
      <c r="J259" s="1673"/>
      <c r="K259" s="1678">
        <f>D259</f>
        <v>5090</v>
      </c>
      <c r="L259" s="1586">
        <v>6035</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5090</v>
      </c>
      <c r="E261" s="1673"/>
      <c r="F261" s="1673"/>
      <c r="G261" s="1673"/>
      <c r="H261" s="1673"/>
      <c r="I261" s="1673"/>
      <c r="J261" s="1673"/>
      <c r="K261" s="1674">
        <f>SUM(K259:K260)</f>
        <v>5090</v>
      </c>
      <c r="L261" s="1674">
        <f>SUM(L259:L260)</f>
        <v>6035</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f>7846+4630</f>
        <v>12476</v>
      </c>
      <c r="E264" s="1673"/>
      <c r="F264" s="1673"/>
      <c r="G264" s="1673"/>
      <c r="H264" s="1673"/>
      <c r="I264" s="1673"/>
      <c r="J264" s="1673"/>
      <c r="K264" s="1678">
        <f t="shared" ref="K264:K269" si="22">D264</f>
        <v>12476</v>
      </c>
      <c r="L264" s="1573">
        <v>11858</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31945+19804</f>
        <v>51749</v>
      </c>
      <c r="E266" s="1673"/>
      <c r="F266" s="1673"/>
      <c r="G266" s="1673"/>
      <c r="H266" s="1673"/>
      <c r="I266" s="1673"/>
      <c r="J266" s="1673"/>
      <c r="K266" s="1678">
        <f t="shared" si="22"/>
        <v>51749</v>
      </c>
      <c r="L266" s="1573">
        <v>50800</v>
      </c>
    </row>
    <row r="267" spans="1:14" x14ac:dyDescent="0.2">
      <c r="A267" s="1274" t="s">
        <v>946</v>
      </c>
      <c r="B267" s="503">
        <v>2550</v>
      </c>
      <c r="C267" s="1673"/>
      <c r="D267" s="1573">
        <f>2455+8886</f>
        <v>11341</v>
      </c>
      <c r="E267" s="1673"/>
      <c r="F267" s="1673"/>
      <c r="G267" s="1673"/>
      <c r="H267" s="1673"/>
      <c r="I267" s="1673"/>
      <c r="J267" s="1673"/>
      <c r="K267" s="1678">
        <f t="shared" si="22"/>
        <v>11341</v>
      </c>
      <c r="L267" s="1573">
        <v>13300</v>
      </c>
    </row>
    <row r="268" spans="1:14" x14ac:dyDescent="0.2">
      <c r="A268" s="1274" t="s">
        <v>100</v>
      </c>
      <c r="B268" s="503">
        <v>2560</v>
      </c>
      <c r="C268" s="1673"/>
      <c r="D268" s="1573">
        <f>8176+7095+1</f>
        <v>15272</v>
      </c>
      <c r="E268" s="1673"/>
      <c r="F268" s="1673"/>
      <c r="G268" s="1673"/>
      <c r="H268" s="1673"/>
      <c r="I268" s="1673"/>
      <c r="J268" s="1673"/>
      <c r="K268" s="1678">
        <f t="shared" si="22"/>
        <v>15272</v>
      </c>
      <c r="L268" s="1573">
        <v>14400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90838</v>
      </c>
      <c r="E270" s="1673"/>
      <c r="F270" s="1673"/>
      <c r="G270" s="1673"/>
      <c r="H270" s="1673"/>
      <c r="I270" s="1673"/>
      <c r="J270" s="1673"/>
      <c r="K270" s="1674">
        <f>SUM(K263:K269)</f>
        <v>90838</v>
      </c>
      <c r="L270" s="1674">
        <f>SUM(L263:L269)</f>
        <v>90358</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135761</v>
      </c>
      <c r="E279" s="1673"/>
      <c r="F279" s="1673"/>
      <c r="G279" s="1673"/>
      <c r="H279" s="1673"/>
      <c r="I279" s="1673"/>
      <c r="J279" s="1673"/>
      <c r="K279" s="1681">
        <f>SUM(K238,K243,K257,K261,K270,K277,K278)</f>
        <v>135761</v>
      </c>
      <c r="L279" s="1681">
        <f>SUM(L238,L243,L257,L261,L270,L277,L278)</f>
        <v>120267</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v>6000</v>
      </c>
    </row>
    <row r="295" spans="1:14" ht="12.75" customHeight="1" thickTop="1" thickBot="1" x14ac:dyDescent="0.25">
      <c r="A295" s="2279" t="s">
        <v>501</v>
      </c>
      <c r="B295" s="2280"/>
      <c r="C295" s="1673"/>
      <c r="D295" s="1674">
        <f>SUM(D229,D279,D280,D285)</f>
        <v>214253</v>
      </c>
      <c r="E295" s="1673"/>
      <c r="F295" s="1673"/>
      <c r="G295" s="1673"/>
      <c r="H295" s="1674">
        <f>H293</f>
        <v>0</v>
      </c>
      <c r="I295" s="1673"/>
      <c r="J295" s="1673"/>
      <c r="K295" s="1674">
        <f>SUM(K229,K279,K280,K285,K293,K294)</f>
        <v>214253</v>
      </c>
      <c r="L295" s="1674">
        <f>SUM(L229,L279,L280,L285,L293,L294)</f>
        <v>227661</v>
      </c>
    </row>
    <row r="296" spans="1:14" ht="13.5" thickTop="1" x14ac:dyDescent="0.2">
      <c r="A296" s="2261" t="s">
        <v>988</v>
      </c>
      <c r="B296" s="2262"/>
      <c r="C296" s="1673"/>
      <c r="D296" s="1675"/>
      <c r="E296" s="1673"/>
      <c r="F296" s="1673"/>
      <c r="G296" s="1673"/>
      <c r="H296" s="1707"/>
      <c r="I296" s="1673"/>
      <c r="J296" s="1673"/>
      <c r="K296" s="1689">
        <f>'Revenues 9-14'!G268-'Expenditures 15-22'!K295</f>
        <v>57083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c r="H301" s="1573"/>
      <c r="I301" s="1574"/>
      <c r="J301" s="1574"/>
      <c r="K301" s="1672">
        <f>SUM(C301:J301)</f>
        <v>0</v>
      </c>
      <c r="L301" s="1574"/>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6" t="s">
        <v>274</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988</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891</v>
      </c>
      <c r="B317" s="2286"/>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46247</v>
      </c>
      <c r="F320" s="1574"/>
      <c r="G320" s="1574"/>
      <c r="H320" s="1574"/>
      <c r="I320" s="1574"/>
      <c r="J320" s="1574"/>
      <c r="K320" s="1672">
        <f t="shared" ref="K320:K327" si="24">SUM(C320:J320)</f>
        <v>46247</v>
      </c>
      <c r="L320" s="1574">
        <v>50000</v>
      </c>
      <c r="M320" s="539"/>
      <c r="N320" s="539"/>
    </row>
    <row r="321" spans="1:14" s="548" customFormat="1" x14ac:dyDescent="0.2">
      <c r="A321" s="1289" t="s">
        <v>296</v>
      </c>
      <c r="B321" s="567" t="s">
        <v>280</v>
      </c>
      <c r="C321" s="1574"/>
      <c r="D321" s="1574"/>
      <c r="E321" s="1574">
        <v>8595</v>
      </c>
      <c r="F321" s="1574"/>
      <c r="G321" s="1574"/>
      <c r="H321" s="1574"/>
      <c r="I321" s="1574"/>
      <c r="J321" s="1574"/>
      <c r="K321" s="1672">
        <f t="shared" si="24"/>
        <v>8595</v>
      </c>
      <c r="L321" s="1574">
        <v>5000</v>
      </c>
      <c r="M321" s="539"/>
      <c r="N321" s="539"/>
    </row>
    <row r="322" spans="1:14" s="548" customFormat="1" x14ac:dyDescent="0.2">
      <c r="A322" s="1289" t="s">
        <v>236</v>
      </c>
      <c r="B322" s="567" t="s">
        <v>281</v>
      </c>
      <c r="C322" s="1574"/>
      <c r="D322" s="1574"/>
      <c r="E322" s="1574"/>
      <c r="F322" s="1574"/>
      <c r="G322" s="1574"/>
      <c r="H322" s="1574"/>
      <c r="I322" s="1574"/>
      <c r="J322" s="1574"/>
      <c r="K322" s="1672">
        <f t="shared" si="24"/>
        <v>0</v>
      </c>
      <c r="L322" s="1574">
        <v>60000</v>
      </c>
      <c r="M322" s="539"/>
      <c r="N322" s="539"/>
    </row>
    <row r="323" spans="1:14" s="548" customFormat="1" x14ac:dyDescent="0.2">
      <c r="A323" s="1289" t="s">
        <v>696</v>
      </c>
      <c r="B323" s="567" t="s">
        <v>282</v>
      </c>
      <c r="C323" s="1574"/>
      <c r="D323" s="1574"/>
      <c r="E323" s="1574">
        <v>15557</v>
      </c>
      <c r="F323" s="1574"/>
      <c r="G323" s="1574"/>
      <c r="H323" s="1574"/>
      <c r="I323" s="1574"/>
      <c r="J323" s="1574"/>
      <c r="K323" s="1672">
        <f t="shared" si="24"/>
        <v>15557</v>
      </c>
      <c r="L323" s="1574">
        <v>22578</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f>360239+53654</f>
        <v>413893</v>
      </c>
      <c r="D325" s="1574"/>
      <c r="E325" s="1574">
        <v>1404</v>
      </c>
      <c r="F325" s="1574"/>
      <c r="G325" s="1574"/>
      <c r="H325" s="1574"/>
      <c r="I325" s="1574"/>
      <c r="J325" s="1574"/>
      <c r="K325" s="1672">
        <f t="shared" si="24"/>
        <v>415297</v>
      </c>
      <c r="L325" s="1574">
        <v>459657</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6034</v>
      </c>
      <c r="F327" s="1574"/>
      <c r="G327" s="1574"/>
      <c r="H327" s="1574"/>
      <c r="I327" s="1574"/>
      <c r="J327" s="1574"/>
      <c r="K327" s="1672">
        <f t="shared" si="24"/>
        <v>6034</v>
      </c>
      <c r="L327" s="1574">
        <v>10000</v>
      </c>
      <c r="M327" s="539"/>
      <c r="N327" s="539"/>
    </row>
    <row r="328" spans="1:14" s="548" customFormat="1" x14ac:dyDescent="0.2">
      <c r="A328" s="1290" t="s">
        <v>468</v>
      </c>
      <c r="B328" s="562" t="s">
        <v>1121</v>
      </c>
      <c r="C328" s="1579"/>
      <c r="D328" s="1579"/>
      <c r="E328" s="1579">
        <v>52759</v>
      </c>
      <c r="F328" s="1579"/>
      <c r="G328" s="1579"/>
      <c r="H328" s="1579"/>
      <c r="I328" s="1579"/>
      <c r="J328" s="1579"/>
      <c r="K328" s="1713">
        <f>SUM(C328:J328)</f>
        <v>52759</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413893</v>
      </c>
      <c r="D330" s="1674">
        <f t="shared" ref="D330:J330" si="25">SUM(D319:D329)</f>
        <v>0</v>
      </c>
      <c r="E330" s="1674">
        <f t="shared" si="25"/>
        <v>130596</v>
      </c>
      <c r="F330" s="1674">
        <f t="shared" si="25"/>
        <v>0</v>
      </c>
      <c r="G330" s="1674">
        <f t="shared" si="25"/>
        <v>0</v>
      </c>
      <c r="H330" s="1674">
        <f t="shared" si="25"/>
        <v>0</v>
      </c>
      <c r="I330" s="1674">
        <f t="shared" si="25"/>
        <v>0</v>
      </c>
      <c r="J330" s="1674">
        <f t="shared" si="25"/>
        <v>0</v>
      </c>
      <c r="K330" s="1674">
        <f>SUM(K319:K329)</f>
        <v>544489</v>
      </c>
      <c r="L330" s="1674">
        <f>SUM(L319:L329)</f>
        <v>607235</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413893</v>
      </c>
      <c r="D342" s="1674">
        <f>SUM(D330)</f>
        <v>0</v>
      </c>
      <c r="E342" s="1674">
        <f>SUM(E330)</f>
        <v>130596</v>
      </c>
      <c r="F342" s="1674">
        <f>SUM(F330)</f>
        <v>0</v>
      </c>
      <c r="G342" s="1674">
        <f>SUM(G330)</f>
        <v>0</v>
      </c>
      <c r="H342" s="1674">
        <f>SUM(H330,H334,H340)</f>
        <v>0</v>
      </c>
      <c r="I342" s="1674">
        <f>SUM(I330)</f>
        <v>0</v>
      </c>
      <c r="J342" s="1674">
        <f>SUM(J330)</f>
        <v>0</v>
      </c>
      <c r="K342" s="1674">
        <f>SUM(K330,K334,K340)</f>
        <v>544489</v>
      </c>
      <c r="L342" s="1681">
        <f>SUM(L330,L334,L340,L341)</f>
        <v>607235</v>
      </c>
    </row>
    <row r="343" spans="1:14" ht="12.75" customHeight="1" thickTop="1" x14ac:dyDescent="0.2">
      <c r="A343" s="2274" t="s">
        <v>988</v>
      </c>
      <c r="B343" s="2275"/>
      <c r="C343" s="1673"/>
      <c r="D343" s="1673"/>
      <c r="E343" s="1673"/>
      <c r="F343" s="1673"/>
      <c r="G343" s="1673"/>
      <c r="H343" s="1673"/>
      <c r="I343" s="1673"/>
      <c r="J343" s="1673"/>
      <c r="K343" s="1689">
        <f>'Revenues 9-14'!J268-'Expenditures 15-22'!K342</f>
        <v>60386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959</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126372</v>
      </c>
    </row>
    <row r="349" spans="1:14" x14ac:dyDescent="0.2">
      <c r="A349" s="1274" t="s">
        <v>195</v>
      </c>
      <c r="B349" s="503">
        <v>2540</v>
      </c>
      <c r="C349" s="1573"/>
      <c r="D349" s="1573"/>
      <c r="E349" s="1573">
        <v>30352</v>
      </c>
      <c r="F349" s="1573"/>
      <c r="G349" s="1573">
        <v>36020</v>
      </c>
      <c r="H349" s="1573"/>
      <c r="I349" s="1574"/>
      <c r="J349" s="1574"/>
      <c r="K349" s="1672">
        <f>SUM(C349:J349)</f>
        <v>66372</v>
      </c>
      <c r="L349" s="1573"/>
    </row>
    <row r="350" spans="1:14" ht="12.75" customHeight="1" thickBot="1" x14ac:dyDescent="0.25">
      <c r="A350" s="1380" t="s">
        <v>713</v>
      </c>
      <c r="B350" s="1381" t="s">
        <v>35</v>
      </c>
      <c r="C350" s="1674">
        <f>SUM(C348:C349)</f>
        <v>0</v>
      </c>
      <c r="D350" s="1674">
        <f t="shared" ref="D350:L350" si="26">SUM(D348:D349)</f>
        <v>0</v>
      </c>
      <c r="E350" s="1674">
        <f t="shared" si="26"/>
        <v>30352</v>
      </c>
      <c r="F350" s="1674">
        <f t="shared" si="26"/>
        <v>0</v>
      </c>
      <c r="G350" s="1674">
        <f t="shared" si="26"/>
        <v>36020</v>
      </c>
      <c r="H350" s="1674">
        <f t="shared" si="26"/>
        <v>0</v>
      </c>
      <c r="I350" s="1674">
        <f t="shared" si="26"/>
        <v>0</v>
      </c>
      <c r="J350" s="1674">
        <f t="shared" si="26"/>
        <v>0</v>
      </c>
      <c r="K350" s="1674">
        <f t="shared" si="26"/>
        <v>66372</v>
      </c>
      <c r="L350" s="1674">
        <f t="shared" si="26"/>
        <v>126372</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30352</v>
      </c>
      <c r="F352" s="1674">
        <f t="shared" si="27"/>
        <v>0</v>
      </c>
      <c r="G352" s="1674">
        <f t="shared" si="27"/>
        <v>36020</v>
      </c>
      <c r="H352" s="1674">
        <f t="shared" si="27"/>
        <v>0</v>
      </c>
      <c r="I352" s="1674">
        <f t="shared" si="27"/>
        <v>0</v>
      </c>
      <c r="J352" s="1674">
        <f t="shared" si="27"/>
        <v>0</v>
      </c>
      <c r="K352" s="1674">
        <f t="shared" si="27"/>
        <v>66372</v>
      </c>
      <c r="L352" s="1674">
        <f t="shared" si="27"/>
        <v>126372</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30352</v>
      </c>
      <c r="F367" s="1674">
        <f t="shared" si="28"/>
        <v>0</v>
      </c>
      <c r="G367" s="1674">
        <f t="shared" si="28"/>
        <v>36020</v>
      </c>
      <c r="H367" s="1674">
        <f t="shared" si="28"/>
        <v>0</v>
      </c>
      <c r="I367" s="1674">
        <f t="shared" si="28"/>
        <v>0</v>
      </c>
      <c r="J367" s="1674">
        <f t="shared" si="28"/>
        <v>0</v>
      </c>
      <c r="K367" s="1674">
        <f t="shared" si="28"/>
        <v>66372</v>
      </c>
      <c r="L367" s="1674">
        <f t="shared" si="28"/>
        <v>126372</v>
      </c>
    </row>
    <row r="368" spans="1:14" ht="13.5" thickTop="1" x14ac:dyDescent="0.2">
      <c r="A368" s="2261" t="s">
        <v>988</v>
      </c>
      <c r="B368" s="2262"/>
      <c r="C368" s="1694"/>
      <c r="D368" s="1694"/>
      <c r="E368" s="1677"/>
      <c r="F368" s="1677"/>
      <c r="G368" s="1677"/>
      <c r="H368" s="1677"/>
      <c r="I368" s="1677"/>
      <c r="J368" s="1676"/>
      <c r="K368" s="1672">
        <f>'Revenues 9-14'!K268-'Expenditures 15-22'!K367</f>
        <v>74135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purl.org/dc/terms/"/>
    <ds:schemaRef ds:uri="http://www.w3.org/XML/1998/namespace"/>
    <ds:schemaRef ds:uri="http://purl.org/dc/elements/1.1/"/>
    <ds:schemaRef ds:uri="http://schemas.microsoft.com/office/infopath/2007/PartnerControls"/>
    <ds:schemaRef ds:uri="http://schemas.microsoft.com/sharepoint/v3"/>
    <ds:schemaRef ds:uri="http://schemas.microsoft.com/office/2006/documentManagement/types"/>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2020-08-21T17:54:58Z</cp:lastPrinted>
  <dcterms:created xsi:type="dcterms:W3CDTF">2003-10-29T19:06:34Z</dcterms:created>
  <dcterms:modified xsi:type="dcterms:W3CDTF">2020-10-05T13:22:24Z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