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66AA2A0-C625-44D0-AC55-9F69B92B0E0F}" xr6:coauthVersionLast="36" xr6:coauthVersionMax="36" xr10:uidLastSave="{00000000-0000-0000-0000-000000000000}"/>
  <bookViews>
    <workbookView xWindow="4755" yWindow="0" windowWidth="19500" windowHeight="1662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63" i="184" l="1"/>
  <c r="C9" i="4" l="1"/>
  <c r="G5" i="5" l="1"/>
  <c r="G8" i="5"/>
  <c r="L4" i="3"/>
  <c r="M19" i="3"/>
  <c r="I5" i="5"/>
  <c r="G65" i="5"/>
  <c r="G14" i="5"/>
  <c r="G4" i="3"/>
  <c r="E4" i="3"/>
  <c r="D4" i="3"/>
  <c r="C39" i="3"/>
  <c r="C27"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E27" i="108"/>
  <c r="G27" i="108"/>
  <c r="F31" i="108"/>
  <c r="G28"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L22" i="37"/>
  <c r="D24" i="37"/>
  <c r="B4270" i="106" s="1"/>
  <c r="D4270" i="106" s="1"/>
  <c r="F64" i="34" l="1"/>
  <c r="H28" i="118"/>
  <c r="F36" i="34"/>
  <c r="B7828" i="106" s="1"/>
  <c r="D7828" i="106" s="1"/>
  <c r="G30" i="108"/>
  <c r="G39" i="108"/>
  <c r="F36" i="108"/>
  <c r="D36" i="108"/>
  <c r="B2836" i="106"/>
  <c r="D2836" i="106" s="1"/>
  <c r="I210" i="29"/>
  <c r="B7071" i="106" s="1"/>
  <c r="D7071" i="106" s="1"/>
  <c r="D68" i="36"/>
  <c r="H342" i="29"/>
  <c r="F37" i="34"/>
  <c r="B7829" i="106" s="1"/>
  <c r="D7829" i="106" s="1"/>
  <c r="G26" i="108"/>
  <c r="J210" i="29"/>
  <c r="B7072" i="106" s="1"/>
  <c r="D7072" i="106" s="1"/>
  <c r="C129" i="29"/>
  <c r="H365" i="29"/>
  <c r="B7242" i="106" s="1"/>
  <c r="D7242" i="106" s="1"/>
  <c r="H33" i="118"/>
  <c r="B7696" i="106"/>
  <c r="D7696" i="106" s="1"/>
  <c r="E66" i="184"/>
  <c r="N66" i="184" s="1"/>
  <c r="B7171" i="106"/>
  <c r="D7171" i="106" s="1"/>
  <c r="E62" i="184"/>
  <c r="N62" i="184" s="1"/>
  <c r="B7198" i="106"/>
  <c r="D7198" i="106" s="1"/>
  <c r="E65" i="184"/>
  <c r="N65" i="184" s="1"/>
  <c r="B7162" i="106"/>
  <c r="D7162" i="106" s="1"/>
  <c r="E61" i="184"/>
  <c r="N61" i="184" s="1"/>
  <c r="H15" i="184"/>
  <c r="B7126" i="106"/>
  <c r="D7126" i="106" s="1"/>
  <c r="E57" i="184"/>
  <c r="F34" i="34"/>
  <c r="B7826" i="106" s="1"/>
  <c r="D7826" i="106" s="1"/>
  <c r="B7189" i="106"/>
  <c r="D7189" i="106" s="1"/>
  <c r="E64" i="184"/>
  <c r="N64" i="184" s="1"/>
  <c r="B7153" i="106"/>
  <c r="D7153" i="106" s="1"/>
  <c r="E60" i="184"/>
  <c r="N60" i="184" s="1"/>
  <c r="B6289" i="106"/>
  <c r="D6289" i="106" s="1"/>
  <c r="C352" i="29"/>
  <c r="H76" i="4"/>
  <c r="B3298" i="106" s="1"/>
  <c r="D3298" i="106" s="1"/>
  <c r="B1274" i="106"/>
  <c r="D1274" i="106" s="1"/>
  <c r="D31" i="108"/>
  <c r="E16" i="184"/>
  <c r="H16" i="184" s="1"/>
  <c r="B7135" i="106"/>
  <c r="D7135" i="106" s="1"/>
  <c r="E58" i="184"/>
  <c r="N58" i="184" s="1"/>
  <c r="H12" i="184"/>
  <c r="C342" i="29"/>
  <c r="B7216" i="106" s="1"/>
  <c r="D7216" i="106" s="1"/>
  <c r="B7705" i="106"/>
  <c r="D7705" i="106" s="1"/>
  <c r="E67" i="184"/>
  <c r="N67" i="184" s="1"/>
  <c r="B7180" i="106"/>
  <c r="D7180" i="106" s="1"/>
  <c r="E63" i="184"/>
  <c r="N63" i="184"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35" i="106" l="1"/>
  <c r="D7235" i="106" s="1"/>
  <c r="H77" i="4"/>
  <c r="B3299" i="106" s="1"/>
  <c r="D3299" i="106" s="1"/>
  <c r="B1266" i="106"/>
  <c r="D1266" i="106" s="1"/>
  <c r="J16" i="4"/>
  <c r="B6226" i="106" s="1"/>
  <c r="D6226" i="106" s="1"/>
  <c r="N23" i="3"/>
  <c r="B284" i="106" s="1"/>
  <c r="D284" i="106" s="1"/>
  <c r="L16" i="11"/>
  <c r="B2061" i="106" s="1"/>
  <c r="D2061" i="106" s="1"/>
  <c r="B6216" i="106"/>
  <c r="D6216" i="106" s="1"/>
  <c r="D44" i="36"/>
  <c r="B1381" i="106"/>
  <c r="D1381" i="106" s="1"/>
  <c r="L114" i="29"/>
  <c r="H19" i="184"/>
  <c r="L20" i="184" s="1"/>
  <c r="F41" i="108"/>
  <c r="G43" i="108" s="1"/>
  <c r="B5527" i="106"/>
  <c r="D5527" i="106" s="1"/>
  <c r="K342" i="29"/>
  <c r="F13" i="34" s="1"/>
  <c r="G170" i="5"/>
  <c r="B5778" i="106" s="1"/>
  <c r="D5778" i="106" s="1"/>
  <c r="N57" i="184"/>
  <c r="N68" i="184" s="1"/>
  <c r="E68" i="184"/>
  <c r="E19" i="184"/>
  <c r="E367" i="29"/>
  <c r="B3636" i="106" s="1"/>
  <c r="D3636" i="106" s="1"/>
  <c r="B3635" i="106"/>
  <c r="D3635" i="106" s="1"/>
  <c r="B1328" i="106"/>
  <c r="D1328" i="106" s="1"/>
  <c r="B7220" i="106"/>
  <c r="D7220" i="106" s="1"/>
  <c r="F75" i="34"/>
  <c r="B7886" i="106" s="1"/>
  <c r="D7886" i="106" s="1"/>
  <c r="B7222" i="106"/>
  <c r="D7222" i="106" s="1"/>
  <c r="F76" i="34"/>
  <c r="B7887" i="106" s="1"/>
  <c r="D7887"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G6" i="4"/>
  <c r="B2604" i="106" s="1"/>
  <c r="D260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F77" i="34"/>
  <c r="B6223" i="106"/>
  <c r="D6223" i="106" s="1"/>
  <c r="J20" i="4"/>
  <c r="B6230" i="106" s="1"/>
  <c r="D6230" i="106" s="1"/>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<sst xmlns="http://schemas.openxmlformats.org/spreadsheetml/2006/main" count="5172" uniqueCount="2102">
  <si>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</si>
  <si>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</si>
  <si>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</si>
  <si>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</si>
  <si>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</si>
  <si>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</si>
  <si>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</si>
  <si>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</si>
  <si>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</si>
  <si>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</si>
  <si>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</si>
  <si>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</si>
  <si>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</si>
  <si>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</si>
  <si>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</si>
  <si>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</si>
  <si>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</si>
  <si>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</si>
  <si>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</si>
  <si>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</si>
  <si>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</si>
  <si>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</si>
  <si>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</si>
  <si>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</si>
  <si>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</si>
  <si>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</si>
  <si>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</si>
  <si>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</si>
  <si>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</si>
  <si>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</si>
  <si>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</si>
  <si>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</si>
  <si>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</si>
  <si>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</si>
  <si>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</si>
  <si>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</si>
  <si>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</si>
  <si>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</si>
  <si>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</si>
  <si>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</si>
  <si>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</si>
  <si>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</si>
  <si>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</si>
  <si>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</si>
  <si>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</si>
  <si>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</si>
  <si>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</si>
  <si>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</si>
  <si>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</si>
  <si>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</si>
  <si>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</si>
  <si>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</si>
  <si>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</si>
  <si>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</si>
  <si>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</si>
  <si>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</si>
  <si>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</si>
  <si>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</si>
  <si>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</si>
  <si>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</si>
  <si>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</si>
  <si>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</si>
  <si>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</si>
  <si>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</si>
  <si>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</si>
  <si>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</si>
  <si>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</si>
  <si>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</si>
  <si>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</si>
  <si>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</si>
  <si>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</si>
  <si>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</si>
  <si>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</si>
  <si>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</si>
  <si>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</si>
  <si>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</si>
  <si>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</si>
  <si>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</si>
  <si>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</si>
  <si>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</si>
  <si>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</si>
  <si>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</si>
  <si>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</si>
  <si>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</si>
  <si>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</si>
  <si>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</si>
  <si>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</si>
  <si>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</si>
  <si>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</si>
  <si>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</si>
  <si>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</si>
  <si>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</si>
  <si>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</si>
  <si>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</si>
  <si>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</si>
  <si>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</si>
  <si>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</si>
  <si>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</si>
  <si>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</si>
  <si>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</si>
  <si>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</si>
  <si>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</si>
  <si>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</si>
  <si>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</si>
  <si>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</si>
  <si>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</si>
  <si>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</si>
  <si>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</si>
  <si>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</si>
  <si>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</si>
  <si>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</si>
  <si>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</si>
  <si>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</si>
  <si>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</si>
  <si>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</si>
  <si>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</si>
  <si>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</si>
  <si>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</si>
  <si>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</si>
  <si>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</si>
  <si>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</si>
  <si>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</si>
  <si>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</si>
  <si>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</si>
  <si>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</si>
  <si>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</si>
  <si>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</si>
  <si>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</si>
  <si>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</si>
  <si>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</si>
  <si>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</si>
  <si>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</si>
  <si>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</si>
  <si>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</si>
  <si>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</si>
  <si>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</si>
  <si>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</si>
  <si>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</si>
  <si>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</si>
  <si>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</si>
  <si>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</si>
  <si>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</si>
  <si>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</si>
  <si>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</si>
  <si>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</si>
  <si>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</si>
  <si>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</si>
  <si>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</si>
  <si>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</si>
  <si>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</si>
  <si>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</si>
  <si>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</si>
  <si>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</si>
  <si>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</si>
  <si>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</si>
  <si>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</si>
  <si>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</si>
  <si>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</si>
  <si>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</si>
  <si>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</si>
  <si>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</si>
  <si>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</si>
  <si>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</si>
  <si>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</si>
  <si>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</si>
  <si>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</si>
  <si>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</si>
  <si>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</si>
  <si>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</si>
  <si>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</si>
  <si>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</si>
  <si>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</si>
  <si>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</si>
  <si>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</si>
  <si>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</si>
  <si>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</si>
  <si>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</si>
  <si>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</si>
  <si>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</si>
  <si>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</si>
  <si>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</si>
  <si>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</si>
  <si>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</si>
  <si>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</si>
  <si>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</si>
  <si>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</si>
  <si>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</si>
  <si>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</si>
  <si>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</si>
  <si>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</si>
  <si>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</si>
  <si>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</si>
  <si>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</si>
  <si>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</si>
  <si>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</si>
  <si>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</si>
  <si>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</si>
  <si>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</si>
  <si>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</si>
  <si>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</si>
  <si>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</si>
  <si>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</si>
  <si>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</si>
  <si>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</si>
  <si>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</si>
  <si>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</si>
  <si>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</si>
  <si>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</si>
  <si>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</si>
  <si>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</si>
  <si>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</si>
  <si>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</si>
  <si>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</si>
  <si>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</si>
  <si>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</si>
  <si>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</si>
  <si>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</si>
  <si>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</si>
  <si>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</si>
  <si>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</si>
  <si>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</si>
  <si>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</si>
  <si>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</si>
  <si>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</si>
  <si>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</si>
  <si>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</si>
  <si>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</si>
  <si>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</si>
  <si>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</si>
  <si>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</si>
  <si>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</si>
  <si>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</si>
  <si>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</si>
  <si>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</si>
  <si>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</si>
  <si>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</si>
  <si>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</si>
  <si>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</si>
  <si>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</si>
  <si>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</si>
  <si>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</si>
  <si>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</si>
  <si>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</si>
  <si>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</si>
  <si>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</si>
  <si>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</si>
  <si>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</si>
  <si>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</si>
  <si>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</si>
  <si>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</si>
  <si>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</si>
  <si>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</si>
  <si>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</si>
  <si>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</si>
  <si>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</si>
  <si>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</si>
  <si>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</si>
  <si>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</si>
  <si>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</si>
  <si>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</si>
  <si>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</si>
  <si>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</si>
  <si>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</si>
  <si>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</si>
  <si>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</si>
  <si>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</si>
  <si>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</si>
  <si>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</si>
  <si>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</si>
  <si>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</si>
  <si>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</si>
  <si>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</si>
  <si>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</si>
  <si>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</si>
  <si>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</si>
  <si>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</si>
  <si>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</si>
  <si>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</si>
  <si>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</si>
  <si>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</si>
  <si>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</si>
  <si>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</si>
  <si>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</si>
  <si>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</si>
  <si>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</si>
  <si>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</si>
  <si>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</si>
  <si>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</si>
  <si>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</si>
  <si>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</si>
  <si>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</si>
  <si>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</si>
  <si>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</si>
  <si>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</si>
  <si>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</si>
  <si>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</si>
  <si>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</si>
  <si>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</si>
  <si>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</si>
  <si>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</si>
  <si>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</si>
  <si>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</si>
  <si>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</si>
  <si>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</si>
  <si>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</si>
  <si>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</si>
  <si>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</si>
  <si>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</si>
  <si>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</si>
  <si>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</si>
  <si>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</si>
  <si>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</si>
  <si>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</si>
  <si>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</si>
  <si>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</si>
  <si>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</si>
  <si>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</si>
  <si>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</si>
  <si>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</si>
  <si>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</si>
  <si>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</si>
  <si>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</si>
  <si>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</si>
  <si>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</si>
  <si>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</si>
  <si>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</si>
  <si>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</si>
  <si>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</si>
  <si>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</si>
  <si>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</si>
  <si>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</si>
  <si>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</si>
  <si>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</si>
  <si>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</si>
  <si>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</si>
  <si>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</si>
  <si>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</si>
  <si>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</si>
  <si>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</si>
  <si>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</si>
  <si>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</si>
  <si>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</si>
  <si>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</si>
  <si>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</si>
  <si>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</si>
  <si>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</si>
  <si>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</si>
  <si>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</si>
  <si>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</si>
  <si>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</si>
  <si>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</si>
  <si>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</si>
  <si>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</si>
  <si>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</si>
  <si>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</si>
  <si>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</si>
  <si>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</si>
  <si>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</si>
  <si>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</si>
  <si>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</si>
  <si>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</si>
  <si>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</si>
  <si>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</si>
  <si>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</si>
  <si>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</si>
  <si>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</si>
  <si>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</si>
  <si>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</si>
  <si>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</si>
  <si>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</si>
  <si>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</si>
  <si>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</si>
  <si>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</si>
  <si>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</si>
  <si>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</si>
  <si>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</si>
  <si>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</si>
  <si>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</si>
  <si>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</si>
  <si>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</si>
  <si>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</si>
  <si>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</si>
  <si>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</si>
  <si>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</si>
  <si>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</si>
  <si>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</si>
  <si>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</si>
  <si>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</si>
  <si>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</si>
  <si>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</si>
  <si>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</si>
  <si>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</si>
  <si>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</si>
  <si>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</si>
  <si>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</si>
  <si>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</si>
  <si>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</si>
  <si>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</si>
  <si>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</si>
  <si>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</si>
  <si>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</si>
  <si>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</si>
  <si>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</si>
  <si>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</si>
  <si>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</si>
  <si>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</si>
  <si>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</si>
  <si>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</si>
  <si>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</si>
  <si>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</si>
  <si>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</si>
  <si>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</si>
  <si>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</si>
  <si>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</si>
  <si>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</si>
  <si>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</si>
  <si>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</si>
  <si>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</si>
  <si>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</si>
  <si>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</si>
  <si>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</si>
  <si>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</si>
  <si>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</si>
  <si>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</si>
  <si>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</si>
  <si>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</si>
  <si>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</si>
  <si>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</si>
  <si>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</si>
  <si>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</si>
  <si>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</si>
  <si>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</si>
  <si>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</si>
  <si>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</si>
  <si>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</si>
  <si>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</si>
  <si>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</si>
  <si>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</si>
  <si>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</si>
  <si>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</si>
  <si>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</si>
  <si>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</si>
  <si>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</si>
  <si>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</si>
  <si>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</si>
  <si>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</si>
  <si>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</si>
  <si>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</si>
  <si>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</si>
  <si>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</si>
  <si>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</si>
  <si>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</si>
  <si>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</si>
  <si>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</si>
  <si>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</si>
  <si>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</si>
  <si>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</si>
  <si>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</si>
  <si>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</si>
  <si>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</si>
  <si>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</si>
  <si>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</si>
  <si>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</si>
  <si>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</si>
  <si>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</si>
  <si>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</si>
  <si>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</si>
  <si>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</si>
  <si>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</si>
  <si>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</si>
  <si>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</si>
  <si>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</si>
  <si>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</si>
  <si>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</si>
  <si>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</si>
  <si>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</si>
  <si>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</si>
  <si>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</si>
  <si>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</si>
  <si>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</si>
  <si>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</si>
  <si>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</si>
  <si>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</si>
  <si>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</si>
  <si>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</si>
  <si>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</si>
  <si>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</si>
  <si>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</si>
  <si>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</si>
  <si>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</si>
  <si>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</si>
  <si>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</si>
  <si>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</si>
  <si>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</si>
  <si>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</si>
  <si>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</si>
  <si>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</si>
  <si>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</si>
  <si>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</si>
  <si>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</si>
  <si>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</si>
  <si>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</si>
  <si>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</si>
  <si>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</si>
  <si>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</si>
  <si>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</si>
  <si>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</si>
  <si>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</si>
  <si>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</si>
  <si>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</si>
  <si>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</si>
  <si>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</si>
  <si>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</si>
  <si>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</si>
  <si>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</si>
  <si>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</si>
  <si>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</si>
  <si>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</si>
  <si>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</si>
  <si>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</si>
  <si>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</si>
  <si>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</si>
  <si>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</si>
  <si>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</si>
  <si>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</si>
  <si>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</si>
  <si>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</si>
  <si>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</si>
  <si>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</si>
  <si>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</si>
  <si>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</si>
  <si>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</si>
  <si>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</si>
  <si>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</si>
  <si>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</si>
  <si>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</si>
  <si>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</si>
  <si>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</si>
  <si>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</si>
  <si>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</si>
  <si>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</si>
  <si>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</si>
  <si>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</si>
  <si>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</si>
  <si>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</si>
  <si>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</si>
  <si>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</si>
  <si>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</si>
  <si>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</si>
  <si>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</si>
  <si>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</si>
  <si>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</si>
  <si>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</si>
  <si>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</si>
  <si>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</si>
  <si>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</si>
  <si>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</si>
  <si>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</si>
  <si>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</si>
  <si>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</si>
  <si>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</si>
  <si>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</si>
  <si>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</si>
  <si>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</si>
  <si>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</si>
  <si>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</si>
  <si>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</si>
  <si>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</si>
  <si>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</si>
  <si>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</si>
  <si>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</si>
  <si>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</si>
  <si>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</si>
  <si>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</si>
  <si>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</si>
  <si>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</si>
  <si>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</si>
  <si>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</si>
  <si>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</si>
  <si>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</si>
  <si>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</si>
  <si>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</si>
  <si>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</si>
  <si>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</si>
  <si>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</si>
  <si>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</si>
  <si>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</si>
  <si>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</si>
  <si>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</si>
  <si>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</si>
  <si>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</si>
  <si>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</si>
  <si>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</si>
  <si>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</si>
  <si>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</si>
  <si>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</si>
  <si>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</si>
  <si>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</si>
  <si>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</si>
  <si>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</si>
  <si>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</si>
  <si>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</si>
  <si>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</si>
  <si>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</si>
  <si>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</si>
  <si>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</si>
  <si>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</si>
  <si>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</si>
  <si>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</si>
  <si>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</si>
  <si>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</si>
  <si>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</si>
  <si>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</si>
  <si>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</si>
  <si>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</si>
  <si>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</si>
  <si>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</si>
  <si>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</si>
  <si>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</si>
  <si>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</si>
  <si>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</si>
  <si>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</si>
  <si>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</si>
  <si>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</si>
  <si>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</si>
  <si>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</si>
  <si>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</si>
  <si>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</si>
  <si>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</si>
  <si>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</si>
  <si>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</si>
  <si>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</si>
  <si>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</si>
  <si>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</si>
  <si>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</si>
  <si>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</si>
  <si>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</si>
  <si>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</si>
  <si>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</si>
  <si>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</si>
  <si>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</si>
  <si>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</si>
  <si>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</si>
  <si>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</si>
  <si>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</si>
  <si>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</si>
  <si>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</si>
  <si>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</si>
  <si>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</si>
  <si>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</si>
  <si>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</si>
  <si>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</si>
  <si>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</si>
  <si>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</si>
  <si>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</si>
  <si>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</si>
  <si>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</si>
  <si>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</si>
  <si>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</si>
  <si>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</si>
  <si>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</si>
  <si>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</si>
  <si>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</si>
  <si>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</si>
  <si>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</si>
  <si>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</si>
  <si>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</si>
  <si>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</si>
  <si>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</si>
  <si>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</si>
  <si>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</si>
  <si>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</si>
  <si>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</si>
  <si>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</si>
  <si>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</si>
  <si>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</si>
  <si>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</si>
  <si>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</si>
  <si>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</si>
  <si>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</si>
  <si>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</si>
  <si>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</si>
  <si>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</si>
  <si>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</si>
  <si>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</si>
  <si>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</si>
  <si>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</si>
  <si>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</si>
  <si>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</si>
  <si>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</si>
  <si>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</si>
  <si>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</si>
  <si>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</si>
  <si>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</si>
  <si>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</si>
  <si>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</si>
  <si>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</si>
  <si>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</si>
  <si>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</si>
  <si>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</si>
  <si>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</si>
  <si>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</si>
  <si>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</si>
  <si>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</si>
  <si>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</si>
  <si>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</si>
  <si>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</si>
  <si>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</si>
  <si>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</si>
  <si>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</si>
  <si>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</si>
  <si>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</si>
  <si>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</si>
  <si>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</si>
  <si>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</si>
  <si>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</si>
  <si>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</si>
  <si>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</si>
  <si>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</si>
  <si>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</si>
  <si>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</si>
  <si>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</si>
  <si>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</si>
  <si>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</si>
  <si>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</si>
  <si>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</si>
  <si>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</si>
  <si>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</si>
  <si>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</si>
  <si>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</si>
  <si>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</si>
  <si>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</si>
  <si>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</si>
  <si>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</si>
  <si>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</si>
  <si>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</si>
  <si>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</si>
  <si>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</si>
  <si>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</si>
  <si>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</si>
  <si>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</si>
  <si>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</si>
  <si>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</si>
  <si>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</si>
  <si>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</si>
  <si>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</si>
  <si>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</si>
  <si>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</si>
  <si>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</si>
  <si>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</si>
  <si>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</si>
  <si>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</si>
  <si>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</si>
  <si>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</si>
  <si>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</si>
  <si>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</si>
  <si>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</si>
  <si>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</si>
  <si>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</si>
  <si>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</si>
  <si>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</si>
  <si>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</si>
  <si>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</si>
  <si>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</si>
  <si>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</si>
  <si>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</si>
  <si>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</si>
  <si>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</si>
  <si>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</si>
  <si>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</si>
  <si>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</si>
  <si>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</si>
  <si>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</si>
  <si>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</si>
  <si>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</si>
  <si>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</si>
  <si>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</si>
  <si>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</si>
  <si>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</si>
  <si>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</si>
  <si>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</si>
  <si>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</si>
  <si>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</si>
  <si>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</si>
  <si>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</si>
  <si>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</si>
  <si>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</si>
  <si>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</si>
  <si>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</si>
  <si>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</si>
  <si>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</si>
  <si>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</si>
  <si>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</si>
  <si>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</si>
  <si>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</si>
  <si>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</si>
  <si>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</si>
  <si>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</si>
  <si>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</si>
  <si>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</si>
  <si>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</si>
  <si>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</si>
  <si>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</si>
  <si>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</si>
  <si>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</si>
  <si>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</si>
  <si>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</si>
  <si>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</si>
  <si>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</si>
  <si>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</si>
  <si>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</si>
  <si>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</si>
  <si>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</si>
  <si>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</si>
  <si>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</si>
  <si>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</si>
  <si>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</si>
  <si>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</si>
  <si>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</si>
  <si>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</si>
  <si>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</si>
  <si>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</si>
  <si>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</si>
  <si>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</si>
  <si>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</si>
  <si>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</si>
  <si>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</si>
  <si>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</si>
  <si>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</si>
  <si>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</si>
  <si>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</si>
  <si>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</si>
  <si>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</si>
  <si>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</si>
  <si>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</si>
  <si>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</si>
  <si>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</si>
  <si>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</si>
  <si>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</si>
  <si>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</si>
  <si>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</si>
  <si>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</si>
  <si>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</si>
  <si>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</si>
  <si>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</si>
  <si>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</si>
  <si>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</si>
  <si>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</si>
  <si>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</si>
  <si>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</si>
  <si>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</si>
  <si>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</si>
  <si>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</si>
  <si>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</si>
  <si>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</si>
  <si>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</si>
  <si>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</si>
  <si>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</si>
  <si>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</si>
  <si>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</si>
  <si>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</si>
  <si>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</si>
  <si>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</si>
  <si>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</si>
  <si>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</si>
  <si>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</si>
  <si>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</si>
  <si>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</si>
  <si>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</si>
  <si>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</si>
  <si>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</si>
  <si>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</si>
  <si>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</si>
  <si>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</si>
  <si>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</si>
  <si>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</si>
  <si>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</si>
  <si>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</si>
  <si>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</si>
  <si>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</si>
  <si>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</si>
  <si>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</si>
  <si>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</si>
  <si>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</si>
  <si>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</si>
  <si>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</si>
  <si>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</si>
  <si>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</si>
  <si>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</si>
  <si>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</si>
  <si>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</si>
  <si>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</si>
  <si>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</si>
  <si>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</si>
  <si>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</si>
  <si>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</si>
  <si>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</si>
  <si>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</si>
  <si>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</si>
  <si>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</si>
  <si>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</si>
  <si>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</si>
  <si>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</si>
  <si>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</si>
  <si>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</si>
  <si>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</si>
  <si>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</si>
  <si>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</si>
  <si>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</si>
  <si>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</si>
  <si>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</si>
  <si>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</si>
  <si>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</si>
  <si>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</si>
  <si>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</si>
  <si>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</si>
  <si>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</si>
  <si>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</si>
  <si>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</si>
  <si>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</si>
  <si>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</si>
  <si>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</si>
  <si>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</si>
  <si>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</si>
  <si>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</si>
  <si>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</si>
  <si>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</si>
  <si>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</si>
  <si>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</si>
  <si>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</si>
  <si>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</si>
  <si>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</si>
  <si>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</si>
  <si>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</si>
  <si>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</si>
  <si>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</si>
  <si>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</si>
  <si>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</si>
  <si>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</si>
  <si>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</si>
  <si>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</si>
  <si>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</si>
  <si>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</si>
  <si>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</si>
  <si>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</si>
  <si>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</si>
  <si>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</si>
  <si>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</si>
  <si>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</si>
  <si>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</si>
  <si>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</si>
  <si>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</si>
  <si>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</si>
  <si>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</si>
  <si>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</si>
  <si>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</si>
  <si>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</si>
  <si>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</si>
  <si>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</si>
  <si>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</si>
  <si>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</si>
  <si>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</si>
  <si>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</si>
  <si>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</si>
  <si>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</si>
  <si>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</si>
  <si>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</si>
  <si>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</si>
  <si>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</si>
  <si>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</si>
  <si>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</si>
  <si>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</si>
  <si>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</si>
  <si>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</si>
  <si>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</si>
  <si>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</si>
  <si>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</si>
  <si>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</si>
  <si>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</si>
  <si>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</si>
  <si>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</si>
  <si>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</si>
  <si>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</si>
  <si>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</si>
  <si>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</si>
  <si>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</si>
  <si>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</si>
  <si>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</si>
  <si>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</si>
  <si>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</si>
  <si>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</si>
  <si>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</si>
  <si>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</si>
  <si>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</si>
  <si>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</si>
  <si>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</si>
  <si>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</si>
  <si>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</si>
  <si>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</si>
  <si>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</si>
  <si>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</si>
  <si>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</si>
  <si>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</si>
  <si>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</si>
  <si>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</si>
  <si>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</si>
  <si>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</si>
  <si>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</si>
  <si>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</si>
  <si>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</si>
  <si>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</si>
  <si>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</si>
  <si>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</si>
  <si>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</si>
  <si>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</si>
  <si>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</si>
  <si>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</si>
  <si>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</si>
  <si>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</si>
  <si>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</si>
  <si>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</si>
  <si>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</si>
  <si>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</si>
  <si>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</si>
  <si>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</si>
  <si>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</si>
  <si>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</si>
  <si>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</si>
  <si>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</si>
  <si>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</si>
  <si>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</si>
  <si>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</si>
  <si>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</si>
  <si>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</si>
  <si>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</si>
  <si>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</si>
  <si>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</si>
  <si>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</si>
  <si>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</si>
  <si>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</si>
  <si>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</si>
  <si>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</si>
  <si>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</si>
  <si>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</si>
  <si>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</si>
  <si>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</si>
  <si>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</si>
  <si>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</si>
  <si>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</si>
  <si>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</si>
  <si>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</si>
  <si>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</si>
  <si>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</si>
  <si>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</si>
  <si>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</si>
  <si>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</si>
  <si>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</si>
  <si>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</si>
  <si>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</si>
  <si>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</si>
  <si>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</si>
  <si>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</si>
  <si>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</si>
  <si>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</si>
  <si>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</si>
  <si>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</si>
  <si>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</si>
  <si>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</si>
  <si>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</si>
  <si>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</si>
  <si>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</si>
  <si>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</si>
  <si>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</si>
  <si>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</si>
  <si>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</si>
  <si>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</si>
  <si>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</si>
  <si>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</si>
  <si>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</si>
  <si>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</si>
  <si>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</si>
  <si>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</si>
  <si>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</si>
  <si>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</si>
  <si>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</si>
  <si>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</si>
  <si>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</si>
  <si>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</si>
  <si>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</si>
  <si>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</si>
  <si>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</si>
  <si>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</si>
  <si>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</si>
  <si>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</si>
  <si>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</si>
  <si>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</si>
  <si>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</si>
  <si>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</si>
  <si>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</si>
  <si>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</si>
  <si>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</si>
  <si>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</si>
  <si>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</si>
  <si>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</si>
  <si>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</si>
  <si>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</si>
  <si>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</si>
  <si>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</si>
  <si>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</si>
  <si>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</si>
  <si>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</si>
  <si>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</si>
  <si>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</si>
  <si>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</si>
  <si>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</si>
  <si>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</si>
  <si>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</si>
  <si>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</si>
  <si>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</si>
  <si>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</si>
  <si>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</si>
  <si>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</si>
  <si>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</si>
  <si>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</si>
  <si>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</si>
  <si>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</si>
  <si>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</si>
  <si>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</si>
  <si>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</si>
  <si>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</si>
  <si>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</si>
  <si>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</si>
  <si>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</si>
  <si>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</si>
  <si>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</si>
  <si>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</si>
  <si>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</si>
  <si>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</si>
  <si>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</si>
  <si>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</si>
  <si>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</si>
  <si>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</si>
  <si>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</si>
  <si>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</si>
  <si>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</si>
  <si>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</si>
  <si>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</si>
  <si>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</si>
  <si>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</si>
  <si>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</si>
  <si>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</si>
  <si>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</si>
  <si>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</si>
  <si>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</si>
  <si>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</si>
  <si>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</si>
  <si>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</si>
  <si>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</si>
  <si>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</si>
  <si>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</si>
  <si>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</si>
  <si>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</si>
  <si>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</si>
  <si>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</si>
  <si>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</si>
  <si>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</si>
  <si>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</si>
  <si>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</si>
  <si>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</si>
  <si>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</si>
  <si>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</si>
  <si>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</si>
  <si>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</si>
  <si>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</si>
  <si>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</si>
  <si>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</si>
  <si>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</si>
  <si>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</si>
  <si>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</si>
  <si>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</si>
  <si>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</si>
  <si>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</si>
  <si>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</si>
  <si>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</si>
  <si>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</si>
  <si>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</si>
  <si>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</si>
  <si>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</si>
  <si>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</si>
  <si>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</si>
  <si>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</si>
  <si>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</si>
  <si>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</si>
  <si>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</si>
  <si>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</si>
  <si>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</si>
  <si>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</si>
  <si>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</si>
  <si>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</si>
  <si>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</si>
  <si>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</si>
  <si>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</si>
  <si>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</si>
  <si>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</si>
  <si>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</si>
  <si>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</si>
  <si>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</si>
  <si>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</si>
  <si>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</si>
  <si>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</si>
  <si>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</si>
  <si>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</si>
  <si>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</si>
  <si>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</si>
  <si>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</si>
  <si>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</si>
  <si>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</si>
  <si>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</si>
  <si>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</si>
  <si>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</si>
  <si>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</si>
  <si>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</si>
  <si>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</si>
  <si>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</si>
  <si>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</si>
  <si>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</si>
  <si>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</si>
  <si>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</si>
  <si>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</si>
  <si>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</si>
  <si>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</si>
  <si>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</si>
  <si>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</si>
  <si>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</si>
  <si>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</si>
  <si>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</si>
  <si>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</si>
  <si>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</si>
  <si>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</si>
  <si>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</si>
  <si>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</si>
  <si>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</si>
  <si>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</si>
  <si>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</si>
  <si>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</si>
  <si>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</si>
  <si>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</si>
  <si>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</si>
  <si>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</si>
  <si>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</si>
  <si>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</si>
  <si>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</si>
  <si>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</si>
  <si>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</si>
  <si>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</si>
  <si>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</si>
  <si>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</si>
  <si>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</si>
  <si>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</si>
  <si>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</si>
  <si>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</si>
  <si>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</si>
  <si>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</si>
  <si>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</si>
  <si>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</si>
  <si>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</si>
  <si>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</si>
  <si>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</si>
  <si>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</si>
  <si>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</si>
  <si>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</si>
  <si>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</si>
  <si>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</si>
  <si>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</si>
  <si>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</si>
  <si>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</si>
  <si>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</si>
  <si>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</si>
  <si>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</si>
  <si>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</si>
  <si>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</si>
  <si>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</si>
  <si>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</si>
  <si>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</si>
  <si>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</si>
  <si>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</si>
  <si>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</si>
  <si>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</si>
  <si>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</si>
  <si>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</si>
  <si>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</si>
  <si>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</si>
  <si>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</si>
  <si>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</si>
  <si>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</si>
  <si>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</si>
  <si>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</si>
  <si>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</si>
  <si>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</si>
  <si>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</si>
  <si>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</si>
  <si>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</si>
  <si>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</si>
  <si>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</si>
  <si>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</si>
  <si>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</si>
  <si>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</si>
  <si>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</si>
  <si>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</si>
  <si>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</si>
  <si>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</si>
  <si>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</si>
  <si>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</si>
  <si>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</si>
  <si>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</si>
  <si>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</si>
  <si>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</si>
  <si>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</si>
  <si>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</si>
  <si>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</si>
  <si>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</si>
  <si>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</si>
  <si>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</si>
  <si>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</si>
  <si>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</si>
  <si>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</si>
  <si>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</si>
  <si>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</si>
  <si>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</si>
  <si>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</si>
  <si>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</si>
  <si>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</si>
  <si>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</si>
  <si>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</si>
  <si>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</si>
  <si>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</si>
  <si>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</si>
  <si>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</si>
  <si>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</si>
  <si>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</si>
  <si>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</si>
  <si>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</si>
  <si>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</si>
  <si>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</si>
  <si>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</si>
  <si>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</si>
  <si>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</si>
  <si>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</si>
  <si>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</si>
  <si>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</si>
  <si>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</si>
  <si>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</si>
  <si>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</si>
  <si>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</si>
  <si>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</si>
  <si>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</si>
  <si>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</si>
  <si>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</si>
  <si>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</si>
  <si>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</si>
  <si>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</si>
  <si>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</si>
  <si>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</si>
  <si>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</si>
  <si>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</si>
  <si>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</si>
  <si>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</si>
  <si>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</si>
  <si>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</si>
  <si>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</si>
  <si>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</si>
  <si>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</si>
  <si>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</si>
  <si>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</si>
  <si>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</si>
  <si>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</si>
  <si>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</si>
  <si>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</si>
  <si>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</si>
  <si>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</si>
  <si>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</si>
  <si>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</si>
  <si>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</si>
  <si>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</si>
  <si>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</si>
  <si>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</si>
  <si>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</si>
  <si>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</si>
  <si>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</si>
  <si>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</si>
  <si>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</si>
  <si>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</si>
  <si>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</si>
  <si>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</si>
  <si>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</si>
  <si>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</si>
  <si>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</si>
  <si>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</si>
  <si>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</si>
  <si>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</si>
  <si>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</si>
  <si>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</si>
  <si>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</si>
  <si>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</si>
  <si>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</si>
  <si>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</si>
  <si>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</si>
  <si>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</si>
  <si>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</si>
  <si>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</si>
  <si>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</si>
  <si>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</si>
  <si>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</si>
  <si>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</si>
  <si>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</si>
  <si>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</si>
  <si>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</si>
  <si>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</si>
  <si>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</si>
  <si>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</si>
  <si>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</si>
  <si>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</si>
  <si>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</si>
  <si>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</si>
  <si>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</si>
  <si>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</si>
  <si>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</si>
  <si>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</si>
  <si>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</si>
  <si>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</si>
  <si>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</si>
  <si>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</si>
  <si>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</si>
  <si>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</si>
  <si>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</si>
  <si>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</si>
  <si>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</si>
  <si>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</si>
  <si>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</si>
  <si>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</si>
  <si>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</si>
  <si>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</si>
  <si>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</si>
  <si>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</si>
  <si>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</si>
  <si>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</si>
  <si>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</si>
  <si>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</si>
  <si>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</si>
  <si>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</si>
  <si>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</si>
  <si>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</si>
  <si>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</si>
  <si>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</si>
  <si>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</si>
  <si>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</si>
  <si>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</si>
  <si>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</si>
  <si>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</si>
  <si>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</si>
  <si>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</si>
  <si>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</si>
  <si>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</si>
  <si>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</si>
  <si>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</si>
  <si>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</si>
  <si>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</si>
  <si>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</si>
  <si>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</si>
  <si>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</si>
  <si>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</si>
  <si>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</si>
  <si>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</si>
  <si>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</si>
  <si>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</si>
  <si>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</si>
  <si>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</si>
  <si>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</si>
  <si>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</si>
  <si>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</si>
  <si>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</si>
  <si>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</si>
  <si>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</si>
  <si>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</si>
  <si>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</si>
  <si>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</si>
  <si>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</si>
  <si>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</si>
  <si>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</si>
  <si>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</si>
  <si>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</si>
  <si>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</si>
  <si>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</si>
  <si>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</si>
  <si>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</si>
  <si>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</si>
  <si>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</si>
  <si>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</si>
  <si>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</si>
  <si>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</si>
  <si>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</si>
  <si>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</si>
  <si>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</si>
  <si>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</si>
  <si>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</si>
  <si>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</si>
  <si>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</si>
  <si>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</si>
  <si>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</si>
  <si>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</si>
  <si>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</si>
  <si>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</si>
  <si>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</si>
  <si>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</si>
  <si>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</si>
  <si>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</si>
  <si>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</si>
  <si>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</si>
  <si>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</si>
  <si>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</si>
  <si>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</si>
  <si>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</si>
  <si>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</si>
  <si>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</si>
  <si>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</si>
  <si>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</si>
  <si>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</si>
  <si>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</si>
  <si>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</si>
  <si>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</si>
  <si>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</si>
  <si>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</si>
  <si>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</si>
  <si>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</si>
  <si>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</si>
  <si>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</si>
  <si>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</si>
  <si>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</si>
  <si>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</si>
  <si>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</si>
  <si>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</si>
  <si>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</si>
  <si>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</si>
  <si>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</si>
  <si>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</si>
  <si>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</si>
  <si>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</si>
  <si>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</si>
  <si>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</si>
  <si>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</si>
  <si>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</si>
  <si>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</si>
  <si>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</si>
  <si>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</si>
  <si>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</si>
  <si>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</si>
  <si>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</si>
  <si>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</si>
  <si>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</si>
  <si>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</si>
  <si>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</si>
  <si>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</si>
  <si>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</si>
  <si>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</si>
  <si>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</si>
  <si>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</si>
  <si>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</si>
  <si>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</si>
  <si>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</si>
  <si>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</si>
  <si>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</si>
  <si>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</si>
  <si>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</si>
  <si>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</si>
  <si>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</si>
  <si>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</si>
  <si>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</si>
  <si>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</si>
  <si>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</si>
  <si>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</si>
  <si>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</si>
  <si>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</si>
  <si>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</si>
  <si>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</si>
  <si>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</si>
  <si>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</si>
  <si>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</si>
  <si>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</si>
  <si>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</si>
  <si>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</si>
  <si>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</si>
  <si>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</si>
  <si>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</si>
  <si>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</si>
  <si>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</si>
  <si>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</si>
  <si>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</si>
  <si>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</si>
  <si>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</si>
  <si>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</si>
  <si>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</si>
  <si>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</si>
  <si>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</si>
  <si>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</si>
  <si>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</si>
  <si>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</si>
  <si>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</si>
  <si>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</si>
  <si>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</si>
  <si>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</si>
  <si>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</si>
  <si>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</si>
  <si>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</si>
  <si>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</si>
  <si>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</si>
  <si>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</si>
  <si>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</si>
  <si>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</si>
  <si>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</si>
  <si>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</si>
  <si>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</si>
  <si>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</si>
  <si>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</si>
  <si>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</si>
  <si>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</si>
  <si>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</si>
  <si>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</si>
  <si>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</si>
  <si>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</si>
  <si>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</si>
  <si>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</si>
  <si>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</si>
  <si>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</si>
  <si>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</si>
  <si>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</si>
  <si>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</si>
  <si>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</si>
  <si>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</si>
  <si>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</si>
  <si>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</si>
  <si>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</si>
  <si>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</si>
  <si>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</si>
  <si>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</si>
  <si>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</si>
  <si>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</si>
  <si>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</si>
  <si>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</si>
  <si>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</si>
  <si>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</si>
  <si>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</si>
  <si>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</si>
  <si>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</si>
  <si>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</si>
  <si>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</si>
  <si>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</si>
  <si>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</si>
  <si>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</si>
  <si>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</si>
  <si>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</si>
  <si>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</si>
  <si>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</si>
  <si>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</si>
  <si>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</si>
  <si>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</si>
  <si>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</si>
  <si>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</si>
  <si>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</si>
  <si>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</si>
  <si>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</si>
  <si>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</si>
  <si>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</si>
  <si>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</si>
  <si>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</si>
  <si>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</si>
  <si>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</si>
  <si>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</si>
  <si>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</si>
  <si>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</si>
  <si>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</si>
  <si>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</si>
  <si>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</si>
  <si>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</si>
  <si>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</si>
  <si>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</si>
  <si>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</si>
  <si>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</si>
  <si>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</si>
  <si>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</si>
  <si>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</si>
  <si>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</si>
  <si>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</si>
  <si>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</si>
  <si>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</si>
  <si>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</si>
  <si>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</si>
  <si>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</si>
  <si>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</si>
  <si>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</si>
  <si>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</si>
  <si>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</si>
  <si>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</si>
  <si>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</si>
  <si>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</si>
  <si>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</si>
  <si>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</si>
  <si>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</si>
  <si>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</si>
  <si>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</si>
  <si>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</si>
  <si>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</si>
  <si>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</si>
  <si>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</si>
  <si>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</si>
  <si>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</si>
  <si>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</si>
  <si>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</si>
  <si>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</si>
  <si>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</si>
  <si>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</si>
  <si>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</si>
  <si>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</si>
  <si>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</si>
  <si>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</si>
  <si>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</si>
  <si>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</si>
  <si>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</si>
  <si>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</si>
  <si>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</si>
  <si>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</si>
  <si>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</si>
  <si>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</si>
  <si>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</si>
  <si>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</si>
  <si>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</si>
  <si>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</si>
  <si>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</si>
  <si>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</si>
  <si>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</si>
  <si>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</si>
  <si>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</si>
  <si>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</si>
  <si>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</si>
  <si>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</si>
  <si>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</si>
  <si>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</si>
  <si>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</si>
  <si>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</si>
  <si>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</si>
  <si>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</si>
  <si>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</si>
  <si>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</si>
  <si>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</si>
  <si>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</si>
  <si>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</si>
  <si>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</si>
  <si>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</si>
  <si>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</si>
  <si>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</si>
  <si>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</si>
  <si>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</si>
  <si>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</si>
  <si>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</si>
  <si>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</si>
  <si>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</si>
  <si>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</si>
  <si>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</si>
  <si>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</si>
  <si>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</si>
  <si>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</si>
  <si>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</si>
  <si>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</si>
  <si>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</si>
  <si>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</si>
  <si>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</si>
  <si>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</si>
  <si>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</si>
  <si>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</si>
  <si>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</si>
  <si>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</si>
  <si>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</si>
  <si>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</si>
  <si>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</si>
  <si>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</si>
  <si>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</si>
  <si>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</si>
  <si>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</si>
  <si>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</si>
  <si>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</si>
  <si>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</si>
  <si>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</si>
  <si>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</si>
  <si>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</si>
  <si>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</si>
  <si>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</si>
  <si>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</si>
  <si>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</si>
  <si>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</si>
  <si>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</si>
  <si>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</si>
  <si>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</si>
  <si>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</si>
  <si>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</si>
  <si>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</si>
  <si>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</si>
  <si>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</si>
  <si>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</si>
  <si>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</si>
  <si>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</si>
  <si>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</si>
  <si>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</si>
  <si>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</si>
  <si>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</si>
  <si>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</si>
  <si>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</si>
  <si>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</si>
  <si>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</si>
  <si>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</si>
  <si>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</si>
  <si>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</si>
  <si>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</si>
  <si>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</si>
  <si>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</si>
  <si>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</si>
  <si>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</si>
  <si>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</si>
  <si>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</si>
  <si>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</si>
  <si>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</si>
  <si>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</si>
  <si>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</si>
  <si>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</si>
  <si>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</si>
  <si>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</si>
  <si>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</si>
  <si>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</si>
  <si>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</si>
  <si>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</si>
  <si>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</si>
  <si>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</si>
  <si>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</si>
  <si>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</si>
  <si>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</si>
  <si>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</si>
  <si>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</si>
  <si>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</si>
  <si>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</si>
  <si>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</si>
  <si>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</si>
  <si>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</si>
  <si>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</si>
  <si>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</si>
  <si>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</si>
  <si>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</si>
  <si>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</si>
  <si>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</si>
  <si>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</si>
  <si>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</si>
  <si>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</si>
  <si>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</si>
  <si>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</si>
  <si>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</si>
  <si>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</si>
  <si>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</si>
  <si>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</si>
  <si>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</si>
  <si>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</si>
  <si>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</si>
  <si>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</si>
  <si>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</si>
  <si>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</si>
  <si>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</si>
  <si>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</si>
  <si>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</si>
  <si>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</si>
  <si>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</si>
  <si>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</si>
  <si>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</si>
  <si>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</si>
  <si>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</si>
  <si>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</si>
  <si>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</si>
  <si>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</si>
  <si>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</si>
  <si>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</si>
  <si>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</si>
  <si>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</si>
  <si>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</si>
  <si>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</si>
  <si>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</si>
  <si>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</si>
  <si>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</si>
  <si>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</si>
  <si>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</si>
  <si>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</si>
  <si>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</si>
  <si>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</si>
  <si>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</si>
  <si>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</si>
  <si>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</si>
  <si>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</si>
  <si>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</si>
  <si>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</si>
  <si>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</si>
  <si>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</si>
  <si>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</si>
  <si>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</si>
  <si>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</si>
  <si>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</si>
  <si>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</si>
  <si>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</si>
  <si>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</si>
  <si>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</si>
  <si>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</si>
  <si>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</si>
  <si>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</si>
  <si>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</si>
  <si>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</si>
  <si>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</si>
  <si>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</si>
  <si>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</si>
  <si>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</si>
  <si>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</si>
  <si>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</si>
  <si>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</si>
  <si>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</si>
  <si>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</si>
  <si>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</si>
  <si>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</si>
  <si>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</si>
  <si>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</si>
  <si>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</si>
  <si>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</si>
  <si>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</si>
  <si>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</si>
  <si>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</si>
  <si>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</si>
  <si>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</si>
  <si>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</si>
  <si>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</si>
  <si>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</si>
  <si>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</si>
  <si>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</si>
  <si>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</si>
  <si>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</si>
  <si>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</si>
  <si>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</si>
  <si>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</si>
  <si>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</si>
  <si>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</si>
  <si>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</si>
  <si>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</si>
  <si>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</si>
  <si>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</si>
  <si>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</si>
  <si>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</si>
  <si>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</si>
  <si>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</si>
  <si>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</si>
  <si>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</si>
  <si>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</si>
  <si>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</si>
  <si>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</si>
  <si>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</si>
  <si>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</si>
  <si>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</si>
  <si>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</si>
  <si>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</si>
  <si>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</si>
  <si>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</si>
  <si>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</si>
  <si>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</si>
  <si>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</si>
  <si>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</si>
  <si>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</si>
  <si>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</si>
  <si>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</si>
  <si>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</si>
  <si>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</si>
  <si>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</si>
  <si>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</si>
  <si>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</si>
  <si>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</si>
  <si>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</si>
  <si>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</si>
  <si>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</si>
  <si>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</si>
  <si>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</si>
  <si>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</si>
  <si>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</si>
  <si>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</si>
  <si>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</si>
  <si>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</si>
  <si>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</si>
  <si>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</si>
  <si>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</si>
  <si>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</si>
  <si>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</si>
  <si>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</si>
  <si>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</si>
  <si>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</si>
  <si>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</si>
  <si>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</si>
  <si>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</si>
  <si>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</si>
  <si>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</si>
  <si>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</si>
  <si>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</si>
  <si>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</si>
  <si>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</si>
  <si>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</si>
  <si>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</si>
  <si>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</si>
  <si>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</si>
  <si>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</si>
  <si>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</si>
  <si>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</si>
  <si>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</si>
  <si>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</si>
  <si>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</si>
  <si>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</si>
  <si>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</si>
  <si>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</si>
  <si>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</si>
  <si>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</si>
  <si>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</si>
  <si>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</si>
  <si>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</si>
  <si>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</si>
  <si>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</si>
  <si>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</si>
  <si>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</si>
  <si>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</si>
  <si>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</si>
  <si>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</si>
  <si>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</si>
  <si>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</si>
  <si>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</si>
  <si>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</si>
  <si>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</si>
  <si>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</si>
  <si>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</si>
  <si>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</si>
  <si>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</si>
  <si>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</si>
  <si>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</si>
  <si>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</si>
  <si>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</si>
  <si>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</si>
  <si>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</si>
  <si>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</si>
  <si>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</si>
  <si>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BUREAU</t>
  </si>
  <si>
    <t>PO BOX 289</t>
  </si>
  <si>
    <t>MANLIUS</t>
  </si>
  <si>
    <t>jstabler@bureauvalley.net</t>
  </si>
  <si>
    <t>JASON STABLER</t>
  </si>
  <si>
    <t>815-445-3101</t>
  </si>
  <si>
    <t>815-445-2802</t>
  </si>
  <si>
    <t>HOPKINS &amp; ASSOCIATES, CPAS</t>
  </si>
  <si>
    <t>JOEL HOPKINS</t>
  </si>
  <si>
    <t>314 S MCCOY STREET</t>
  </si>
  <si>
    <t>GRANVILLE</t>
  </si>
  <si>
    <t>IL</t>
  </si>
  <si>
    <t>815-339-6630</t>
  </si>
  <si>
    <t>815-339-6643</t>
  </si>
  <si>
    <t>006-004501</t>
  </si>
  <si>
    <t>JOEL@HOPKINSOFFICE.COM</t>
  </si>
  <si>
    <t>Hopkins &amp; Associates, CPAs</t>
  </si>
  <si>
    <t>Taxable Building Bonds</t>
  </si>
  <si>
    <t>Building Bonds</t>
  </si>
  <si>
    <t>G.O. Working Cash Bonds</t>
  </si>
  <si>
    <t>Bus Lease - 2020</t>
  </si>
  <si>
    <t>Bus Lease - 2019</t>
  </si>
  <si>
    <t>Bus Lease - 2018</t>
  </si>
  <si>
    <t>Capital Lease</t>
  </si>
  <si>
    <t>Regional Office of Education</t>
  </si>
  <si>
    <t>BMP Special Ed Coop</t>
  </si>
  <si>
    <t>Whiteside Area Vocational System</t>
  </si>
  <si>
    <t>O&amp;M-Sup Svc - Bus - Purch Svc</t>
  </si>
  <si>
    <t>Taylor's Way (Lawn Field - Maintenance)</t>
  </si>
  <si>
    <t>Total Maintenance Inc (Maintenance)</t>
  </si>
  <si>
    <t>Jeffrey Ellis (Mowing)</t>
  </si>
  <si>
    <t>Guither Tree Service (Snow Removal)</t>
  </si>
  <si>
    <t>Vestas (Windmill Maintenance)</t>
  </si>
  <si>
    <t>Pest Control Consultants (Pest Control)</t>
  </si>
  <si>
    <t>Page 10 - Acct 1614 - Ed Fund - Sales to Pupils - Other - Milk Purchases</t>
  </si>
  <si>
    <t>Page 10 - Acct 1690 - Ed Fund - Other Food Services - Catering</t>
  </si>
  <si>
    <t>Page 11 - Acct 1999 - Ed Fund - Sauk Valley Dueal Credit Course and Sub Reimb</t>
  </si>
  <si>
    <t xml:space="preserve">                                       O&amp;M Fund - Mainly erate reimb, Insurance Claims, Local Sales Tax </t>
  </si>
  <si>
    <t xml:space="preserve">                                     </t>
  </si>
  <si>
    <t xml:space="preserve">                                       Transport Fund - Small Misc</t>
  </si>
  <si>
    <t>Page 12 - Acct 3299 - Ed Fund - VOC Forward Funding</t>
  </si>
  <si>
    <t>Page 12 - Acct 3000 - Ed Fund - Library Per Capita Grant</t>
  </si>
  <si>
    <t>Page 14 - Acct 4999 - Ed Fund - Seed Grant</t>
  </si>
  <si>
    <t>Page 15 - Acct 2190 - Ed Fund - Lunch and Playground Monitor Expenditures</t>
  </si>
  <si>
    <t>Page 16 - Acct 4190 - Ed Fund - ROE Payments</t>
  </si>
  <si>
    <t>Page 18 - Acct 5400 - Debt Service Fund - Bond Service Fees</t>
  </si>
  <si>
    <t>Page 19 - Acct 2190 - IMRF Fund - Benefits - Playground Monitors</t>
  </si>
  <si>
    <t>Long-Term Debt - We have included principal payments on capital leases made out of the transportation fund.  This is causing an</t>
  </si>
  <si>
    <t>error on the diagnostics screen, but we believe it is correctly stated.</t>
  </si>
  <si>
    <t>Bureau Valley CUSD 340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</si>
</sst>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114300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114300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2051</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2051</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28006340026</v>
      </c>
      <c r="B13" s="2087"/>
      <c r="C13" s="2087"/>
      <c r="D13" s="2087"/>
      <c r="E13" s="2087"/>
      <c r="F13" s="2087"/>
      <c r="G13" s="2087"/>
      <c r="H13" s="2088"/>
      <c r="I13" s="31"/>
      <c r="J13" s="30"/>
      <c r="K13" s="28"/>
      <c r="L13" s="30"/>
      <c r="M13" s="30"/>
      <c r="N13" s="30"/>
      <c r="O13" s="30"/>
      <c r="P13" s="30"/>
      <c r="Q13" s="30"/>
      <c r="R13" s="30"/>
      <c r="S13" s="30"/>
      <c r="T13" s="2091" t="s">
        <v>2059</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2052</v>
      </c>
      <c r="B15" s="2089"/>
      <c r="C15" s="2089"/>
      <c r="D15" s="2089"/>
      <c r="E15" s="2089"/>
      <c r="F15" s="2089"/>
      <c r="G15" s="2089"/>
      <c r="H15" s="2090"/>
      <c r="T15" s="2052" t="s">
        <v>2060</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2101</v>
      </c>
      <c r="B17" s="2114"/>
      <c r="C17" s="2114"/>
      <c r="D17" s="2114"/>
      <c r="E17" s="2114"/>
      <c r="F17" s="2114"/>
      <c r="G17" s="2114"/>
      <c r="H17" s="2115"/>
      <c r="T17" s="2101" t="s">
        <v>2061</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2053</v>
      </c>
      <c r="B19" s="2085"/>
      <c r="C19" s="2085"/>
      <c r="D19" s="2085"/>
      <c r="E19" s="2085"/>
      <c r="F19" s="2085"/>
      <c r="G19" s="2085"/>
      <c r="H19" s="2083"/>
      <c r="I19" s="30"/>
      <c r="J19" s="96"/>
      <c r="K19" s="40"/>
      <c r="L19" s="38"/>
      <c r="M19" s="109" t="s">
        <v>312</v>
      </c>
      <c r="P19" s="27"/>
      <c r="Q19" s="27"/>
      <c r="R19" s="27"/>
      <c r="S19" s="31"/>
      <c r="T19" s="2084" t="s">
        <v>2062</v>
      </c>
      <c r="U19" s="2082"/>
      <c r="V19" s="2082"/>
      <c r="W19" s="2083"/>
      <c r="X19" s="2099" t="s">
        <v>2063</v>
      </c>
      <c r="Y19" s="2100"/>
      <c r="Z19" s="2097">
        <v>61326</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2054</v>
      </c>
      <c r="B21" s="2082"/>
      <c r="C21" s="2082"/>
      <c r="D21" s="2082"/>
      <c r="E21" s="2082"/>
      <c r="F21" s="2082"/>
      <c r="G21" s="2082"/>
      <c r="H21" s="2083"/>
      <c r="I21" s="2107" t="s">
        <v>673</v>
      </c>
      <c r="J21" s="2070"/>
      <c r="K21" s="2070"/>
      <c r="L21" s="2070"/>
      <c r="M21" s="2070"/>
      <c r="N21" s="2070"/>
      <c r="O21" s="2070"/>
      <c r="P21" s="2070"/>
      <c r="Q21" s="2070"/>
      <c r="R21" s="2070"/>
      <c r="S21" s="2071"/>
      <c r="T21" s="2049" t="s">
        <v>2064</v>
      </c>
      <c r="U21" s="2050"/>
      <c r="V21" s="2050"/>
      <c r="W21" s="2050"/>
      <c r="X21" s="2063" t="s">
        <v>2065</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t="s">
        <v>2055</v>
      </c>
      <c r="B23" s="2105"/>
      <c r="C23" s="2105"/>
      <c r="D23" s="2105"/>
      <c r="E23" s="2105"/>
      <c r="F23" s="2105"/>
      <c r="G23" s="2105"/>
      <c r="H23" s="2106"/>
      <c r="T23" s="2044" t="s">
        <v>2066</v>
      </c>
      <c r="U23" s="2045"/>
      <c r="V23" s="2045"/>
      <c r="W23" s="2045"/>
      <c r="X23" s="2060">
        <v>44530</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61338</v>
      </c>
      <c r="B25" s="2082"/>
      <c r="C25" s="2082"/>
      <c r="D25" s="2082"/>
      <c r="E25" s="2082"/>
      <c r="F25" s="2082"/>
      <c r="G25" s="2082"/>
      <c r="H25" s="2083"/>
      <c r="I25" s="110"/>
      <c r="J25" s="2148"/>
      <c r="K25" s="2148"/>
      <c r="L25" s="2148"/>
      <c r="M25" s="2148"/>
      <c r="N25" s="2148"/>
      <c r="O25" s="2148"/>
      <c r="P25" s="2148"/>
      <c r="Q25" s="2148"/>
      <c r="R25" s="2148"/>
      <c r="S25" s="2149"/>
      <c r="T25" s="2041" t="s">
        <v>2067</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2056</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2055</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2057</v>
      </c>
      <c r="B42" s="2131"/>
      <c r="C42" s="2132"/>
      <c r="D42" s="2145" t="s">
        <v>2058</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1" sqref="E11"/>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4111082</v>
      </c>
      <c r="C4" s="1722"/>
      <c r="D4" s="1723">
        <f>B4-C4</f>
        <v>4111082</v>
      </c>
      <c r="E4" s="1722">
        <v>5231895</v>
      </c>
      <c r="F4" s="1723">
        <f>E4-C4</f>
        <v>5231895</v>
      </c>
    </row>
    <row r="5" spans="1:8" ht="13.7" customHeight="1" x14ac:dyDescent="0.2">
      <c r="A5" s="579" t="s">
        <v>865</v>
      </c>
      <c r="B5" s="1724">
        <f>'Revenues 9-14'!D5</f>
        <v>757263</v>
      </c>
      <c r="C5" s="1664"/>
      <c r="D5" s="1725">
        <f t="shared" ref="D5:D18" si="0">B5-C5</f>
        <v>757263</v>
      </c>
      <c r="E5" s="1664">
        <v>951254</v>
      </c>
      <c r="F5" s="1725">
        <f>E5-C5</f>
        <v>951254</v>
      </c>
    </row>
    <row r="6" spans="1:8" ht="13.7" customHeight="1" x14ac:dyDescent="0.2">
      <c r="A6" s="579" t="s">
        <v>408</v>
      </c>
      <c r="B6" s="1724">
        <f>'Revenues 9-14'!E5</f>
        <v>1311906</v>
      </c>
      <c r="C6" s="1664"/>
      <c r="D6" s="1725">
        <f t="shared" si="0"/>
        <v>1311906</v>
      </c>
      <c r="E6" s="1664">
        <v>1820509</v>
      </c>
      <c r="F6" s="1725">
        <f t="shared" ref="F6:F18" si="1">E6-C6</f>
        <v>1820509</v>
      </c>
    </row>
    <row r="7" spans="1:8" ht="13.7" customHeight="1" x14ac:dyDescent="0.2">
      <c r="A7" s="579" t="s">
        <v>154</v>
      </c>
      <c r="B7" s="1724">
        <f>'Revenues 9-14'!F5</f>
        <v>378630</v>
      </c>
      <c r="C7" s="1664"/>
      <c r="D7" s="1725">
        <f t="shared" si="0"/>
        <v>378630</v>
      </c>
      <c r="E7" s="1664">
        <v>475627</v>
      </c>
      <c r="F7" s="1725">
        <f t="shared" si="1"/>
        <v>475627</v>
      </c>
    </row>
    <row r="8" spans="1:8" ht="13.7" customHeight="1" x14ac:dyDescent="0.2">
      <c r="A8" s="579" t="s">
        <v>1169</v>
      </c>
      <c r="B8" s="1724">
        <f>'Revenues 9-14'!G5</f>
        <v>229929</v>
      </c>
      <c r="C8" s="1664"/>
      <c r="D8" s="1725">
        <f t="shared" si="0"/>
        <v>229929</v>
      </c>
      <c r="E8" s="1664">
        <v>210037</v>
      </c>
      <c r="F8" s="1725">
        <f t="shared" si="1"/>
        <v>210037</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75727</v>
      </c>
      <c r="C10" s="1664"/>
      <c r="D10" s="1725">
        <f t="shared" si="0"/>
        <v>75727</v>
      </c>
      <c r="E10" s="1664">
        <v>95126</v>
      </c>
      <c r="F10" s="1725">
        <f t="shared" si="1"/>
        <v>95126</v>
      </c>
    </row>
    <row r="11" spans="1:8" x14ac:dyDescent="0.2">
      <c r="A11" s="579" t="s">
        <v>406</v>
      </c>
      <c r="B11" s="1724">
        <f>'Revenues 9-14'!J5</f>
        <v>1500110</v>
      </c>
      <c r="C11" s="1664"/>
      <c r="D11" s="1725">
        <f t="shared" si="0"/>
        <v>1500110</v>
      </c>
      <c r="E11" s="1664">
        <v>1499937</v>
      </c>
      <c r="F11" s="1725">
        <f t="shared" si="1"/>
        <v>1499937</v>
      </c>
    </row>
    <row r="12" spans="1:8" ht="13.7" customHeight="1" x14ac:dyDescent="0.2">
      <c r="A12" s="579" t="s">
        <v>156</v>
      </c>
      <c r="B12" s="1724">
        <f>'Revenues 9-14'!K5</f>
        <v>75726</v>
      </c>
      <c r="C12" s="1664"/>
      <c r="D12" s="1725">
        <f t="shared" si="0"/>
        <v>75726</v>
      </c>
      <c r="E12" s="1664">
        <v>95125</v>
      </c>
      <c r="F12" s="1725">
        <f t="shared" si="1"/>
        <v>95125</v>
      </c>
    </row>
    <row r="13" spans="1:8" ht="13.7" customHeight="1" x14ac:dyDescent="0.2">
      <c r="A13" s="579" t="s">
        <v>930</v>
      </c>
      <c r="B13" s="1724">
        <f>SUM('Revenues 9-14'!C6:D6)</f>
        <v>75725</v>
      </c>
      <c r="C13" s="1664"/>
      <c r="D13" s="1725">
        <f t="shared" si="0"/>
        <v>75725</v>
      </c>
      <c r="E13" s="1664">
        <v>95125</v>
      </c>
      <c r="F13" s="1725">
        <f t="shared" si="1"/>
        <v>95125</v>
      </c>
    </row>
    <row r="14" spans="1:8" ht="13.7" customHeight="1" x14ac:dyDescent="0.2">
      <c r="A14" s="579" t="s">
        <v>407</v>
      </c>
      <c r="B14" s="1724">
        <f>SUM('Revenues 9-14'!C7:D7,'Revenues 9-14'!F7:H7)</f>
        <v>60581</v>
      </c>
      <c r="C14" s="1664"/>
      <c r="D14" s="1725">
        <f t="shared" si="0"/>
        <v>60581</v>
      </c>
      <c r="E14" s="1664">
        <v>76100</v>
      </c>
      <c r="F14" s="1725">
        <f t="shared" si="1"/>
        <v>76100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250432</v>
      </c>
      <c r="C16" s="1664"/>
      <c r="D16" s="1725">
        <f t="shared" si="0"/>
        <v>250432</v>
      </c>
      <c r="E16" s="1664">
        <v>339978</v>
      </c>
      <c r="F16" s="1725">
        <f t="shared" si="1"/>
        <v>339978</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8827111</v>
      </c>
      <c r="C19" s="1726">
        <f>SUM(C4:C18)</f>
        <v>0</v>
      </c>
      <c r="D19" s="1726">
        <f>SUM(D4:D18)</f>
        <v>8827111</v>
      </c>
      <c r="E19" s="1726">
        <f>SUM(E4:E18)</f>
        <v>10890713</v>
      </c>
      <c r="F19" s="1726">
        <f>SUM(F4:F18)</f>
        <v>10890713</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13" colorId="8" zoomScale="110" zoomScaleNormal="110" workbookViewId="0">
      <selection activeCell="F53" sqref="F53:G5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2069</v>
      </c>
      <c r="B31" s="595">
        <v>43264</v>
      </c>
      <c r="C31" s="1734">
        <v>2530000</v>
      </c>
      <c r="D31" s="1735">
        <v>6</v>
      </c>
      <c r="E31" s="1734">
        <v>2530000</v>
      </c>
      <c r="F31" s="1734"/>
      <c r="G31" s="1734"/>
      <c r="H31" s="1734">
        <v>345000</v>
      </c>
      <c r="I31" s="1736">
        <f>((E31+F31)-H31)+G31</f>
        <v>2185000</v>
      </c>
      <c r="J31" s="1734">
        <v>2049856</v>
      </c>
      <c r="K31" s="596"/>
    </row>
    <row r="32" spans="1:11" ht="12" customHeight="1" x14ac:dyDescent="0.2">
      <c r="A32" s="594" t="s">
        <v>2070</v>
      </c>
      <c r="B32" s="595">
        <v>43264</v>
      </c>
      <c r="C32" s="1734">
        <v>9470000</v>
      </c>
      <c r="D32" s="1735">
        <v>6</v>
      </c>
      <c r="E32" s="1734">
        <v>9470000</v>
      </c>
      <c r="F32" s="1734"/>
      <c r="G32" s="1734"/>
      <c r="H32" s="1734"/>
      <c r="I32" s="1736">
        <f>((E32+F32)-H32)+G32</f>
        <v>9470000</v>
      </c>
      <c r="J32" s="1734">
        <v>9470000</v>
      </c>
      <c r="K32" s="596"/>
    </row>
    <row r="33" spans="1:11" ht="12" customHeight="1" x14ac:dyDescent="0.2">
      <c r="A33" s="594" t="s">
        <v>2074</v>
      </c>
      <c r="B33" s="595">
        <v>42917</v>
      </c>
      <c r="C33" s="1734">
        <v>69735</v>
      </c>
      <c r="D33" s="1735">
        <v>7</v>
      </c>
      <c r="E33" s="1734">
        <v>24006</v>
      </c>
      <c r="F33" s="1734"/>
      <c r="G33" s="1734"/>
      <c r="H33" s="1734">
        <v>24006</v>
      </c>
      <c r="I33" s="1736">
        <f t="shared" ref="I33:I48" si="1">((E33+F33)-H33)+G33</f>
        <v>0</v>
      </c>
      <c r="J33" s="1734"/>
      <c r="K33" s="596"/>
    </row>
    <row r="34" spans="1:11" ht="12" customHeight="1" x14ac:dyDescent="0.2">
      <c r="A34" s="594" t="s">
        <v>2073</v>
      </c>
      <c r="B34" s="595">
        <v>43282</v>
      </c>
      <c r="C34" s="1734">
        <v>297200</v>
      </c>
      <c r="D34" s="1735">
        <v>7</v>
      </c>
      <c r="E34" s="1734">
        <v>189593</v>
      </c>
      <c r="F34" s="1734">
        <v>162606</v>
      </c>
      <c r="G34" s="1734"/>
      <c r="H34" s="1734">
        <v>254886</v>
      </c>
      <c r="I34" s="1736">
        <f t="shared" si="1"/>
        <v>97313</v>
      </c>
      <c r="J34" s="1734">
        <v>97313</v>
      </c>
      <c r="K34" s="597"/>
    </row>
    <row r="35" spans="1:11" ht="12" customHeight="1" x14ac:dyDescent="0.2">
      <c r="A35" s="594" t="s">
        <v>2071</v>
      </c>
      <c r="B35" s="595">
        <v>43899</v>
      </c>
      <c r="C35" s="1737">
        <v>1850000</v>
      </c>
      <c r="D35" s="1735">
        <v>1</v>
      </c>
      <c r="E35" s="1737"/>
      <c r="F35" s="1737">
        <v>1850000</v>
      </c>
      <c r="G35" s="1737"/>
      <c r="H35" s="1737"/>
      <c r="I35" s="1736">
        <f t="shared" si="1"/>
        <v>1850000</v>
      </c>
      <c r="J35" s="1737">
        <v>1850000</v>
      </c>
      <c r="K35" s="597"/>
    </row>
    <row r="36" spans="1:11" ht="12" customHeight="1" x14ac:dyDescent="0.2">
      <c r="A36" s="594" t="s">
        <v>2072</v>
      </c>
      <c r="B36" s="595">
        <v>43647</v>
      </c>
      <c r="C36" s="1734">
        <v>302950</v>
      </c>
      <c r="D36" s="1735">
        <v>7</v>
      </c>
      <c r="E36" s="1734"/>
      <c r="F36" s="1734">
        <v>302950</v>
      </c>
      <c r="G36" s="1734"/>
      <c r="H36" s="1734"/>
      <c r="I36" s="1736">
        <f t="shared" si="1"/>
        <v>302950</v>
      </c>
      <c r="J36" s="1734">
        <v>302950</v>
      </c>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14519885</v>
      </c>
      <c r="D49" s="1742"/>
      <c r="E49" s="1736">
        <f t="shared" ref="E49:J49" si="2">SUM(E31:E48)</f>
        <v>12213599</v>
      </c>
      <c r="F49" s="1736">
        <f t="shared" si="2"/>
        <v>2315556</v>
      </c>
      <c r="G49" s="1736">
        <f t="shared" si="2"/>
        <v>0</v>
      </c>
      <c r="H49" s="1736">
        <f t="shared" si="2"/>
        <v>623892</v>
      </c>
      <c r="I49" s="1736">
        <f t="shared" si="2"/>
        <v>13905263</v>
      </c>
      <c r="J49" s="1736">
        <f t="shared" si="2"/>
        <v>13770119</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t="s">
        <v>2075</v>
      </c>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60581</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7138</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10282</v>
      </c>
    </row>
    <row r="10" spans="1:11" x14ac:dyDescent="0.2">
      <c r="A10" s="2348" t="s">
        <v>1790</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60581</v>
      </c>
      <c r="I12" s="1755">
        <f>SUM(I5:I11)</f>
        <v>0</v>
      </c>
      <c r="J12" s="1755">
        <f>SUM(J5:J11)</f>
        <v>0</v>
      </c>
      <c r="K12" s="1755">
        <f>SUM(K5:K11)</f>
        <v>17420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60581</v>
      </c>
      <c r="I14" s="1749"/>
      <c r="J14" s="1751"/>
      <c r="K14" s="1745">
        <v>17420</v>
      </c>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1786</v>
      </c>
      <c r="B19" s="2356"/>
      <c r="C19" s="2356"/>
      <c r="D19" s="2356"/>
      <c r="E19" s="2357"/>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60581</v>
      </c>
      <c r="I23" s="1755">
        <f>SUM(I14:I16,I21,I22)</f>
        <v>0</v>
      </c>
      <c r="J23" s="1755">
        <f>SUM(J14:J16,J21,J22)</f>
        <v>0</v>
      </c>
      <c r="K23" s="1755">
        <f>SUM(K14:K16,K21,K22)</f>
        <v>17420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754625</v>
      </c>
      <c r="D5" s="1770"/>
      <c r="E5" s="1770"/>
      <c r="F5" s="1765">
        <f>(C5+D5)-E5</f>
        <v>754625</v>
      </c>
      <c r="G5" s="676"/>
      <c r="H5" s="680"/>
      <c r="I5" s="680"/>
      <c r="J5" s="680"/>
      <c r="K5" s="637"/>
      <c r="L5" s="1442">
        <f>F5-K5</f>
        <v>754625</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18240218</v>
      </c>
      <c r="D8" s="1771">
        <v>12405472</v>
      </c>
      <c r="E8" s="1771"/>
      <c r="F8" s="1765">
        <f>(C8+D8)-E8</f>
        <v>30645690</v>
      </c>
      <c r="G8" s="681">
        <v>50</v>
      </c>
      <c r="H8" s="619">
        <v>9608534</v>
      </c>
      <c r="I8" s="619">
        <v>441296</v>
      </c>
      <c r="J8" s="619"/>
      <c r="K8" s="1442">
        <f>(H8+I8)-J8</f>
        <v>10049830</v>
      </c>
      <c r="L8" s="1442">
        <f>F8-K8</f>
        <v>20595860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1878894</v>
      </c>
      <c r="D10" s="1772"/>
      <c r="E10" s="1772"/>
      <c r="F10" s="1773">
        <f>(C10+D10)-E10</f>
        <v>1878894</v>
      </c>
      <c r="G10" s="681">
        <v>20</v>
      </c>
      <c r="H10" s="683">
        <v>1574139</v>
      </c>
      <c r="I10" s="683">
        <v>64255</v>
      </c>
      <c r="J10" s="683"/>
      <c r="K10" s="1442">
        <f>(H10+I10)-J10</f>
        <v>1638394</v>
      </c>
      <c r="L10" s="1442">
        <f>F10-K10</f>
        <v>240500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1323395</v>
      </c>
      <c r="D12" s="1771">
        <v>79961</v>
      </c>
      <c r="E12" s="1771"/>
      <c r="F12" s="1765">
        <f>(C12+D12)-E12</f>
        <v>1403356</v>
      </c>
      <c r="G12" s="681">
        <v>10</v>
      </c>
      <c r="H12" s="619">
        <v>1067138</v>
      </c>
      <c r="I12" s="619">
        <v>62313</v>
      </c>
      <c r="J12" s="619"/>
      <c r="K12" s="1442">
        <f>(H12+I12)-J12</f>
        <v>1129451</v>
      </c>
      <c r="L12" s="1442">
        <f>F12-K12</f>
        <v>273905</v>
      </c>
    </row>
    <row r="13" spans="1:14" ht="14.25" thickTop="1" thickBot="1" x14ac:dyDescent="0.25">
      <c r="A13" s="684" t="s">
        <v>1112</v>
      </c>
      <c r="B13" s="679">
        <v>252</v>
      </c>
      <c r="C13" s="1771">
        <v>3040401</v>
      </c>
      <c r="D13" s="1771">
        <v>135110</v>
      </c>
      <c r="E13" s="1771"/>
      <c r="F13" s="1765">
        <f>(C13+D13)-E13</f>
        <v>3175511</v>
      </c>
      <c r="G13" s="681">
        <v>5</v>
      </c>
      <c r="H13" s="619">
        <v>2617163</v>
      </c>
      <c r="I13" s="619">
        <v>175625</v>
      </c>
      <c r="J13" s="619"/>
      <c r="K13" s="1442">
        <f>(H13+I13)-J13</f>
        <v>2792788</v>
      </c>
      <c r="L13" s="1442">
        <f>F13-K13</f>
        <v>382723</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10262499</v>
      </c>
      <c r="D15" s="1771"/>
      <c r="E15" s="1771">
        <v>10262499</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35500032</v>
      </c>
      <c r="D16" s="1765">
        <f>SUM(D3,D5:D6,D8:D10,D12:D15)</f>
        <v>12620543</v>
      </c>
      <c r="E16" s="1765">
        <f>SUM(E3,E5:E6,E8:E10,E12:E15)</f>
        <v>10262499</v>
      </c>
      <c r="F16" s="1765">
        <f>SUM(F3,F5:F6,F8:F10,F12:F15)</f>
        <v>37858076</v>
      </c>
      <c r="G16" s="681"/>
      <c r="H16" s="1435">
        <f>SUM(H3,H6,H8:H10,H12:H14,)</f>
        <v>14866974</v>
      </c>
      <c r="I16" s="1435">
        <f>SUM(I3,I6,I8:I10,I12:I14,)</f>
        <v>743489</v>
      </c>
      <c r="J16" s="1435">
        <f>SUM(J3,J6,J8:J10,J12:J14,)</f>
        <v>0</v>
      </c>
      <c r="K16" s="1435">
        <f>(H16+I16)-J16</f>
        <v>15610463</v>
      </c>
      <c r="L16" s="1435">
        <f>F16-K16</f>
        <v>22247613</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743489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48"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9142871</v>
      </c>
      <c r="G8" s="701"/>
    </row>
    <row r="9" spans="1:9" x14ac:dyDescent="0.2">
      <c r="A9" s="705" t="s">
        <v>457</v>
      </c>
      <c r="B9" s="706" t="s">
        <v>1848</v>
      </c>
      <c r="C9" s="707"/>
      <c r="D9" s="705" t="s">
        <v>498</v>
      </c>
      <c r="E9" s="704"/>
      <c r="F9" s="1775">
        <f>'Expenditures 15-22'!K151</f>
        <v>1277623</v>
      </c>
      <c r="G9" s="708"/>
    </row>
    <row r="10" spans="1:9" x14ac:dyDescent="0.2">
      <c r="A10" s="705" t="s">
        <v>496</v>
      </c>
      <c r="B10" s="706" t="s">
        <v>1849</v>
      </c>
      <c r="C10" s="707"/>
      <c r="D10" s="705" t="s">
        <v>498</v>
      </c>
      <c r="E10" s="704"/>
      <c r="F10" s="1775">
        <f>'Expenditures 15-22'!K174</f>
        <v>1310257</v>
      </c>
      <c r="G10" s="708"/>
    </row>
    <row r="11" spans="1:9" x14ac:dyDescent="0.2">
      <c r="A11" s="705" t="s">
        <v>458</v>
      </c>
      <c r="B11" s="706" t="s">
        <v>1850</v>
      </c>
      <c r="C11" s="707"/>
      <c r="D11" s="705" t="s">
        <v>498</v>
      </c>
      <c r="E11" s="704"/>
      <c r="F11" s="1775">
        <f>'Expenditures 15-22'!K210</f>
        <v>1236510</v>
      </c>
      <c r="G11" s="708"/>
    </row>
    <row r="12" spans="1:9" x14ac:dyDescent="0.2">
      <c r="A12" s="705" t="s">
        <v>459</v>
      </c>
      <c r="B12" s="706" t="s">
        <v>1851</v>
      </c>
      <c r="C12" s="707"/>
      <c r="D12" s="705" t="s">
        <v>498</v>
      </c>
      <c r="E12" s="704"/>
      <c r="F12" s="1775">
        <f>'Expenditures 15-22'!K295</f>
        <v>484030</v>
      </c>
      <c r="G12" s="708"/>
    </row>
    <row r="13" spans="1:9" x14ac:dyDescent="0.2">
      <c r="A13" s="705" t="s">
        <v>106</v>
      </c>
      <c r="B13" s="706" t="s">
        <v>1852</v>
      </c>
      <c r="C13" s="707"/>
      <c r="D13" s="705" t="s">
        <v>498</v>
      </c>
      <c r="E13" s="704"/>
      <c r="F13" s="1775">
        <f>'Expenditures 15-22'!K342</f>
        <v>1253678</v>
      </c>
      <c r="G13" s="709"/>
    </row>
    <row r="14" spans="1:9" ht="12" customHeight="1" thickBot="1" x14ac:dyDescent="0.25">
      <c r="A14" s="1443"/>
      <c r="B14" s="1444"/>
      <c r="C14" s="1445"/>
      <c r="D14" s="1446" t="s">
        <v>498</v>
      </c>
      <c r="E14" s="1447" t="s">
        <v>952</v>
      </c>
      <c r="F14" s="1776">
        <f>SUM(F8:F13)</f>
        <v>14704969</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49588</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195138</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429391</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33733</v>
      </c>
      <c r="G52" s="701"/>
    </row>
    <row r="53" spans="1:7" x14ac:dyDescent="0.2">
      <c r="A53" s="705" t="s">
        <v>456</v>
      </c>
      <c r="B53" s="705" t="s">
        <v>1458</v>
      </c>
      <c r="C53" s="724">
        <f>'Expenditures 15-22'!B102</f>
        <v>4000</v>
      </c>
      <c r="D53" s="723" t="str">
        <f>'Expenditures 15-22'!A102</f>
        <v>Total Payments to Other Govt Units</v>
      </c>
      <c r="E53" s="704"/>
      <c r="F53" s="1782">
        <f>'Expenditures 15-22'!K102</f>
        <v>394633</v>
      </c>
      <c r="G53" s="701"/>
    </row>
    <row r="54" spans="1:7" x14ac:dyDescent="0.2">
      <c r="A54" s="705" t="s">
        <v>456</v>
      </c>
      <c r="B54" s="705" t="s">
        <v>1459</v>
      </c>
      <c r="C54" s="724" t="s">
        <v>975</v>
      </c>
      <c r="D54" s="720" t="s">
        <v>1086</v>
      </c>
      <c r="E54" s="704"/>
      <c r="F54" s="1782">
        <f>'Expenditures 15-22'!G114</f>
        <v>130255</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10536</v>
      </c>
      <c r="G57" s="701"/>
    </row>
    <row r="58" spans="1:7" x14ac:dyDescent="0.2">
      <c r="A58" s="705" t="s">
        <v>457</v>
      </c>
      <c r="B58" s="705" t="s">
        <v>1854</v>
      </c>
      <c r="C58" s="721" t="s">
        <v>975</v>
      </c>
      <c r="D58" s="720" t="s">
        <v>1086</v>
      </c>
      <c r="E58" s="704"/>
      <c r="F58" s="1784">
        <f>'Expenditures 15-22'!G151</f>
        <v>63301</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345000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278892</v>
      </c>
      <c r="G64" s="701"/>
    </row>
    <row r="65" spans="1:9" x14ac:dyDescent="0.2">
      <c r="A65" s="705" t="s">
        <v>458</v>
      </c>
      <c r="B65" s="705" t="s">
        <v>1861</v>
      </c>
      <c r="C65" s="721" t="s">
        <v>975</v>
      </c>
      <c r="D65" s="720" t="s">
        <v>1086</v>
      </c>
      <c r="E65" s="704"/>
      <c r="F65" s="1782">
        <f>'Expenditures 15-22'!G210</f>
        <v>13002</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7079</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4506</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8513</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1963567</v>
      </c>
      <c r="G77" s="701"/>
    </row>
    <row r="78" spans="1:9" s="728" customFormat="1" ht="12" customHeight="1" thickTop="1" thickBot="1" x14ac:dyDescent="0.25">
      <c r="A78" s="1450"/>
      <c r="B78" s="1448"/>
      <c r="C78" s="1445"/>
      <c r="D78" s="1449" t="s">
        <v>2012</v>
      </c>
      <c r="E78" s="1447"/>
      <c r="F78" s="1788">
        <f>(F14-F77)</f>
        <v>12741402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947.4</v>
      </c>
      <c r="G79" s="733"/>
      <c r="H79" s="705"/>
      <c r="I79" s="705"/>
    </row>
    <row r="80" spans="1:9" s="728" customFormat="1" ht="12" customHeight="1" thickBot="1" x14ac:dyDescent="0.25">
      <c r="A80" s="1452"/>
      <c r="B80" s="1448"/>
      <c r="C80" s="1445"/>
      <c r="D80" s="1449" t="s">
        <v>2013</v>
      </c>
      <c r="E80" s="1447" t="s">
        <v>952</v>
      </c>
      <c r="F80" s="1790">
        <f>IF(F79&gt;0,F78/F79," Complete Line 79")</f>
        <v>13448.8093730209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191537</v>
      </c>
      <c r="G95" s="745"/>
    </row>
    <row r="96" spans="1:7" x14ac:dyDescent="0.2">
      <c r="A96" s="741" t="s">
        <v>139</v>
      </c>
      <c r="B96" s="741" t="s">
        <v>174</v>
      </c>
      <c r="C96" s="743">
        <v>1700</v>
      </c>
      <c r="D96" s="751" t="str">
        <f>'Revenues 9-14'!A82</f>
        <v>Total District/School Activity Income</v>
      </c>
      <c r="E96" s="739"/>
      <c r="F96" s="1793">
        <f>SUM('Revenues 9-14'!C82,'Revenues 9-14'!D82)</f>
        <v>99833</v>
      </c>
      <c r="G96" s="745"/>
    </row>
    <row r="97" spans="1:7" x14ac:dyDescent="0.2">
      <c r="A97" s="741" t="s">
        <v>456</v>
      </c>
      <c r="B97" s="741" t="s">
        <v>175</v>
      </c>
      <c r="C97" s="743">
        <f>'Revenues 9-14'!B84</f>
        <v>1811</v>
      </c>
      <c r="D97" s="744" t="str">
        <f>'Revenues 9-14'!A84</f>
        <v>Rentals - Regular Textbooks</v>
      </c>
      <c r="E97" s="739"/>
      <c r="F97" s="1793">
        <f>'Revenues 9-14'!C84</f>
        <v>53217</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1860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897</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194817</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40357</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3060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10282</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793498</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778</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285878</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246185</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48776</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16018</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41577</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16734</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103128</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18919</v>
      </c>
      <c r="G171" s="760"/>
    </row>
    <row r="172" spans="1:7" x14ac:dyDescent="0.2">
      <c r="A172" s="1529" t="s">
        <v>5</v>
      </c>
      <c r="B172" s="1530" t="s">
        <v>1885</v>
      </c>
      <c r="C172" s="1531">
        <v>3100</v>
      </c>
      <c r="D172" s="1532" t="s">
        <v>1887</v>
      </c>
      <c r="E172" s="739"/>
      <c r="F172" s="1794">
        <v>393671</v>
      </c>
      <c r="G172" s="760"/>
    </row>
    <row r="173" spans="1:7" x14ac:dyDescent="0.2">
      <c r="A173" s="1529" t="s">
        <v>659</v>
      </c>
      <c r="B173" s="1530" t="s">
        <v>1885</v>
      </c>
      <c r="C173" s="1531">
        <v>3300</v>
      </c>
      <c r="D173" s="1532" t="s">
        <v>1888</v>
      </c>
      <c r="E173" s="739"/>
      <c r="F173" s="1794">
        <v>52</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2611074</v>
      </c>
    </row>
    <row r="176" spans="1:7" ht="12" customHeight="1" x14ac:dyDescent="0.2">
      <c r="A176" s="1443"/>
      <c r="B176" s="1453"/>
      <c r="C176" s="1454"/>
      <c r="D176" s="1455" t="s">
        <v>2014</v>
      </c>
      <c r="E176" s="1456"/>
      <c r="F176" s="1793">
        <f>'PCTC-OEPP 27-28'!F78-F175</f>
        <v>10130328</v>
      </c>
    </row>
    <row r="177" spans="1:9" ht="12" customHeight="1" x14ac:dyDescent="0.2">
      <c r="A177" s="1443"/>
      <c r="B177" s="1453"/>
      <c r="C177" s="1454"/>
      <c r="D177" s="1455" t="s">
        <v>1794</v>
      </c>
      <c r="E177" s="1456"/>
      <c r="F177" s="1793">
        <f>'Cap Outlay Deprec 26'!I18</f>
        <v>743489</v>
      </c>
    </row>
    <row r="178" spans="1:9" ht="12" customHeight="1" x14ac:dyDescent="0.2">
      <c r="A178" s="1443"/>
      <c r="B178" s="1453"/>
      <c r="C178" s="1454"/>
      <c r="D178" s="1455" t="s">
        <v>2015</v>
      </c>
      <c r="E178" s="1456"/>
      <c r="F178" s="1793">
        <f>F176+F177</f>
        <v>10873817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947.4</v>
      </c>
      <c r="G179" s="763"/>
      <c r="I179" s="701"/>
    </row>
    <row r="180" spans="1:9" ht="12" customHeight="1" thickBot="1" x14ac:dyDescent="0.25">
      <c r="A180" s="1443"/>
      <c r="B180" s="1457"/>
      <c r="C180" s="1454"/>
      <c r="D180" s="1455" t="s">
        <v>2017</v>
      </c>
      <c r="E180" s="1456" t="s">
        <v>1528</v>
      </c>
      <c r="F180" s="1798">
        <f>F178/F179</f>
        <v>11477.535359932446</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0" zoomScaleNormal="100" workbookViewId="0">
      <selection activeCell="B20" sqref="B20"/>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2079</v>
      </c>
      <c r="B18" s="1908">
        <v>202540300</v>
      </c>
      <c r="C18" s="2036" t="s">
        <v>2080</v>
      </c>
      <c r="D18" s="1886">
        <v>11437</v>
      </c>
      <c r="E18" s="1906">
        <f t="shared" ref="E18:E81" si="0">IF(D18&lt;25000,D18,"25,000")</f>
        <v>11437</v>
      </c>
      <c r="F18" s="1906" t="str">
        <f t="shared" ref="F18:F81" si="1">IF(D18&gt;=25000,(D18-E18),"0")</f>
        <v>0</v>
      </c>
      <c r="G18" s="1887"/>
    </row>
    <row r="19" spans="1:7" x14ac:dyDescent="0.25">
      <c r="A19" s="2035" t="s">
        <v>2079</v>
      </c>
      <c r="B19" s="1908">
        <v>202540300</v>
      </c>
      <c r="C19" s="2036" t="s">
        <v>2082</v>
      </c>
      <c r="D19" s="1886">
        <v>22075</v>
      </c>
      <c r="E19" s="1906">
        <f t="shared" si="0"/>
        <v>22075</v>
      </c>
      <c r="F19" s="1906" t="str">
        <f t="shared" si="1"/>
        <v>0</v>
      </c>
    </row>
    <row r="20" spans="1:7" x14ac:dyDescent="0.25">
      <c r="A20" s="2035" t="s">
        <v>2079</v>
      </c>
      <c r="B20" s="1908">
        <v>202540300</v>
      </c>
      <c r="C20" s="2036" t="s">
        <v>2081</v>
      </c>
      <c r="D20" s="1886">
        <v>15303</v>
      </c>
      <c r="E20" s="1906">
        <f t="shared" si="0"/>
        <v>15303</v>
      </c>
      <c r="F20" s="1906" t="str">
        <f t="shared" si="1"/>
        <v>0</v>
      </c>
    </row>
    <row r="21" spans="1:7" x14ac:dyDescent="0.25">
      <c r="A21" s="2035" t="s">
        <v>2079</v>
      </c>
      <c r="B21" s="1908">
        <v>202540300</v>
      </c>
      <c r="C21" s="2036" t="s">
        <v>2083</v>
      </c>
      <c r="D21" s="1886">
        <v>21218</v>
      </c>
      <c r="E21" s="1906">
        <f t="shared" si="0"/>
        <v>21218</v>
      </c>
      <c r="F21" s="1906" t="str">
        <f t="shared" si="1"/>
        <v>0</v>
      </c>
    </row>
    <row r="22" spans="1:7" x14ac:dyDescent="0.25">
      <c r="A22" s="2035" t="s">
        <v>2079</v>
      </c>
      <c r="B22" s="1908">
        <v>202540300</v>
      </c>
      <c r="C22" s="2036" t="s">
        <v>2084</v>
      </c>
      <c r="D22" s="1886">
        <v>19074</v>
      </c>
      <c r="E22" s="1906">
        <f t="shared" si="0"/>
        <v>19074</v>
      </c>
      <c r="F22" s="1906" t="str">
        <f t="shared" si="1"/>
        <v>0</v>
      </c>
    </row>
    <row r="23" spans="1:7" x14ac:dyDescent="0.25">
      <c r="A23" s="2035" t="s">
        <v>2079</v>
      </c>
      <c r="B23" s="1908">
        <v>202540300</v>
      </c>
      <c r="C23" s="2036" t="s">
        <v>2085</v>
      </c>
      <c r="D23" s="1886">
        <v>2640</v>
      </c>
      <c r="E23" s="1906">
        <f t="shared" si="0"/>
        <v>2640</v>
      </c>
      <c r="F23" s="1906" t="str">
        <f t="shared" si="1"/>
        <v>0</v>
      </c>
    </row>
    <row r="24" spans="1:7"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91747</v>
      </c>
      <c r="E142" s="1893">
        <f>SUM(E18:E141)</f>
        <v>91747</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114300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114300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7"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47979</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6702711</v>
      </c>
      <c r="F19" s="1802"/>
      <c r="G19" s="1804">
        <f>'Expenditures 15-22'!K33-SUM('Expenditures 15-22'!G33,'Expenditures 15-22'!I33)+'Expenditures 15-22'!D229</f>
        <v>6702711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402874</v>
      </c>
      <c r="F21" s="1805"/>
      <c r="G21" s="1808">
        <f>'Expenditures 15-22'!K42-SUM('Expenditures 15-22'!G42,'Expenditures 15-22'!I42)+'Expenditures 15-22'!K120-SUM('Expenditures 15-22'!G120,'Expenditures 15-22'!I120)+'Expenditures 15-22'!K180-SUM('Expenditures 15-22'!G180,'Expenditures 15-22'!I180)+'Expenditures 15-22'!D238</f>
        <v>402874</v>
      </c>
      <c r="H21" s="817"/>
      <c r="I21" s="157"/>
    </row>
    <row r="22" spans="1:9" s="542" customFormat="1" ht="12" customHeight="1" x14ac:dyDescent="0.2">
      <c r="A22" s="824" t="s">
        <v>560</v>
      </c>
      <c r="B22" s="825"/>
      <c r="C22" s="823">
        <v>2200</v>
      </c>
      <c r="D22" s="1805"/>
      <c r="E22" s="1807">
        <f>'Expenditures 15-22'!K47-SUM('Expenditures 15-22'!G47,'Expenditures 15-22'!I47)+'Expenditures 15-22'!D243</f>
        <v>190281</v>
      </c>
      <c r="F22" s="1805"/>
      <c r="G22" s="1808">
        <f>'Expenditures 15-22'!K47-SUM('Expenditures 15-22'!G47,'Expenditures 15-22'!I47)+'Expenditures 15-22'!D243</f>
        <v>190281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1544546</v>
      </c>
      <c r="F23" s="1805"/>
      <c r="G23" s="1807">
        <f>'Expenditures 15-22'!K53-SUM('Expenditures 15-22'!G53,'Expenditures 15-22'!I53)+'Expenditures 15-22'!D257+'Expenditures 15-22'!K330-SUM('Expenditures 15-22'!G330,'Expenditures 15-22'!I330)</f>
        <v>1544546</v>
      </c>
      <c r="H23" s="817"/>
      <c r="I23" s="157"/>
    </row>
    <row r="24" spans="1:9" s="542" customFormat="1" ht="12" customHeight="1" x14ac:dyDescent="0.2">
      <c r="A24" s="824" t="s">
        <v>562</v>
      </c>
      <c r="B24" s="825"/>
      <c r="C24" s="823">
        <v>2400</v>
      </c>
      <c r="D24" s="1805"/>
      <c r="E24" s="1807">
        <f>'Expenditures 15-22'!K57-SUM('Expenditures 15-22'!G57,'Expenditures 15-22'!I57)+'Expenditures 15-22'!D261</f>
        <v>529195</v>
      </c>
      <c r="F24" s="1805"/>
      <c r="G24" s="1808">
        <f>'Expenditures 15-22'!K57-SUM('Expenditures 15-22'!G57,'Expenditures 15-22'!I57)+'Expenditures 15-22'!D261</f>
        <v>529195</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90839</v>
      </c>
      <c r="E27" s="1807">
        <f>E8</f>
        <v>0</v>
      </c>
      <c r="F27" s="1807">
        <f>'Expenditures 15-22'!K60-SUM('Expenditures 15-22'!G60,'Expenditures 15-22'!I60)+'Expenditures 15-22'!D264-E8</f>
        <v>90839</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1271204</v>
      </c>
      <c r="F28" s="1809">
        <f>'Expenditures 15-22'!K61-SUM('Expenditures 15-22'!G61,'Expenditures 15-22'!I61)+'Expenditures 15-22'!K124-SUM('Expenditures 15-22'!G124,'Expenditures 15-22'!I124)+'Expenditures 15-22'!D266-E9</f>
        <v>1271204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1033134</v>
      </c>
      <c r="F29" s="1805"/>
      <c r="G29" s="1808">
        <f>'Expenditures 15-22'!K62-SUM('Expenditures 15-22'!G62,'Expenditures 15-22'!I62)+'Expenditures 15-22'!K125-SUM('Expenditures 15-22'!G125,'Expenditures 15-22'!I125)+'Expenditures 15-22'!K182-SUM('Expenditures 15-22'!G182,'Expenditures 15-22'!I182)+'Expenditures 15-22'!D267</f>
        <v>1033134</v>
      </c>
      <c r="H29" s="815"/>
    </row>
    <row r="30" spans="1:9" ht="12" customHeight="1" x14ac:dyDescent="0.2">
      <c r="A30" s="824" t="s">
        <v>100</v>
      </c>
      <c r="B30" s="827"/>
      <c r="C30" s="823">
        <v>2560</v>
      </c>
      <c r="D30" s="1805"/>
      <c r="E30" s="1807">
        <f>'Expenditures 15-22'!K63-SUM('Expenditures 15-22'!G63,'Expenditures 15-22'!I63)+'Expenditures 15-22'!D268-E10</f>
        <v>517558</v>
      </c>
      <c r="F30" s="1805"/>
      <c r="G30" s="1807">
        <f>'Expenditures 15-22'!K63-SUM('Expenditures 15-22'!G63,'Expenditures 15-22'!I63)+'Expenditures 15-22'!D268-E10</f>
        <v>517558</v>
      </c>
    </row>
    <row r="31" spans="1:9" ht="12" customHeight="1" x14ac:dyDescent="0.2">
      <c r="A31" s="824" t="s">
        <v>101</v>
      </c>
      <c r="B31" s="827"/>
      <c r="C31" s="823">
        <v>2570</v>
      </c>
      <c r="D31" s="1807">
        <f>'Expenditures 15-22'!K64-SUM('Expenditures 15-22'!G64,'Expenditures 15-22'!I64)+'Expenditures 15-22'!D269-E12</f>
        <v>32144</v>
      </c>
      <c r="E31" s="1807">
        <f>E12</f>
        <v>0</v>
      </c>
      <c r="F31" s="1807">
        <f>'Expenditures 15-22'!K64-SUM('Expenditures 15-22'!G64,'Expenditures 15-22'!I64)+'Expenditures 15-22'!D269-E12</f>
        <v>32144</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131798</v>
      </c>
      <c r="E37" s="1807">
        <f>E14</f>
        <v>0</v>
      </c>
      <c r="F37" s="1807">
        <f>'Expenditures 15-22'!K71-SUM('Expenditures 15-22'!G71,'Expenditures 15-22'!I71)+'Expenditures 15-22'!D276-E14</f>
        <v>131798</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38239</v>
      </c>
      <c r="F39" s="1805"/>
      <c r="G39" s="1807">
        <f>'Expenditures 15-22'!K75-SUM('Expenditures 15-22'!G75,'Expenditures 15-22'!I75)+'Expenditures 15-22'!K130-SUM('Expenditures 15-22'!G130,'Expenditures 15-22'!I130)+'Expenditures 15-22'!K185-SUM('Expenditures 15-22'!G185,'Expenditures 15-22'!I185)+'Expenditures 15-22'!D280</f>
        <v>38239</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254781</v>
      </c>
      <c r="E41" s="1809">
        <f>SUM(E19:E40)</f>
        <v>12229742</v>
      </c>
      <c r="F41" s="1809">
        <f>SUM(F19:F39)</f>
        <v>1525985</v>
      </c>
      <c r="G41" s="1809">
        <f>SUM(G19:G40)</f>
        <v>10958538</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254781</v>
      </c>
      <c r="F43" s="1458" t="s">
        <v>470</v>
      </c>
      <c r="G43" s="1810">
        <f>F41</f>
        <v>1525985</v>
      </c>
    </row>
    <row r="44" spans="1:7" ht="12" customHeight="1" x14ac:dyDescent="0.2">
      <c r="A44" s="817"/>
      <c r="B44" s="157"/>
      <c r="C44" s="831"/>
      <c r="D44" s="1458" t="s">
        <v>471</v>
      </c>
      <c r="E44" s="1810">
        <f>E41</f>
        <v>12229742</v>
      </c>
      <c r="F44" s="1458" t="s">
        <v>471</v>
      </c>
      <c r="G44" s="1810">
        <f>G41</f>
        <v>10958538</v>
      </c>
    </row>
    <row r="45" spans="1:7" ht="12" customHeight="1" x14ac:dyDescent="0.2">
      <c r="A45" s="817"/>
      <c r="B45" s="157"/>
      <c r="C45" s="157"/>
      <c r="D45" s="1459" t="s">
        <v>999</v>
      </c>
      <c r="E45" s="1811">
        <f>(E43/E44)</f>
        <v>2.0832900645001342E-2</v>
      </c>
      <c r="F45" s="1459" t="s">
        <v>999</v>
      </c>
      <c r="G45" s="1811">
        <f>(G43/G44)</f>
        <v>0.13925078327054211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view="pageBreakPreview" zoomScale="60" zoomScaleNormal="110" workbookViewId="0">
      <selection activeCell="C32" sqref="C3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Bureau Valley CUSD 340</v>
      </c>
      <c r="D6" s="2404"/>
      <c r="E6" s="2404"/>
      <c r="F6" s="1482"/>
      <c r="G6" s="1507"/>
      <c r="L6" s="1507"/>
      <c r="M6" s="1855"/>
      <c r="N6" s="1855"/>
      <c r="O6" s="1855"/>
    </row>
    <row r="7" spans="1:15" ht="11.25" customHeight="1" thickBot="1" x14ac:dyDescent="0.3">
      <c r="A7" s="1480"/>
      <c r="B7" s="1481"/>
      <c r="C7" s="2405">
        <f>COVER!A13</f>
        <v>28006340026</v>
      </c>
      <c r="D7" s="2405"/>
      <c r="E7" s="240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2051</v>
      </c>
      <c r="D24" s="1495" t="s">
        <v>2051</v>
      </c>
      <c r="E24" s="1498"/>
      <c r="F24" s="1497" t="s">
        <v>2076</v>
      </c>
      <c r="G24" s="1507"/>
      <c r="H24" s="1507">
        <f t="shared" si="0"/>
        <v>5</v>
      </c>
      <c r="I24" s="1507">
        <f t="shared" si="1"/>
        <v>5</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2077</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c r="F31" s="1497" t="s">
        <v>2078</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K13" sqref="K13"/>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Bureau Valley CUSD 340</v>
      </c>
      <c r="K6" s="2420"/>
      <c r="L6" s="2421"/>
      <c r="M6" s="838"/>
      <c r="N6" s="1998"/>
    </row>
    <row r="7" spans="1:14" x14ac:dyDescent="0.2">
      <c r="A7" s="2422" t="s">
        <v>864</v>
      </c>
      <c r="B7" s="2423"/>
      <c r="C7" s="2423"/>
      <c r="D7" s="2423"/>
      <c r="E7" s="2424"/>
      <c r="F7" s="839"/>
      <c r="G7" s="838"/>
      <c r="H7" s="838"/>
      <c r="I7" s="1924" t="s">
        <v>369</v>
      </c>
      <c r="J7" s="2425">
        <f>COVER!A13</f>
        <v>28006340026</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222882</v>
      </c>
      <c r="F12" s="1942"/>
      <c r="G12" s="1968">
        <f>G68</f>
        <v>52000</v>
      </c>
      <c r="H12" s="1944">
        <f t="shared" ref="H12:H18" si="0">SUM(E12:G12)</f>
        <v>274882</v>
      </c>
      <c r="I12" s="1943">
        <v>182239</v>
      </c>
      <c r="J12" s="1942"/>
      <c r="K12" s="1943">
        <v>54000</v>
      </c>
      <c r="L12" s="1944">
        <f t="shared" ref="L12:L18" si="1">SUM(I12:K12)</f>
        <v>236239</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32144</v>
      </c>
      <c r="F16" s="1942"/>
      <c r="G16" s="1968">
        <f>K68</f>
        <v>0</v>
      </c>
      <c r="H16" s="1944">
        <f t="shared" si="0"/>
        <v>32144</v>
      </c>
      <c r="I16" s="1943">
        <v>33500</v>
      </c>
      <c r="J16" s="1942"/>
      <c r="K16" s="1943"/>
      <c r="L16" s="1944">
        <f t="shared" si="1"/>
        <v>33500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255026</v>
      </c>
      <c r="F19" s="1950">
        <f t="shared" si="2"/>
        <v>0</v>
      </c>
      <c r="G19" s="1950">
        <f t="shared" ref="G19" si="3">SUM(G12:G17)-G18</f>
        <v>52000</v>
      </c>
      <c r="H19" s="1950">
        <f t="shared" si="2"/>
        <v>307026</v>
      </c>
      <c r="I19" s="1950">
        <f t="shared" si="2"/>
        <v>215739</v>
      </c>
      <c r="J19" s="1950">
        <f t="shared" si="2"/>
        <v>0</v>
      </c>
      <c r="K19" s="1950">
        <f t="shared" si="2"/>
        <v>54000</v>
      </c>
      <c r="L19" s="1950">
        <f t="shared" si="2"/>
        <v>269739</v>
      </c>
      <c r="M19" s="838"/>
      <c r="N19" s="1998"/>
    </row>
    <row r="20" spans="1:14" ht="13.5" thickTop="1" x14ac:dyDescent="0.2">
      <c r="A20" s="2003">
        <v>9</v>
      </c>
      <c r="B20" s="2432" t="s">
        <v>2021</v>
      </c>
      <c r="C20" s="2432"/>
      <c r="D20" s="2433"/>
      <c r="E20" s="1951"/>
      <c r="F20" s="1951"/>
      <c r="G20" s="1951"/>
      <c r="H20" s="1951"/>
      <c r="I20" s="1951"/>
      <c r="J20" s="1951"/>
      <c r="K20" s="1951"/>
      <c r="L20" s="1952">
        <f>IF(AND(H19&gt;0,L19&gt;0),(((L19-H19)/H19)),"Enter Budget Data")</f>
        <v>-0.12144574075159759</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2024</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2025</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2026</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Bureau Valley CUSD 340</v>
      </c>
      <c r="M52" s="2420"/>
      <c r="N52" s="2450"/>
    </row>
    <row r="53" spans="1:14" x14ac:dyDescent="0.2">
      <c r="A53" s="1982"/>
      <c r="B53" s="1983"/>
      <c r="C53" s="1983"/>
      <c r="D53" s="1983"/>
      <c r="E53" s="1983"/>
      <c r="F53" s="1983"/>
      <c r="G53" s="1983"/>
      <c r="H53" s="1983"/>
      <c r="I53" s="1983"/>
      <c r="J53" s="1983"/>
      <c r="K53" s="1924" t="s">
        <v>369</v>
      </c>
      <c r="L53" s="2425">
        <f>J7</f>
        <v>28006340026</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2041</v>
      </c>
      <c r="B58" s="2439"/>
      <c r="C58" s="2439"/>
      <c r="D58" s="1967">
        <v>2362</v>
      </c>
      <c r="E58" s="1977">
        <f>'Expenditures 15-22'!K320</f>
        <v>90620</v>
      </c>
      <c r="F58" s="1972"/>
      <c r="G58" s="2031"/>
      <c r="H58" s="2032"/>
      <c r="I58" s="2032"/>
      <c r="J58" s="2032"/>
      <c r="K58" s="2032"/>
      <c r="L58" s="2032"/>
      <c r="M58" s="2032">
        <v>90620</v>
      </c>
      <c r="N58" s="1975">
        <f>IF((SUM(G58:M58))=E58,SUM(G58:M58),"Column N does not agree with Column E")</f>
        <v>90620</v>
      </c>
    </row>
    <row r="59" spans="1:14" ht="24.75" customHeight="1" x14ac:dyDescent="0.2">
      <c r="A59" s="2461" t="s">
        <v>297</v>
      </c>
      <c r="B59" s="2462"/>
      <c r="C59" s="2462"/>
      <c r="D59" s="1967">
        <v>2363</v>
      </c>
      <c r="E59" s="1977">
        <f>'Expenditures 15-22'!K321</f>
        <v>10598</v>
      </c>
      <c r="F59" s="1972"/>
      <c r="G59" s="2031"/>
      <c r="H59" s="2032"/>
      <c r="I59" s="2032"/>
      <c r="J59" s="2032"/>
      <c r="K59" s="2032"/>
      <c r="L59" s="2032"/>
      <c r="M59" s="2032">
        <v>10598</v>
      </c>
      <c r="N59" s="1975">
        <f>IF((SUM(G59:M59))=E59,SUM(G59:M59),"Column N does not agree with Column E")</f>
        <v>10598</v>
      </c>
    </row>
    <row r="60" spans="1:14" ht="24" customHeight="1" x14ac:dyDescent="0.2">
      <c r="A60" s="2461" t="s">
        <v>236</v>
      </c>
      <c r="B60" s="2462"/>
      <c r="C60" s="2462"/>
      <c r="D60" s="1967">
        <v>2364</v>
      </c>
      <c r="E60" s="1977">
        <f>'Expenditures 15-22'!K322</f>
        <v>93221</v>
      </c>
      <c r="F60" s="1972"/>
      <c r="G60" s="2031"/>
      <c r="H60" s="2032"/>
      <c r="I60" s="2032"/>
      <c r="J60" s="2032"/>
      <c r="K60" s="2032"/>
      <c r="L60" s="2032"/>
      <c r="M60" s="2032">
        <v>93221</v>
      </c>
      <c r="N60" s="1975">
        <f t="shared" ref="N60:N67" si="4">IF((SUM(G60:M60))=E60,SUM(G60:M60),"Column N does not agree with Column E")</f>
        <v>93221</v>
      </c>
    </row>
    <row r="61" spans="1:14" ht="24.75" customHeight="1" x14ac:dyDescent="0.2">
      <c r="A61" s="2461" t="s">
        <v>697</v>
      </c>
      <c r="B61" s="2462"/>
      <c r="C61" s="2462"/>
      <c r="D61" s="1967">
        <v>2365</v>
      </c>
      <c r="E61" s="1977">
        <f>'Expenditures 15-22'!K323</f>
        <v>0</v>
      </c>
      <c r="F61" s="1972"/>
      <c r="G61" s="2031"/>
      <c r="H61" s="2032"/>
      <c r="I61" s="2032"/>
      <c r="J61" s="2032"/>
      <c r="K61" s="2032"/>
      <c r="L61" s="2032"/>
      <c r="M61" s="2032"/>
      <c r="N61" s="1975">
        <f t="shared" si="4"/>
        <v>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1035992</v>
      </c>
      <c r="F63" s="1972"/>
      <c r="G63" s="2031">
        <v>52000</v>
      </c>
      <c r="H63" s="2032"/>
      <c r="I63" s="2032"/>
      <c r="J63" s="2032"/>
      <c r="K63" s="2032"/>
      <c r="L63" s="2032"/>
      <c r="M63" s="2032">
        <f>1035992-52000</f>
        <v>983992</v>
      </c>
      <c r="N63" s="1975">
        <f t="shared" si="4"/>
        <v>1035992</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23247</v>
      </c>
      <c r="F65" s="1972"/>
      <c r="G65" s="2031"/>
      <c r="H65" s="2032"/>
      <c r="I65" s="2032"/>
      <c r="J65" s="2032"/>
      <c r="K65" s="2032"/>
      <c r="L65" s="2032"/>
      <c r="M65" s="2032">
        <v>23247</v>
      </c>
      <c r="N65" s="1975">
        <f t="shared" si="4"/>
        <v>23247</v>
      </c>
    </row>
    <row r="66" spans="1:14" ht="24" customHeight="1" x14ac:dyDescent="0.2">
      <c r="A66" s="2461" t="s">
        <v>469</v>
      </c>
      <c r="B66" s="2462"/>
      <c r="C66" s="2462"/>
      <c r="D66" s="1967">
        <v>2371</v>
      </c>
      <c r="E66" s="1977">
        <f>'Expenditures 15-22'!K328</f>
        <v>0</v>
      </c>
      <c r="F66" s="1972"/>
      <c r="G66" s="2031"/>
      <c r="H66" s="2032"/>
      <c r="I66" s="2032"/>
      <c r="J66" s="2032"/>
      <c r="K66" s="2032"/>
      <c r="L66" s="2032"/>
      <c r="M66" s="2032"/>
      <c r="N66" s="1975">
        <f t="shared" si="4"/>
        <v>0</v>
      </c>
    </row>
    <row r="67" spans="1:14" ht="24.75" customHeight="1" x14ac:dyDescent="0.2">
      <c r="A67" s="2463" t="s">
        <v>2042</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1253678</v>
      </c>
      <c r="F68" s="1973"/>
      <c r="G68" s="1974">
        <f t="shared" ref="G68:N68" si="5">SUM(G57:G67)</f>
        <v>52000</v>
      </c>
      <c r="H68" s="1974">
        <f t="shared" si="5"/>
        <v>0</v>
      </c>
      <c r="I68" s="1974">
        <f t="shared" si="5"/>
        <v>0</v>
      </c>
      <c r="J68" s="1974">
        <f t="shared" si="5"/>
        <v>0</v>
      </c>
      <c r="K68" s="1974">
        <f t="shared" si="5"/>
        <v>0</v>
      </c>
      <c r="L68" s="1974">
        <f t="shared" si="5"/>
        <v>0</v>
      </c>
      <c r="M68" s="1974">
        <f t="shared" si="5"/>
        <v>1201678</v>
      </c>
      <c r="N68" s="1988">
        <f t="shared" si="5"/>
        <v>1253678</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19" sqref="A19"/>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2086</v>
      </c>
    </row>
    <row r="6" spans="1:2" x14ac:dyDescent="0.2">
      <c r="A6" s="847">
        <v>2</v>
      </c>
      <c r="B6" s="307" t="s">
        <v>2087</v>
      </c>
    </row>
    <row r="7" spans="1:2" x14ac:dyDescent="0.2">
      <c r="A7" s="847">
        <v>3</v>
      </c>
      <c r="B7" s="307" t="s">
        <v>2088</v>
      </c>
    </row>
    <row r="8" spans="1:2" x14ac:dyDescent="0.2">
      <c r="A8" s="847"/>
      <c r="B8" s="307" t="s">
        <v>2089</v>
      </c>
    </row>
    <row r="9" spans="1:2" x14ac:dyDescent="0.2">
      <c r="A9" s="848" t="s">
        <v>2090</v>
      </c>
      <c r="B9" s="307" t="s">
        <v>2091</v>
      </c>
    </row>
    <row r="10" spans="1:2" x14ac:dyDescent="0.2">
      <c r="A10" s="848">
        <v>4</v>
      </c>
      <c r="B10" s="307" t="s">
        <v>2092</v>
      </c>
    </row>
    <row r="11" spans="1:2" x14ac:dyDescent="0.2">
      <c r="A11" s="848">
        <v>5</v>
      </c>
      <c r="B11" s="307" t="s">
        <v>2093</v>
      </c>
    </row>
    <row r="12" spans="1:2" x14ac:dyDescent="0.2">
      <c r="A12" s="848">
        <v>6</v>
      </c>
      <c r="B12" s="307" t="s">
        <v>2094</v>
      </c>
    </row>
    <row r="13" spans="1:2" x14ac:dyDescent="0.2">
      <c r="A13" s="848">
        <v>7</v>
      </c>
      <c r="B13" s="307" t="s">
        <v>2095</v>
      </c>
    </row>
    <row r="14" spans="1:2" x14ac:dyDescent="0.2">
      <c r="A14" s="848">
        <v>8</v>
      </c>
      <c r="B14" s="307" t="s">
        <v>2096</v>
      </c>
    </row>
    <row r="15" spans="1:2" x14ac:dyDescent="0.2">
      <c r="A15" s="848">
        <v>9</v>
      </c>
      <c r="B15" s="307" t="s">
        <v>2097</v>
      </c>
    </row>
    <row r="16" spans="1:2" x14ac:dyDescent="0.2">
      <c r="A16" s="848">
        <v>10</v>
      </c>
      <c r="B16" s="307" t="s">
        <v>2098</v>
      </c>
    </row>
    <row r="17" spans="1:2" x14ac:dyDescent="0.2">
      <c r="A17" s="848">
        <v>11</v>
      </c>
      <c r="B17" s="307" t="s">
        <v>2099</v>
      </c>
    </row>
    <row r="18" spans="1:2" x14ac:dyDescent="0.2">
      <c r="A18" s="848"/>
      <c r="B18" s="307" t="s">
        <v>2100</v>
      </c>
    </row>
    <row r="19" spans="1:2" x14ac:dyDescent="0.2">
      <c r="A19" s="848"/>
    </row>
    <row r="20" spans="1:2" x14ac:dyDescent="0.2">
      <c r="A20" s="848"/>
    </row>
    <row r="21" spans="1:2" x14ac:dyDescent="0.2">
      <c r="A21" s="848"/>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Bureau Valley CUSD 340</v>
      </c>
    </row>
    <row r="65" spans="2:2" x14ac:dyDescent="0.2">
      <c r="B65" s="849">
        <f>COVER!A13</f>
        <v>28006340026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9144159</v>
      </c>
      <c r="C8" s="1813">
        <f>'Acct Summary 7-8'!D8</f>
        <v>1384762</v>
      </c>
      <c r="D8" s="1813">
        <f>'Acct Summary 7-8'!F8</f>
        <v>1269332</v>
      </c>
      <c r="E8" s="1813">
        <f>'Acct Summary 7-8'!I8</f>
        <v>85560</v>
      </c>
      <c r="F8" s="1813">
        <f>SUM(B8:E8)</f>
        <v>11883813</v>
      </c>
    </row>
    <row r="9" spans="1:8" s="858" customFormat="1" ht="14.25" customHeight="1" thickBot="1" x14ac:dyDescent="0.25">
      <c r="A9" s="857" t="s">
        <v>1353</v>
      </c>
      <c r="B9" s="1814">
        <f>'Acct Summary 7-8'!C17</f>
        <v>9142871</v>
      </c>
      <c r="C9" s="1814">
        <f>'Acct Summary 7-8'!D17</f>
        <v>1277623</v>
      </c>
      <c r="D9" s="1814">
        <f>'Acct Summary 7-8'!F17</f>
        <v>1236510</v>
      </c>
      <c r="E9" s="1813"/>
      <c r="F9" s="1813">
        <f>SUM(B9:E9)</f>
        <v>11657004</v>
      </c>
    </row>
    <row r="10" spans="1:8" s="858" customFormat="1" ht="14.25" thickTop="1" thickBot="1" x14ac:dyDescent="0.25">
      <c r="A10" s="859" t="s">
        <v>1354</v>
      </c>
      <c r="B10" s="1815">
        <f>(B8-B9)</f>
        <v>1288</v>
      </c>
      <c r="C10" s="1815">
        <f>(C8-C9)</f>
        <v>107139</v>
      </c>
      <c r="D10" s="1815">
        <f>(D8-D9)</f>
        <v>32822</v>
      </c>
      <c r="E10" s="1814">
        <f>(E8-E9)</f>
        <v>85560</v>
      </c>
      <c r="F10" s="1816">
        <f>SUM(F8-F9)</f>
        <v>226809</v>
      </c>
    </row>
    <row r="11" spans="1:8" s="858" customFormat="1" ht="14.25" thickTop="1" thickBot="1" x14ac:dyDescent="0.25">
      <c r="A11" s="860" t="s">
        <v>1903</v>
      </c>
      <c r="B11" s="1817">
        <f>'Acct Summary 7-8'!C81</f>
        <v>409177</v>
      </c>
      <c r="C11" s="1817">
        <f>'Acct Summary 7-8'!D81</f>
        <v>275908</v>
      </c>
      <c r="D11" s="1817">
        <f>'Acct Summary 7-8'!F81</f>
        <v>235144</v>
      </c>
      <c r="E11" s="1817">
        <f>'Acct Summary 7-8'!I81</f>
        <v>1985925</v>
      </c>
      <c r="F11" s="1818">
        <f>SUM(B11:E11)</f>
        <v>2906154</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1"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ERROR!</v>
      </c>
    </row>
    <row r="69" spans="1:4" x14ac:dyDescent="0.2">
      <c r="A69" s="879"/>
      <c r="B69" s="889"/>
      <c r="C69" s="881" t="s">
        <v>1882</v>
      </c>
      <c r="D69" s="903" t="str">
        <f>IF('Expenditures 15-22'!H170&lt;&gt;'Short-Term Long-Term Debt 24'!H49,"ERROR!","OK")</f>
        <v>ERROR!</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28006340026</v>
      </c>
      <c r="E2" s="1542">
        <v>2020</v>
      </c>
      <c r="F2" s="1542">
        <v>1</v>
      </c>
      <c r="G2" s="1899">
        <v>101000300</v>
      </c>
    </row>
    <row r="3" spans="1:7" ht="15" x14ac:dyDescent="0.25">
      <c r="A3" t="s">
        <v>950</v>
      </c>
      <c r="B3" s="135" t="str">
        <f>COVER!A15</f>
        <v>BUREAU</v>
      </c>
      <c r="E3" s="1830" t="s">
        <v>1971</v>
      </c>
      <c r="F3" s="1830" t="s">
        <v>1970</v>
      </c>
      <c r="G3" s="1899">
        <v>101000400</v>
      </c>
    </row>
    <row r="4" spans="1:7" ht="15" x14ac:dyDescent="0.25">
      <c r="A4" t="s">
        <v>1000</v>
      </c>
      <c r="B4" s="135" t="str">
        <f>COVER!A17</f>
        <v>Bureau Valley CUSD 340</v>
      </c>
      <c r="E4" s="1828">
        <v>44119</v>
      </c>
      <c r="F4" s="1829">
        <v>44151</v>
      </c>
      <c r="G4" s="1899">
        <v>101000600</v>
      </c>
    </row>
    <row r="5" spans="1:7" ht="15" x14ac:dyDescent="0.25">
      <c r="A5" t="s">
        <v>699</v>
      </c>
      <c r="B5" s="135" t="str">
        <f>COVER!A38</f>
        <v>JASON STABLER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006-004501</v>
      </c>
      <c r="G15" s="1899">
        <v>402100400</v>
      </c>
    </row>
    <row r="16" spans="1:7" ht="15" x14ac:dyDescent="0.25">
      <c r="A16" t="s">
        <v>419</v>
      </c>
      <c r="B16" s="135" t="str">
        <f>COVER!T13</f>
        <v>HOPKINS &amp; ASSOCIATES, CPAS</v>
      </c>
      <c r="G16" s="1899">
        <v>402100600</v>
      </c>
    </row>
    <row r="17" spans="1:7" ht="15" x14ac:dyDescent="0.25">
      <c r="A17" t="s">
        <v>878</v>
      </c>
      <c r="B17" s="135" t="str">
        <f>COVER!T15</f>
        <v>JOEL HOPKINS</v>
      </c>
      <c r="G17" s="1899">
        <v>402100800</v>
      </c>
    </row>
    <row r="18" spans="1:7" ht="15" x14ac:dyDescent="0.25">
      <c r="A18" t="s">
        <v>1140</v>
      </c>
      <c r="B18" s="135" t="str">
        <f>COVER!T17</f>
        <v>314 S MCCOY STREET</v>
      </c>
      <c r="G18" s="1899">
        <v>102200300</v>
      </c>
    </row>
    <row r="19" spans="1:7" ht="15" x14ac:dyDescent="0.25">
      <c r="A19" t="s">
        <v>880</v>
      </c>
      <c r="B19" s="135" t="str">
        <f>COVER!T25</f>
        <v>JOEL@HOPKINSOFFICE.COM</v>
      </c>
      <c r="G19" s="1899">
        <v>102200400</v>
      </c>
    </row>
    <row r="20" spans="1:7" ht="15" x14ac:dyDescent="0.25">
      <c r="A20" t="s">
        <v>881</v>
      </c>
      <c r="B20" s="135" t="str">
        <f>COVER!T19</f>
        <v>GRANVILLE</v>
      </c>
      <c r="G20" s="1899">
        <v>102200600</v>
      </c>
    </row>
    <row r="21" spans="1:7" ht="15" x14ac:dyDescent="0.25">
      <c r="A21" t="s">
        <v>476</v>
      </c>
      <c r="B21" s="135" t="str">
        <f>COVER!X19</f>
        <v>IL</v>
      </c>
      <c r="G21" s="1899">
        <v>102200800</v>
      </c>
    </row>
    <row r="22" spans="1:7" ht="15" x14ac:dyDescent="0.25">
      <c r="A22" t="s">
        <v>882</v>
      </c>
      <c r="B22" s="135">
        <f>COVER!Z19</f>
        <v>61326</v>
      </c>
      <c r="G22" s="1899">
        <v>102300300</v>
      </c>
    </row>
    <row r="23" spans="1:7" ht="15" x14ac:dyDescent="0.25">
      <c r="A23" t="s">
        <v>1142</v>
      </c>
      <c r="B23" s="135" t="str">
        <f>COVER!T21</f>
        <v>815-339-6630</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420978</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11801</v>
      </c>
      <c r="C91" s="2" t="s">
        <v>569</v>
      </c>
      <c r="D91" s="2" t="str">
        <f t="shared" si="0"/>
        <v>Error?</v>
      </c>
      <c r="G91" s="1899">
        <v>102640400</v>
      </c>
    </row>
    <row r="92" spans="1:7" ht="15" x14ac:dyDescent="0.25">
      <c r="A92" s="5">
        <v>31</v>
      </c>
      <c r="B92" s="1832">
        <f>'Assets-Liab 5-6'!C39</f>
        <v>399629</v>
      </c>
      <c r="D92" s="2" t="str">
        <f t="shared" si="0"/>
        <v>Error?</v>
      </c>
      <c r="G92" s="1899">
        <v>102640600</v>
      </c>
    </row>
    <row r="93" spans="1:7" ht="15" x14ac:dyDescent="0.25">
      <c r="A93" s="5">
        <v>32</v>
      </c>
      <c r="B93" s="1832">
        <f>'Assets-Liab 5-6'!C41</f>
        <v>420978</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275908</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275908</v>
      </c>
      <c r="D123" s="2" t="str">
        <f t="shared" si="0"/>
        <v>Error?</v>
      </c>
      <c r="G123" s="1899">
        <v>203000400</v>
      </c>
    </row>
    <row r="124" spans="1:7" ht="15" x14ac:dyDescent="0.25">
      <c r="A124" s="5">
        <v>63</v>
      </c>
      <c r="B124" s="1832">
        <f>'Assets-Liab 5-6'!D41</f>
        <v>275908</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135144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135144</v>
      </c>
      <c r="D140" s="2" t="str">
        <f t="shared" si="1"/>
        <v>Error?</v>
      </c>
    </row>
    <row r="141" spans="1:7" x14ac:dyDescent="0.2">
      <c r="A141" s="5">
        <v>80</v>
      </c>
      <c r="B141" s="1832">
        <f>'Assets-Liab 5-6'!E41</f>
        <v>135144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235144</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235144</v>
      </c>
      <c r="D170" s="2" t="str">
        <f t="shared" si="1"/>
        <v>Error?</v>
      </c>
    </row>
    <row r="171" spans="1:4" x14ac:dyDescent="0.2">
      <c r="A171" s="5">
        <v>110</v>
      </c>
      <c r="B171" s="1832">
        <f>'Assets-Liab 5-6'!F41</f>
        <v>235144</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162444</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162444</v>
      </c>
      <c r="D189" s="2" t="str">
        <f t="shared" si="1"/>
        <v>Error?</v>
      </c>
    </row>
    <row r="190" spans="1:4" x14ac:dyDescent="0.2">
      <c r="A190" s="5">
        <v>129</v>
      </c>
      <c r="B190" s="1832">
        <f>'Assets-Liab 5-6'!G41</f>
        <v>162444</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754625</v>
      </c>
      <c r="D273" s="2" t="str">
        <f t="shared" si="3"/>
        <v>Error?</v>
      </c>
    </row>
    <row r="274" spans="1:4" x14ac:dyDescent="0.2">
      <c r="A274" s="5">
        <v>213</v>
      </c>
      <c r="B274" s="1832">
        <f>'Assets-Liab 5-6'!M17</f>
        <v>30645690</v>
      </c>
      <c r="D274" s="2" t="str">
        <f t="shared" si="3"/>
        <v>Error?</v>
      </c>
    </row>
    <row r="275" spans="1:4" x14ac:dyDescent="0.2">
      <c r="A275" s="5">
        <v>214</v>
      </c>
      <c r="B275" s="1832">
        <f>'Assets-Liab 5-6'!M18</f>
        <v>1878894</v>
      </c>
      <c r="D275" s="2" t="str">
        <f t="shared" si="3"/>
        <v>Error?</v>
      </c>
    </row>
    <row r="276" spans="1:4" x14ac:dyDescent="0.2">
      <c r="A276" s="5">
        <v>215</v>
      </c>
      <c r="B276" s="1832">
        <f>'Assets-Liab 5-6'!M19</f>
        <v>4578867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37858076</v>
      </c>
      <c r="C279" s="2" t="s">
        <v>569</v>
      </c>
      <c r="D279" s="2" t="str">
        <f t="shared" si="3"/>
        <v>Error?</v>
      </c>
    </row>
    <row r="280" spans="1:4" x14ac:dyDescent="0.2">
      <c r="A280" s="5">
        <v>219</v>
      </c>
      <c r="B280" s="1832">
        <f>'Assets-Liab 5-6'!M40</f>
        <v>37858076</v>
      </c>
      <c r="D280" s="2" t="str">
        <f t="shared" si="3"/>
        <v>Error?</v>
      </c>
    </row>
    <row r="281" spans="1:4" x14ac:dyDescent="0.2">
      <c r="A281" s="5">
        <v>220</v>
      </c>
      <c r="B281" s="1832">
        <f>'Assets-Liab 5-6'!M41</f>
        <v>37858076</v>
      </c>
      <c r="C281" s="2" t="s">
        <v>569</v>
      </c>
      <c r="D281" s="2" t="str">
        <f t="shared" si="3"/>
        <v>Error?</v>
      </c>
    </row>
    <row r="282" spans="1:4" x14ac:dyDescent="0.2">
      <c r="A282" s="5">
        <v>221</v>
      </c>
      <c r="B282" s="1832">
        <f>'Assets-Liab 5-6'!N21</f>
        <v>135144</v>
      </c>
      <c r="D282" s="2" t="str">
        <f t="shared" si="3"/>
        <v>Error?</v>
      </c>
    </row>
    <row r="283" spans="1:4" x14ac:dyDescent="0.2">
      <c r="A283" s="5">
        <v>222</v>
      </c>
      <c r="B283" s="1832">
        <f>'Assets-Liab 5-6'!N22</f>
        <v>13770119</v>
      </c>
      <c r="D283" s="2" t="str">
        <f t="shared" si="3"/>
        <v>Error?</v>
      </c>
    </row>
    <row r="284" spans="1:4" x14ac:dyDescent="0.2">
      <c r="A284" s="5">
        <v>223</v>
      </c>
      <c r="B284" s="1832">
        <f>'Assets-Liab 5-6'!N23</f>
        <v>13905263</v>
      </c>
      <c r="C284" s="2" t="s">
        <v>569</v>
      </c>
      <c r="D284" s="2" t="str">
        <f t="shared" si="3"/>
        <v>Error?</v>
      </c>
    </row>
    <row r="285" spans="1:4" x14ac:dyDescent="0.2">
      <c r="A285" s="5">
        <v>224</v>
      </c>
      <c r="B285" s="1832">
        <f>'Assets-Liab 5-6'!N36</f>
        <v>13905263</v>
      </c>
      <c r="D285" s="2" t="str">
        <f t="shared" si="3"/>
        <v>Error?</v>
      </c>
    </row>
    <row r="286" spans="1:4" x14ac:dyDescent="0.2">
      <c r="A286" s="10">
        <v>225</v>
      </c>
      <c r="B286" s="1832"/>
      <c r="D286" s="2" t="str">
        <f t="shared" si="3"/>
        <v>OK</v>
      </c>
    </row>
    <row r="287" spans="1:4" x14ac:dyDescent="0.2">
      <c r="A287" s="5">
        <v>226</v>
      </c>
      <c r="B287" s="1832">
        <f>'Assets-Liab 5-6'!N37</f>
        <v>13905263</v>
      </c>
      <c r="C287" s="2" t="s">
        <v>569</v>
      </c>
      <c r="D287" s="2" t="str">
        <f t="shared" si="3"/>
        <v>Error?</v>
      </c>
    </row>
    <row r="288" spans="1:4" x14ac:dyDescent="0.2">
      <c r="A288" s="5">
        <v>227</v>
      </c>
      <c r="B288" s="1832">
        <f>'Assets-Liab 5-6'!N41</f>
        <v>13905263</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275757</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1850000</v>
      </c>
      <c r="D651" s="2" t="str">
        <f t="shared" si="9"/>
        <v>Error?</v>
      </c>
    </row>
    <row r="652" spans="1:4" x14ac:dyDescent="0.2">
      <c r="A652" s="5">
        <v>591</v>
      </c>
      <c r="B652" s="1832">
        <f>'Acct Summary 7-8'!I34</f>
        <v>1737</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3343271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206066</v>
      </c>
      <c r="D717" s="2" t="str">
        <f t="shared" si="10"/>
        <v>Error?</v>
      </c>
    </row>
    <row r="718" spans="1:4" x14ac:dyDescent="0.2">
      <c r="A718" s="5">
        <v>657</v>
      </c>
      <c r="B718" s="1832">
        <f>'Expenditures 15-22'!C14</f>
        <v>202659</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5268069</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188504</v>
      </c>
      <c r="D722" s="2" t="str">
        <f t="shared" si="10"/>
        <v>Error?</v>
      </c>
    </row>
    <row r="723" spans="1:4" x14ac:dyDescent="0.2">
      <c r="A723" s="5">
        <v>662</v>
      </c>
      <c r="B723" s="1832">
        <f>'Expenditures 15-22'!C38</f>
        <v>29499</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123713</v>
      </c>
      <c r="D725" s="2" t="str">
        <f t="shared" si="10"/>
        <v>Error?</v>
      </c>
    </row>
    <row r="726" spans="1:4" x14ac:dyDescent="0.2">
      <c r="A726" s="5">
        <v>665</v>
      </c>
      <c r="B726" s="1832">
        <f>'Expenditures 15-22'!C41</f>
        <v>3510</v>
      </c>
      <c r="D726" s="2" t="str">
        <f t="shared" si="10"/>
        <v>Error?</v>
      </c>
    </row>
    <row r="727" spans="1:4" x14ac:dyDescent="0.2">
      <c r="A727" s="5">
        <v>666</v>
      </c>
      <c r="B727" s="1832">
        <f>'Expenditures 15-22'!C42</f>
        <v>345226</v>
      </c>
      <c r="C727" s="2" t="s">
        <v>569</v>
      </c>
      <c r="D727" s="2" t="str">
        <f t="shared" si="10"/>
        <v>Error?</v>
      </c>
    </row>
    <row r="728" spans="1:4" x14ac:dyDescent="0.2">
      <c r="A728" s="5">
        <v>667</v>
      </c>
      <c r="B728" s="1832">
        <f>'Expenditures 15-22'!C44</f>
        <v>13112</v>
      </c>
      <c r="D728" s="2" t="str">
        <f t="shared" si="10"/>
        <v>Error?</v>
      </c>
    </row>
    <row r="729" spans="1:4" x14ac:dyDescent="0.2">
      <c r="A729" s="5">
        <v>668</v>
      </c>
      <c r="B729" s="1832">
        <f>'Expenditures 15-22'!C45</f>
        <v>52063</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65175</v>
      </c>
      <c r="C731" s="2" t="s">
        <v>569</v>
      </c>
      <c r="D731" s="2" t="str">
        <f t="shared" si="10"/>
        <v>Error?</v>
      </c>
    </row>
    <row r="732" spans="1:4" x14ac:dyDescent="0.2">
      <c r="A732" s="5">
        <v>671</v>
      </c>
      <c r="B732" s="1832">
        <f>'Expenditures 15-22'!C49</f>
        <v>3135</v>
      </c>
      <c r="D732" s="2" t="str">
        <f t="shared" si="10"/>
        <v>Error?</v>
      </c>
    </row>
    <row r="733" spans="1:4" x14ac:dyDescent="0.2">
      <c r="A733" s="5">
        <v>672</v>
      </c>
      <c r="B733" s="1832">
        <f>'Expenditures 15-22'!C50</f>
        <v>184047</v>
      </c>
      <c r="D733" s="2" t="str">
        <f t="shared" si="10"/>
        <v>Error?</v>
      </c>
    </row>
    <row r="734" spans="1:4" x14ac:dyDescent="0.2">
      <c r="A734" s="5">
        <v>673</v>
      </c>
      <c r="B734" s="1832">
        <f>'Expenditures 15-22'!C53</f>
        <v>187182</v>
      </c>
      <c r="C734" s="2" t="s">
        <v>569</v>
      </c>
      <c r="D734" s="2" t="str">
        <f t="shared" si="10"/>
        <v>Error?</v>
      </c>
    </row>
    <row r="735" spans="1:4" x14ac:dyDescent="0.2">
      <c r="A735" s="5">
        <v>674</v>
      </c>
      <c r="B735" s="1832">
        <f>'Expenditures 15-22'!C55</f>
        <v>411024</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411024</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58102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197391</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255493</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65445</v>
      </c>
      <c r="D751" s="2" t="str">
        <f t="shared" si="10"/>
        <v>Error?</v>
      </c>
    </row>
    <row r="752" spans="1:4" x14ac:dyDescent="0.2">
      <c r="A752" s="10">
        <v>691</v>
      </c>
      <c r="B752" s="1832"/>
      <c r="D752" s="2" t="str">
        <f t="shared" si="10"/>
        <v>OK</v>
      </c>
    </row>
    <row r="753" spans="1:4" x14ac:dyDescent="0.2">
      <c r="A753" s="5">
        <v>692</v>
      </c>
      <c r="B753" s="1832">
        <f>'Expenditures 15-22'!C72</f>
        <v>65445</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1329545</v>
      </c>
      <c r="C755" s="2" t="s">
        <v>569</v>
      </c>
      <c r="D755" s="2" t="str">
        <f t="shared" si="10"/>
        <v>Error?</v>
      </c>
    </row>
    <row r="756" spans="1:4" x14ac:dyDescent="0.2">
      <c r="A756" s="5">
        <v>695</v>
      </c>
      <c r="B756" s="1832">
        <f>'Expenditures 15-22'!C75</f>
        <v>28194</v>
      </c>
      <c r="D756" s="2" t="str">
        <f t="shared" si="10"/>
        <v>Error?</v>
      </c>
    </row>
    <row r="757" spans="1:4" x14ac:dyDescent="0.2">
      <c r="A757" s="5">
        <v>696</v>
      </c>
      <c r="B757" s="1832">
        <f>'Expenditures 15-22'!C114</f>
        <v>6625808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361589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25021</v>
      </c>
      <c r="D775" s="2" t="str">
        <f t="shared" si="11"/>
        <v>Error?</v>
      </c>
    </row>
    <row r="776" spans="1:4" x14ac:dyDescent="0.2">
      <c r="A776" s="5">
        <v>715</v>
      </c>
      <c r="B776" s="1832">
        <f>'Expenditures 15-22'!D14</f>
        <v>3033</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505086</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23776</v>
      </c>
      <c r="D780" s="2" t="str">
        <f t="shared" si="11"/>
        <v>Error?</v>
      </c>
    </row>
    <row r="781" spans="1:4" x14ac:dyDescent="0.2">
      <c r="A781" s="5">
        <v>720</v>
      </c>
      <c r="B781" s="1832">
        <f>'Expenditures 15-22'!D38</f>
        <v>32</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16082</v>
      </c>
      <c r="D783" s="2" t="str">
        <f t="shared" si="11"/>
        <v>Error?</v>
      </c>
    </row>
    <row r="784" spans="1:4" x14ac:dyDescent="0.2">
      <c r="A784" s="5">
        <v>723</v>
      </c>
      <c r="B784" s="1832">
        <f>'Expenditures 15-22'!D41</f>
        <v>50</v>
      </c>
      <c r="D784" s="2" t="str">
        <f t="shared" si="11"/>
        <v>Error?</v>
      </c>
    </row>
    <row r="785" spans="1:4" x14ac:dyDescent="0.2">
      <c r="A785" s="5">
        <v>724</v>
      </c>
      <c r="B785" s="1832">
        <f>'Expenditures 15-22'!D42</f>
        <v>39940</v>
      </c>
      <c r="C785" s="2" t="s">
        <v>569</v>
      </c>
      <c r="D785" s="2" t="str">
        <f t="shared" si="11"/>
        <v>Error?</v>
      </c>
    </row>
    <row r="786" spans="1:4" x14ac:dyDescent="0.2">
      <c r="A786" s="5">
        <v>725</v>
      </c>
      <c r="B786" s="1832">
        <f>'Expenditures 15-22'!D44</f>
        <v>728</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728</v>
      </c>
      <c r="C789" s="2" t="s">
        <v>569</v>
      </c>
      <c r="D789" s="2" t="str">
        <f t="shared" si="11"/>
        <v>OK</v>
      </c>
    </row>
    <row r="790" spans="1:4" x14ac:dyDescent="0.2">
      <c r="A790" s="5">
        <v>729</v>
      </c>
      <c r="B790" s="1832">
        <f>'Expenditures 15-22'!D49</f>
        <v>0</v>
      </c>
      <c r="D790" s="2" t="str">
        <f t="shared" si="11"/>
        <v>Error?</v>
      </c>
    </row>
    <row r="791" spans="1:4" x14ac:dyDescent="0.2">
      <c r="A791" s="5">
        <v>730</v>
      </c>
      <c r="B791" s="1832">
        <f>'Expenditures 15-22'!D50</f>
        <v>31361</v>
      </c>
      <c r="D791" s="2" t="str">
        <f t="shared" si="11"/>
        <v>Error?</v>
      </c>
    </row>
    <row r="792" spans="1:4" x14ac:dyDescent="0.2">
      <c r="A792" s="5">
        <v>731</v>
      </c>
      <c r="B792" s="1832">
        <f>'Expenditures 15-22'!D53</f>
        <v>31361</v>
      </c>
      <c r="C792" s="2" t="s">
        <v>569</v>
      </c>
      <c r="D792" s="2" t="str">
        <f t="shared" si="11"/>
        <v>Error?</v>
      </c>
    </row>
    <row r="793" spans="1:4" x14ac:dyDescent="0.2">
      <c r="A793" s="5">
        <v>732</v>
      </c>
      <c r="B793" s="1832">
        <f>'Expenditures 15-22'!D55</f>
        <v>41889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41889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5303</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13379</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18682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10606</v>
      </c>
      <c r="D809" s="2" t="str">
        <f t="shared" si="11"/>
        <v>Error?</v>
      </c>
    </row>
    <row r="810" spans="1:4" x14ac:dyDescent="0.2">
      <c r="A810" s="10">
        <v>749</v>
      </c>
      <c r="B810" s="1832"/>
      <c r="D810" s="2" t="str">
        <f t="shared" si="11"/>
        <v>OK</v>
      </c>
    </row>
    <row r="811" spans="1:4" x14ac:dyDescent="0.2">
      <c r="A811" s="5">
        <v>750</v>
      </c>
      <c r="B811" s="1832">
        <f>'Expenditures 15-22'!D72</f>
        <v>10606</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143206</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648292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27284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3655</v>
      </c>
      <c r="D833" s="2" t="str">
        <f t="shared" si="12"/>
        <v>Error?</v>
      </c>
    </row>
    <row r="834" spans="1:4" x14ac:dyDescent="0.2">
      <c r="A834" s="5">
        <v>773</v>
      </c>
      <c r="B834" s="1832">
        <f>'Expenditures 15-22'!E14</f>
        <v>21874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82080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27938</v>
      </c>
      <c r="D844" s="2" t="str">
        <f t="shared" si="12"/>
        <v>Error?</v>
      </c>
    </row>
    <row r="845" spans="1:4" x14ac:dyDescent="0.2">
      <c r="A845" s="5">
        <v>784</v>
      </c>
      <c r="B845" s="1832">
        <f>'Expenditures 15-22'!E45</f>
        <v>5528</v>
      </c>
      <c r="D845" s="2" t="str">
        <f t="shared" si="12"/>
        <v>Error?</v>
      </c>
    </row>
    <row r="846" spans="1:4" x14ac:dyDescent="0.2">
      <c r="A846" s="5">
        <v>785</v>
      </c>
      <c r="B846" s="1832">
        <f>'Expenditures 15-22'!E46</f>
        <v>11359</v>
      </c>
      <c r="D846" s="2" t="str">
        <f t="shared" si="12"/>
        <v>Error?</v>
      </c>
    </row>
    <row r="847" spans="1:4" x14ac:dyDescent="0.2">
      <c r="A847" s="5">
        <v>786</v>
      </c>
      <c r="B847" s="1832">
        <f>'Expenditures 15-22'!E47</f>
        <v>44825</v>
      </c>
      <c r="C847" s="2" t="s">
        <v>569</v>
      </c>
      <c r="D847" s="2" t="str">
        <f t="shared" si="12"/>
        <v>Error?</v>
      </c>
    </row>
    <row r="848" spans="1:4" x14ac:dyDescent="0.2">
      <c r="A848" s="5">
        <v>787</v>
      </c>
      <c r="B848" s="1832">
        <f>'Expenditures 15-22'!E49</f>
        <v>51366</v>
      </c>
      <c r="D848" s="2" t="str">
        <f t="shared" si="12"/>
        <v>Error?</v>
      </c>
    </row>
    <row r="849" spans="1:4" x14ac:dyDescent="0.2">
      <c r="A849" s="5">
        <v>788</v>
      </c>
      <c r="B849" s="1832">
        <f>'Expenditures 15-22'!E50</f>
        <v>5042</v>
      </c>
      <c r="D849" s="2" t="str">
        <f t="shared" si="12"/>
        <v>Error?</v>
      </c>
    </row>
    <row r="850" spans="1:4" x14ac:dyDescent="0.2">
      <c r="A850" s="5">
        <v>789</v>
      </c>
      <c r="B850" s="1832">
        <f>'Expenditures 15-22'!E53</f>
        <v>56408</v>
      </c>
      <c r="C850" s="2" t="s">
        <v>569</v>
      </c>
      <c r="D850" s="2" t="str">
        <f t="shared" si="12"/>
        <v>Error?</v>
      </c>
    </row>
    <row r="851" spans="1:4" x14ac:dyDescent="0.2">
      <c r="A851" s="5">
        <v>790</v>
      </c>
      <c r="B851" s="1832">
        <f>'Expenditures 15-22'!E55</f>
        <v>13033</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13033</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15842</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6431</v>
      </c>
      <c r="D858" s="2" t="str">
        <f t="shared" si="12"/>
        <v>Error?</v>
      </c>
    </row>
    <row r="859" spans="1:4" x14ac:dyDescent="0.2">
      <c r="A859" s="5">
        <v>798</v>
      </c>
      <c r="B859" s="1832">
        <f>'Expenditures 15-22'!E64</f>
        <v>32144</v>
      </c>
      <c r="D859" s="2" t="str">
        <f t="shared" si="12"/>
        <v>Error?</v>
      </c>
    </row>
    <row r="860" spans="1:4" x14ac:dyDescent="0.2">
      <c r="A860" s="10">
        <v>799</v>
      </c>
      <c r="B860" s="1832"/>
      <c r="D860" s="2" t="str">
        <f t="shared" si="12"/>
        <v>OK</v>
      </c>
    </row>
    <row r="861" spans="1:4" x14ac:dyDescent="0.2">
      <c r="A861" s="5">
        <v>800</v>
      </c>
      <c r="B861" s="1832">
        <f>'Expenditures 15-22'!E65</f>
        <v>54417</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33812</v>
      </c>
      <c r="D867" s="2" t="str">
        <f t="shared" si="12"/>
        <v>Error?</v>
      </c>
    </row>
    <row r="868" spans="1:4" x14ac:dyDescent="0.2">
      <c r="A868" s="10">
        <v>807</v>
      </c>
      <c r="B868" s="1832"/>
      <c r="D868" s="2" t="str">
        <f t="shared" si="12"/>
        <v>OK</v>
      </c>
    </row>
    <row r="869" spans="1:4" x14ac:dyDescent="0.2">
      <c r="A869" s="5">
        <v>808</v>
      </c>
      <c r="B869" s="1832">
        <f>'Expenditures 15-22'!E72</f>
        <v>33812</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202495</v>
      </c>
      <c r="C871" s="2" t="s">
        <v>569</v>
      </c>
      <c r="D871" s="2" t="str">
        <f t="shared" si="12"/>
        <v>Error?</v>
      </c>
    </row>
    <row r="872" spans="1:4" x14ac:dyDescent="0.2">
      <c r="A872" s="5">
        <v>811</v>
      </c>
      <c r="B872" s="1832">
        <f>'Expenditures 15-22'!E75</f>
        <v>3070</v>
      </c>
      <c r="D872" s="2" t="str">
        <f t="shared" si="12"/>
        <v>Error?</v>
      </c>
    </row>
    <row r="873" spans="1:4" x14ac:dyDescent="0.2">
      <c r="A873" s="5">
        <v>812</v>
      </c>
      <c r="B873" s="1832">
        <f>'Expenditures 15-22'!E114</f>
        <v>406967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79454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14586</v>
      </c>
      <c r="D891" s="2" t="str">
        <f t="shared" si="12"/>
        <v>Error?</v>
      </c>
    </row>
    <row r="892" spans="1:4" x14ac:dyDescent="0.2">
      <c r="A892" s="5">
        <v>831</v>
      </c>
      <c r="B892" s="1832">
        <f>'Expenditures 15-22'!F14</f>
        <v>41609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241193</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46297</v>
      </c>
      <c r="D902" s="2" t="str">
        <f t="shared" si="13"/>
        <v>Error?</v>
      </c>
    </row>
    <row r="903" spans="1:4" x14ac:dyDescent="0.2">
      <c r="A903" s="5">
        <v>842</v>
      </c>
      <c r="B903" s="1832">
        <f>'Expenditures 15-22'!F45</f>
        <v>8412</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54709</v>
      </c>
      <c r="C905" s="2" t="s">
        <v>569</v>
      </c>
      <c r="D905" s="2" t="str">
        <f t="shared" si="13"/>
        <v>Error?</v>
      </c>
    </row>
    <row r="906" spans="1:4" x14ac:dyDescent="0.2">
      <c r="A906" s="5">
        <v>845</v>
      </c>
      <c r="B906" s="1832">
        <f>'Expenditures 15-22'!F49</f>
        <v>3743</v>
      </c>
      <c r="D906" s="2" t="str">
        <f t="shared" si="13"/>
        <v>Error?</v>
      </c>
    </row>
    <row r="907" spans="1:4" x14ac:dyDescent="0.2">
      <c r="A907" s="5">
        <v>846</v>
      </c>
      <c r="B907" s="1832">
        <f>'Expenditures 15-22'!F50</f>
        <v>1786</v>
      </c>
      <c r="D907" s="2" t="str">
        <f t="shared" si="13"/>
        <v>Error?</v>
      </c>
    </row>
    <row r="908" spans="1:4" x14ac:dyDescent="0.2">
      <c r="A908" s="5">
        <v>847</v>
      </c>
      <c r="B908" s="1832">
        <f>'Expenditures 15-22'!F53</f>
        <v>5529</v>
      </c>
      <c r="C908" s="2" t="s">
        <v>569</v>
      </c>
      <c r="D908" s="2" t="str">
        <f t="shared" si="13"/>
        <v>Error?</v>
      </c>
    </row>
    <row r="909" spans="1:4" x14ac:dyDescent="0.2">
      <c r="A909" s="5">
        <v>848</v>
      </c>
      <c r="B909" s="1832">
        <f>'Expenditures 15-22'!F55</f>
        <v>18190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18190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699</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265211</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265910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7007</v>
      </c>
      <c r="D925" s="2" t="str">
        <f t="shared" si="13"/>
        <v>Error?</v>
      </c>
    </row>
    <row r="926" spans="1:4" x14ac:dyDescent="0.2">
      <c r="A926" s="10">
        <v>865</v>
      </c>
      <c r="B926" s="1832"/>
      <c r="D926" s="2" t="str">
        <f t="shared" si="13"/>
        <v>OK</v>
      </c>
    </row>
    <row r="927" spans="1:4" x14ac:dyDescent="0.2">
      <c r="A927" s="5">
        <v>866</v>
      </c>
      <c r="B927" s="1832">
        <f>'Expenditures 15-22'!F72</f>
        <v>7007</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351345</v>
      </c>
      <c r="C929" s="2" t="s">
        <v>569</v>
      </c>
      <c r="D929" s="2" t="str">
        <f t="shared" si="13"/>
        <v>Error?</v>
      </c>
    </row>
    <row r="930" spans="1:4" x14ac:dyDescent="0.2">
      <c r="A930" s="5">
        <v>869</v>
      </c>
      <c r="B930" s="1832">
        <f>'Expenditures 15-22'!F75</f>
        <v>2469</v>
      </c>
      <c r="D930" s="2" t="str">
        <f t="shared" si="13"/>
        <v>Error?</v>
      </c>
    </row>
    <row r="931" spans="1:4" x14ac:dyDescent="0.2">
      <c r="A931" s="5">
        <v>870</v>
      </c>
      <c r="B931" s="1832">
        <f>'Expenditures 15-22'!F114</f>
        <v>595007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3368</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6185</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19816</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17126</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17126</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860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860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16660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16660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75793</v>
      </c>
      <c r="D983" s="2" t="str">
        <f t="shared" si="14"/>
        <v>Error?</v>
      </c>
    </row>
    <row r="984" spans="1:4" x14ac:dyDescent="0.2">
      <c r="A984" s="10">
        <v>923</v>
      </c>
      <c r="B984" s="1832"/>
      <c r="D984" s="2" t="str">
        <f t="shared" si="14"/>
        <v>OK</v>
      </c>
    </row>
    <row r="985" spans="1:4" x14ac:dyDescent="0.2">
      <c r="A985" s="5">
        <v>924</v>
      </c>
      <c r="B985" s="1832">
        <f>'Expenditures 15-22'!G72</f>
        <v>75793</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110439</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130255</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9915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439306</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15348</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15348</v>
      </c>
      <c r="C1021" s="2" t="s">
        <v>569</v>
      </c>
      <c r="D1021" s="2" t="str">
        <f t="shared" si="14"/>
        <v>Error?</v>
      </c>
    </row>
    <row r="1022" spans="1:4" x14ac:dyDescent="0.2">
      <c r="A1022" s="5">
        <v>961</v>
      </c>
      <c r="B1022" s="1832">
        <f>'Expenditures 15-22'!H49</f>
        <v>3359</v>
      </c>
      <c r="D1022" s="2" t="str">
        <f t="shared" si="14"/>
        <v>Error?</v>
      </c>
    </row>
    <row r="1023" spans="1:4" x14ac:dyDescent="0.2">
      <c r="A1023" s="5">
        <v>962</v>
      </c>
      <c r="B1023" s="1832">
        <f>'Expenditures 15-22'!H50</f>
        <v>646</v>
      </c>
      <c r="D1023" s="2" t="str">
        <f t="shared" ref="D1023:D1086" si="15">IF(ISBLANK(B1023),"OK",IF(A1023-B1023=0,"OK","Error?"))</f>
        <v>Error?</v>
      </c>
    </row>
    <row r="1024" spans="1:4" x14ac:dyDescent="0.2">
      <c r="A1024" s="5">
        <v>963</v>
      </c>
      <c r="B1024" s="1832">
        <f>'Expenditures 15-22'!H53</f>
        <v>4005</v>
      </c>
      <c r="C1024" s="2" t="s">
        <v>569</v>
      </c>
      <c r="D1024" s="2" t="str">
        <f t="shared" si="15"/>
        <v>Error?</v>
      </c>
    </row>
    <row r="1025" spans="1:4" x14ac:dyDescent="0.2">
      <c r="A1025" s="5">
        <v>964</v>
      </c>
      <c r="B1025" s="1832">
        <f>'Expenditures 15-22'!H55</f>
        <v>1417</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1417</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1155</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1155</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21925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275311</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736542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3814966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249328</v>
      </c>
      <c r="C1105" s="2" t="s">
        <v>569</v>
      </c>
      <c r="D1105" s="2" t="str">
        <f t="shared" si="16"/>
        <v>Error?</v>
      </c>
    </row>
    <row r="1106" spans="1:4" x14ac:dyDescent="0.2">
      <c r="A1106" s="5">
        <v>1045</v>
      </c>
      <c r="B1106" s="1832">
        <f>'Expenditures 15-22'!K14</f>
        <v>285275</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6555550</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212280</v>
      </c>
      <c r="C1110" s="2" t="s">
        <v>569</v>
      </c>
      <c r="D1110" s="2" t="str">
        <f t="shared" si="16"/>
        <v>Error?</v>
      </c>
    </row>
    <row r="1111" spans="1:4" x14ac:dyDescent="0.2">
      <c r="A1111" s="5">
        <v>1050</v>
      </c>
      <c r="B1111" s="1832">
        <f>'Expenditures 15-22'!K38</f>
        <v>29531</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139795</v>
      </c>
      <c r="C1113" s="2" t="s">
        <v>569</v>
      </c>
      <c r="D1113" s="2" t="str">
        <f t="shared" si="16"/>
        <v>Error?</v>
      </c>
    </row>
    <row r="1114" spans="1:4" x14ac:dyDescent="0.2">
      <c r="A1114" s="5">
        <v>1053</v>
      </c>
      <c r="B1114" s="1832">
        <f>'Expenditures 15-22'!K41</f>
        <v>3560</v>
      </c>
      <c r="C1114" s="2" t="s">
        <v>569</v>
      </c>
      <c r="D1114" s="2" t="str">
        <f t="shared" si="16"/>
        <v>Error?</v>
      </c>
    </row>
    <row r="1115" spans="1:4" x14ac:dyDescent="0.2">
      <c r="A1115" s="5">
        <v>1054</v>
      </c>
      <c r="B1115" s="1832">
        <f>'Expenditures 15-22'!K42</f>
        <v>385166</v>
      </c>
      <c r="C1115" s="2" t="s">
        <v>569</v>
      </c>
      <c r="D1115" s="2" t="str">
        <f t="shared" si="16"/>
        <v>Error?</v>
      </c>
    </row>
    <row r="1116" spans="1:4" x14ac:dyDescent="0.2">
      <c r="A1116" s="5">
        <v>1055</v>
      </c>
      <c r="B1116" s="1832">
        <f>'Expenditures 15-22'!K44</f>
        <v>120549</v>
      </c>
      <c r="C1116" s="2" t="s">
        <v>569</v>
      </c>
      <c r="D1116" s="2" t="str">
        <f t="shared" si="16"/>
        <v>Error?</v>
      </c>
    </row>
    <row r="1117" spans="1:4" x14ac:dyDescent="0.2">
      <c r="A1117" s="5">
        <v>1056</v>
      </c>
      <c r="B1117" s="1832">
        <f>'Expenditures 15-22'!K45</f>
        <v>66003</v>
      </c>
      <c r="C1117" s="2" t="s">
        <v>569</v>
      </c>
      <c r="D1117" s="2" t="str">
        <f t="shared" si="16"/>
        <v>Error?</v>
      </c>
    </row>
    <row r="1118" spans="1:4" x14ac:dyDescent="0.2">
      <c r="A1118" s="5">
        <v>1057</v>
      </c>
      <c r="B1118" s="1832">
        <f>'Expenditures 15-22'!K46</f>
        <v>11359</v>
      </c>
      <c r="C1118" s="2" t="s">
        <v>569</v>
      </c>
      <c r="D1118" s="2" t="str">
        <f t="shared" si="16"/>
        <v>Error?</v>
      </c>
    </row>
    <row r="1119" spans="1:4" x14ac:dyDescent="0.2">
      <c r="A1119" s="5">
        <v>1058</v>
      </c>
      <c r="B1119" s="1832">
        <f>'Expenditures 15-22'!K47</f>
        <v>197911</v>
      </c>
      <c r="C1119" s="2" t="s">
        <v>569</v>
      </c>
      <c r="D1119" s="2" t="str">
        <f t="shared" si="16"/>
        <v>Error?</v>
      </c>
    </row>
    <row r="1120" spans="1:4" x14ac:dyDescent="0.2">
      <c r="A1120" s="5">
        <v>1059</v>
      </c>
      <c r="B1120" s="1832">
        <f>'Expenditures 15-22'!K49</f>
        <v>61603</v>
      </c>
      <c r="C1120" s="2" t="s">
        <v>569</v>
      </c>
      <c r="D1120" s="2" t="str">
        <f t="shared" si="16"/>
        <v>Error?</v>
      </c>
    </row>
    <row r="1121" spans="1:4" x14ac:dyDescent="0.2">
      <c r="A1121" s="5">
        <v>1060</v>
      </c>
      <c r="B1121" s="1832">
        <f>'Expenditures 15-22'!K50</f>
        <v>222882</v>
      </c>
      <c r="C1121" s="2" t="s">
        <v>569</v>
      </c>
      <c r="D1121" s="2" t="str">
        <f t="shared" si="16"/>
        <v>Error?</v>
      </c>
    </row>
    <row r="1122" spans="1:4" x14ac:dyDescent="0.2">
      <c r="A1122" s="5">
        <v>1061</v>
      </c>
      <c r="B1122" s="1832">
        <f>'Expenditures 15-22'!K53</f>
        <v>284485</v>
      </c>
      <c r="C1122" s="2" t="s">
        <v>569</v>
      </c>
      <c r="D1122" s="2" t="str">
        <f t="shared" si="16"/>
        <v>Error?</v>
      </c>
    </row>
    <row r="1123" spans="1:4" x14ac:dyDescent="0.2">
      <c r="A1123" s="5">
        <v>1062</v>
      </c>
      <c r="B1123" s="1832">
        <f>'Expenditures 15-22'!K55</f>
        <v>486413</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486413</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79946</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500227</v>
      </c>
      <c r="C1130" s="2" t="s">
        <v>569</v>
      </c>
      <c r="D1130" s="2" t="str">
        <f t="shared" si="16"/>
        <v>Error?</v>
      </c>
    </row>
    <row r="1131" spans="1:4" x14ac:dyDescent="0.2">
      <c r="A1131" s="5">
        <v>1070</v>
      </c>
      <c r="B1131" s="1832">
        <f>'Expenditures 15-22'!K64</f>
        <v>32144</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612317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192663</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192663</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2158955</v>
      </c>
      <c r="C1143" s="2" t="s">
        <v>569</v>
      </c>
      <c r="D1143" s="2" t="str">
        <f t="shared" si="16"/>
        <v>Error?</v>
      </c>
    </row>
    <row r="1144" spans="1:4" x14ac:dyDescent="0.2">
      <c r="A1144" s="5">
        <v>1083</v>
      </c>
      <c r="B1144" s="1832">
        <f>'Expenditures 15-22'!K75</f>
        <v>33733</v>
      </c>
      <c r="C1144" s="2" t="s">
        <v>569</v>
      </c>
      <c r="D1144" s="2" t="str">
        <f t="shared" si="16"/>
        <v>Error?</v>
      </c>
    </row>
    <row r="1145" spans="1:4" x14ac:dyDescent="0.2">
      <c r="A1145" s="5">
        <v>1084</v>
      </c>
      <c r="B1145" s="1832">
        <f>'Expenditures 15-22'!K102</f>
        <v>394633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9142871</v>
      </c>
      <c r="C1152" s="2" t="s">
        <v>569</v>
      </c>
      <c r="D1152" s="2" t="str">
        <f t="shared" si="17"/>
        <v>Error?</v>
      </c>
    </row>
    <row r="1153" spans="1:4" x14ac:dyDescent="0.2">
      <c r="A1153" s="5">
        <v>1092</v>
      </c>
      <c r="B1153" s="1832">
        <f>'Expenditures 15-22'!K115</f>
        <v>1288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378984</v>
      </c>
      <c r="D1221" s="2" t="str">
        <f t="shared" si="18"/>
        <v>Error?</v>
      </c>
    </row>
    <row r="1222" spans="1:4" x14ac:dyDescent="0.2">
      <c r="A1222" s="10">
        <v>1161</v>
      </c>
      <c r="B1222" s="1832"/>
      <c r="D1222" s="2" t="str">
        <f t="shared" si="18"/>
        <v>OK</v>
      </c>
    </row>
    <row r="1223" spans="1:4" x14ac:dyDescent="0.2">
      <c r="A1223" s="5">
        <v>1162</v>
      </c>
      <c r="B1223" s="1832">
        <f>'Expenditures 15-22'!C127</f>
        <v>378984</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378984</v>
      </c>
      <c r="C1225" s="2" t="s">
        <v>569</v>
      </c>
      <c r="D1225" s="2" t="str">
        <f t="shared" si="18"/>
        <v>Error?</v>
      </c>
    </row>
    <row r="1226" spans="1:4" x14ac:dyDescent="0.2">
      <c r="A1226" s="5">
        <v>1165</v>
      </c>
      <c r="B1226" s="1832">
        <f>'Expenditures 15-22'!C151</f>
        <v>378984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47088</v>
      </c>
      <c r="D1229" s="2" t="str">
        <f t="shared" si="18"/>
        <v>Error?</v>
      </c>
    </row>
    <row r="1230" spans="1:4" x14ac:dyDescent="0.2">
      <c r="A1230" s="10">
        <v>1169</v>
      </c>
      <c r="B1230" s="1832"/>
      <c r="D1230" s="2" t="str">
        <f t="shared" si="18"/>
        <v>OK</v>
      </c>
    </row>
    <row r="1231" spans="1:4" x14ac:dyDescent="0.2">
      <c r="A1231" s="5">
        <v>1170</v>
      </c>
      <c r="B1231" s="1832">
        <f>'Expenditures 15-22'!D127</f>
        <v>47088</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47088</v>
      </c>
      <c r="C1233" s="2" t="s">
        <v>569</v>
      </c>
      <c r="D1233" s="2" t="str">
        <f t="shared" si="18"/>
        <v>Error?</v>
      </c>
    </row>
    <row r="1234" spans="1:4" x14ac:dyDescent="0.2">
      <c r="A1234" s="5">
        <v>1173</v>
      </c>
      <c r="B1234" s="1832">
        <f>'Expenditures 15-22'!D151</f>
        <v>47088</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425330</v>
      </c>
      <c r="D1237" s="2" t="str">
        <f t="shared" si="18"/>
        <v>Error?</v>
      </c>
    </row>
    <row r="1238" spans="1:4" x14ac:dyDescent="0.2">
      <c r="A1238" s="10">
        <v>1177</v>
      </c>
      <c r="B1238" s="1832"/>
      <c r="D1238" s="2" t="str">
        <f t="shared" si="18"/>
        <v>OK</v>
      </c>
    </row>
    <row r="1239" spans="1:4" x14ac:dyDescent="0.2">
      <c r="A1239" s="5">
        <v>1178</v>
      </c>
      <c r="B1239" s="1832">
        <f>'Expenditures 15-22'!E127</f>
        <v>425330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425330</v>
      </c>
      <c r="C1241" s="2" t="s">
        <v>569</v>
      </c>
      <c r="D1241" s="2" t="str">
        <f t="shared" si="18"/>
        <v>Error?</v>
      </c>
    </row>
    <row r="1242" spans="1:4" x14ac:dyDescent="0.2">
      <c r="A1242" s="5">
        <v>1181</v>
      </c>
      <c r="B1242" s="1832">
        <f>'Expenditures 15-22'!E151</f>
        <v>425330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352384</v>
      </c>
      <c r="D1245" s="2" t="str">
        <f t="shared" si="18"/>
        <v>Error?</v>
      </c>
    </row>
    <row r="1246" spans="1:4" x14ac:dyDescent="0.2">
      <c r="A1246" s="10">
        <v>1185</v>
      </c>
      <c r="B1246" s="1832"/>
      <c r="D1246" s="2" t="str">
        <f t="shared" si="18"/>
        <v>OK</v>
      </c>
    </row>
    <row r="1247" spans="1:4" x14ac:dyDescent="0.2">
      <c r="A1247" s="5">
        <v>1186</v>
      </c>
      <c r="B1247" s="1832">
        <f>'Expenditures 15-22'!F127</f>
        <v>352384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352384</v>
      </c>
      <c r="C1249" s="2" t="s">
        <v>569</v>
      </c>
      <c r="D1249" s="2" t="str">
        <f t="shared" si="18"/>
        <v>Error?</v>
      </c>
    </row>
    <row r="1250" spans="1:4" x14ac:dyDescent="0.2">
      <c r="A1250" s="5">
        <v>1189</v>
      </c>
      <c r="B1250" s="1832">
        <f>'Expenditures 15-22'!F151</f>
        <v>352384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63301</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63301</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63301</v>
      </c>
      <c r="C1258" s="2" t="s">
        <v>569</v>
      </c>
      <c r="D1258" s="2" t="str">
        <f t="shared" si="18"/>
        <v>Error?</v>
      </c>
    </row>
    <row r="1259" spans="1:4" x14ac:dyDescent="0.2">
      <c r="A1259" s="5">
        <v>1198</v>
      </c>
      <c r="B1259" s="1832">
        <f>'Expenditures 15-22'!G151</f>
        <v>63301</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10536</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10536</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1267087</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1267087</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1267087</v>
      </c>
      <c r="C1281" s="2" t="s">
        <v>569</v>
      </c>
      <c r="D1281" s="2" t="str">
        <f t="shared" si="19"/>
        <v>Error?</v>
      </c>
    </row>
    <row r="1282" spans="1:4" x14ac:dyDescent="0.2">
      <c r="A1282" s="5">
        <v>1221</v>
      </c>
      <c r="B1282" s="1832">
        <f>'Expenditures 15-22'!K139</f>
        <v>10536</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1277623</v>
      </c>
      <c r="C1288" s="2" t="s">
        <v>569</v>
      </c>
      <c r="D1288" s="2" t="str">
        <f t="shared" si="19"/>
        <v>Error?</v>
      </c>
    </row>
    <row r="1289" spans="1:4" x14ac:dyDescent="0.2">
      <c r="A1289" s="5">
        <v>1228</v>
      </c>
      <c r="B1289" s="1832">
        <f>'Expenditures 15-22'!K152</f>
        <v>107139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964057</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345000</v>
      </c>
      <c r="D1315" s="2" t="str">
        <f t="shared" si="19"/>
        <v>Error?</v>
      </c>
    </row>
    <row r="1316" spans="1:4" x14ac:dyDescent="0.2">
      <c r="A1316" s="5">
        <v>1255</v>
      </c>
      <c r="B1316" s="1832">
        <f>'Expenditures 15-22'!H171</f>
        <v>1200</v>
      </c>
      <c r="D1316" s="2" t="str">
        <f t="shared" si="19"/>
        <v>Error?</v>
      </c>
    </row>
    <row r="1317" spans="1:4" x14ac:dyDescent="0.2">
      <c r="A1317" s="5">
        <v>1256</v>
      </c>
      <c r="B1317" s="1832">
        <f>'Expenditures 15-22'!H172</f>
        <v>1310257</v>
      </c>
      <c r="C1317" s="2" t="s">
        <v>569</v>
      </c>
      <c r="D1317" s="2" t="str">
        <f t="shared" si="19"/>
        <v>Error?</v>
      </c>
    </row>
    <row r="1318" spans="1:4" x14ac:dyDescent="0.2">
      <c r="A1318" s="5">
        <v>1257</v>
      </c>
      <c r="B1318" s="1832">
        <f>'Expenditures 15-22'!H174</f>
        <v>1310257</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964057</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345000</v>
      </c>
      <c r="C1329" s="2" t="s">
        <v>569</v>
      </c>
      <c r="D1329" s="2" t="str">
        <f t="shared" si="19"/>
        <v>Error?</v>
      </c>
    </row>
    <row r="1330" spans="1:4" x14ac:dyDescent="0.2">
      <c r="A1330" s="5">
        <v>1269</v>
      </c>
      <c r="B1330" s="1832">
        <f>'Expenditures 15-22'!K171</f>
        <v>1200</v>
      </c>
      <c r="C1330" s="2" t="s">
        <v>569</v>
      </c>
      <c r="D1330" s="2" t="str">
        <f t="shared" si="19"/>
        <v>Error?</v>
      </c>
    </row>
    <row r="1331" spans="1:4" x14ac:dyDescent="0.2">
      <c r="A1331" s="5">
        <v>1270</v>
      </c>
      <c r="B1331" s="1832">
        <f>'Expenditures 15-22'!K172</f>
        <v>1310257</v>
      </c>
      <c r="C1331" s="2" t="s">
        <v>569</v>
      </c>
      <c r="D1331" s="2" t="str">
        <f t="shared" si="19"/>
        <v>Error?</v>
      </c>
    </row>
    <row r="1332" spans="1:4" x14ac:dyDescent="0.2">
      <c r="A1332" s="5">
        <v>1271</v>
      </c>
      <c r="B1332" s="1832">
        <f>'Expenditures 15-22'!K174</f>
        <v>1310257</v>
      </c>
      <c r="C1332" s="2" t="s">
        <v>569</v>
      </c>
      <c r="D1332" s="2" t="str">
        <f t="shared" si="19"/>
        <v>Error?</v>
      </c>
    </row>
    <row r="1333" spans="1:4" x14ac:dyDescent="0.2">
      <c r="A1333" s="5">
        <v>1272</v>
      </c>
      <c r="B1333" s="1832">
        <f>'Expenditures 15-22'!K175</f>
        <v>7668</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638502</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638502</v>
      </c>
      <c r="C1339" s="2" t="s">
        <v>569</v>
      </c>
      <c r="D1339" s="2" t="str">
        <f t="shared" si="19"/>
        <v>Error?</v>
      </c>
    </row>
    <row r="1340" spans="1:4" x14ac:dyDescent="0.2">
      <c r="A1340" s="5">
        <v>1279</v>
      </c>
      <c r="B1340" s="1832">
        <f>'Expenditures 15-22'!C210</f>
        <v>638502</v>
      </c>
      <c r="C1340" s="2" t="s">
        <v>569</v>
      </c>
      <c r="D1340" s="2" t="str">
        <f t="shared" si="19"/>
        <v>Error?</v>
      </c>
    </row>
    <row r="1341" spans="1:4" x14ac:dyDescent="0.2">
      <c r="A1341" s="5">
        <v>1280</v>
      </c>
      <c r="B1341" s="1832">
        <f>'Expenditures 15-22'!D182</f>
        <v>15974</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15974</v>
      </c>
      <c r="C1345" s="2" t="s">
        <v>569</v>
      </c>
      <c r="D1345" s="2" t="str">
        <f t="shared" si="20"/>
        <v>Error?</v>
      </c>
    </row>
    <row r="1346" spans="1:4" x14ac:dyDescent="0.2">
      <c r="A1346" s="5">
        <v>1285</v>
      </c>
      <c r="B1346" s="1832">
        <f>'Expenditures 15-22'!D210</f>
        <v>15974</v>
      </c>
      <c r="C1346" s="2" t="s">
        <v>569</v>
      </c>
      <c r="D1346" s="2" t="str">
        <f t="shared" si="20"/>
        <v>Error?</v>
      </c>
    </row>
    <row r="1347" spans="1:4" x14ac:dyDescent="0.2">
      <c r="A1347" s="5">
        <v>1286</v>
      </c>
      <c r="B1347" s="1832">
        <f>'Expenditures 15-22'!E182</f>
        <v>62456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62456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62456</v>
      </c>
      <c r="C1353" s="2" t="s">
        <v>569</v>
      </c>
      <c r="D1353" s="2" t="str">
        <f t="shared" si="20"/>
        <v>Error?</v>
      </c>
    </row>
    <row r="1354" spans="1:4" x14ac:dyDescent="0.2">
      <c r="A1354" s="5">
        <v>1293</v>
      </c>
      <c r="B1354" s="1832">
        <f>'Expenditures 15-22'!F182</f>
        <v>216627</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216627</v>
      </c>
      <c r="C1358" s="2" t="s">
        <v>569</v>
      </c>
      <c r="D1358" s="2" t="str">
        <f t="shared" si="20"/>
        <v>Error?</v>
      </c>
    </row>
    <row r="1359" spans="1:4" x14ac:dyDescent="0.2">
      <c r="A1359" s="5">
        <v>1298</v>
      </c>
      <c r="B1359" s="1832">
        <f>'Expenditures 15-22'!F210</f>
        <v>216627</v>
      </c>
      <c r="C1359" s="2" t="s">
        <v>569</v>
      </c>
      <c r="D1359" s="2" t="str">
        <f t="shared" si="20"/>
        <v>Error?</v>
      </c>
    </row>
    <row r="1360" spans="1:4" x14ac:dyDescent="0.2">
      <c r="A1360" s="5">
        <v>1299</v>
      </c>
      <c r="B1360" s="1832">
        <f>'Expenditures 15-22'!G182</f>
        <v>13002</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13002</v>
      </c>
      <c r="C1364" s="2" t="s">
        <v>569</v>
      </c>
      <c r="D1364" s="2" t="str">
        <f t="shared" si="20"/>
        <v>Error?</v>
      </c>
    </row>
    <row r="1365" spans="1:4" x14ac:dyDescent="0.2">
      <c r="A1365" s="5">
        <v>1304</v>
      </c>
      <c r="B1365" s="1832">
        <f>'Expenditures 15-22'!G210</f>
        <v>13002</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11057</v>
      </c>
      <c r="D1373" s="2" t="str">
        <f t="shared" si="20"/>
        <v>Error?</v>
      </c>
    </row>
    <row r="1374" spans="1:4" x14ac:dyDescent="0.2">
      <c r="A1374" s="10">
        <v>1313</v>
      </c>
      <c r="B1374" s="1832"/>
      <c r="D1374" s="2" t="str">
        <f t="shared" si="20"/>
        <v>OK</v>
      </c>
    </row>
    <row r="1375" spans="1:4" x14ac:dyDescent="0.2">
      <c r="A1375" s="5">
        <v>1314</v>
      </c>
      <c r="B1375" s="1832">
        <f>'Expenditures 15-22'!H208</f>
        <v>289949</v>
      </c>
      <c r="C1375" s="2" t="s">
        <v>569</v>
      </c>
      <c r="D1375" s="2" t="str">
        <f t="shared" si="20"/>
        <v>Error?</v>
      </c>
    </row>
    <row r="1376" spans="1:4" x14ac:dyDescent="0.2">
      <c r="A1376" s="5">
        <v>1315</v>
      </c>
      <c r="B1376" s="1832">
        <f>'Expenditures 15-22'!H210</f>
        <v>289949</v>
      </c>
      <c r="C1376" s="2" t="s">
        <v>569</v>
      </c>
      <c r="D1376" s="2" t="str">
        <f t="shared" si="20"/>
        <v>Error?</v>
      </c>
    </row>
    <row r="1377" spans="1:4" x14ac:dyDescent="0.2">
      <c r="A1377" s="5">
        <v>1316</v>
      </c>
      <c r="B1377" s="1832">
        <f>'Expenditures 15-22'!K182</f>
        <v>946561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946561</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11057</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289949</v>
      </c>
      <c r="C1387" s="2" t="s">
        <v>569</v>
      </c>
      <c r="D1387" s="2" t="str">
        <f t="shared" si="20"/>
        <v>Error?</v>
      </c>
    </row>
    <row r="1388" spans="1:4" x14ac:dyDescent="0.2">
      <c r="A1388" s="5">
        <v>1327</v>
      </c>
      <c r="B1388" s="1832">
        <f>'Expenditures 15-22'!K210</f>
        <v>1236510</v>
      </c>
      <c r="C1388" s="2" t="s">
        <v>569</v>
      </c>
      <c r="D1388" s="2" t="str">
        <f t="shared" si="20"/>
        <v>Error?</v>
      </c>
    </row>
    <row r="1389" spans="1:4" x14ac:dyDescent="0.2">
      <c r="A1389" s="5">
        <v>1328</v>
      </c>
      <c r="B1389" s="1832">
        <f>'Expenditures 15-22'!K211</f>
        <v>32822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3123</v>
      </c>
      <c r="D1407" s="2" t="str">
        <f t="shared" ref="D1407:D1470" si="21">IF(ISBLANK(B1407),"OK",IF(A1407-B1407=0,"OK","Error?"))</f>
        <v>Error?</v>
      </c>
    </row>
    <row r="1408" spans="1:4" x14ac:dyDescent="0.2">
      <c r="A1408" s="5">
        <v>1347</v>
      </c>
      <c r="B1408" s="1832">
        <f>'Expenditures 15-22'!D223</f>
        <v>8081</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166977</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7553</v>
      </c>
      <c r="D1412" s="2" t="str">
        <f t="shared" si="21"/>
        <v>Error?</v>
      </c>
    </row>
    <row r="1413" spans="1:4" x14ac:dyDescent="0.2">
      <c r="A1413" s="5">
        <v>1352</v>
      </c>
      <c r="B1413" s="1832">
        <f>'Expenditures 15-22'!D234</f>
        <v>6649</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3455</v>
      </c>
      <c r="D1415" s="2" t="str">
        <f t="shared" si="21"/>
        <v>Error?</v>
      </c>
    </row>
    <row r="1416" spans="1:4" x14ac:dyDescent="0.2">
      <c r="A1416" s="5">
        <v>1355</v>
      </c>
      <c r="B1416" s="1832">
        <f>'Expenditures 15-22'!D237</f>
        <v>51</v>
      </c>
      <c r="D1416" s="2" t="str">
        <f t="shared" si="21"/>
        <v>Error?</v>
      </c>
    </row>
    <row r="1417" spans="1:4" x14ac:dyDescent="0.2">
      <c r="A1417" s="5">
        <v>1356</v>
      </c>
      <c r="B1417" s="1832">
        <f>'Expenditures 15-22'!D238</f>
        <v>17708</v>
      </c>
      <c r="C1417" s="2" t="s">
        <v>569</v>
      </c>
      <c r="D1417" s="2" t="str">
        <f t="shared" si="21"/>
        <v>Error?</v>
      </c>
    </row>
    <row r="1418" spans="1:4" x14ac:dyDescent="0.2">
      <c r="A1418" s="5">
        <v>1357</v>
      </c>
      <c r="B1418" s="1832">
        <f>'Expenditures 15-22'!D240</f>
        <v>583</v>
      </c>
      <c r="D1418" s="2" t="str">
        <f t="shared" si="21"/>
        <v>Error?</v>
      </c>
    </row>
    <row r="1419" spans="1:4" x14ac:dyDescent="0.2">
      <c r="A1419" s="5">
        <v>1358</v>
      </c>
      <c r="B1419" s="1832">
        <f>'Expenditures 15-22'!D241</f>
        <v>8913</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9496</v>
      </c>
      <c r="C1421" s="2" t="s">
        <v>569</v>
      </c>
      <c r="D1421" s="2" t="str">
        <f t="shared" si="21"/>
        <v>Error?</v>
      </c>
    </row>
    <row r="1422" spans="1:4" x14ac:dyDescent="0.2">
      <c r="A1422" s="5">
        <v>1361</v>
      </c>
      <c r="B1422" s="1832">
        <f>'Expenditures 15-22'!D245</f>
        <v>397</v>
      </c>
      <c r="D1422" s="2" t="str">
        <f t="shared" si="21"/>
        <v>Error?</v>
      </c>
    </row>
    <row r="1423" spans="1:4" x14ac:dyDescent="0.2">
      <c r="A1423" s="5">
        <v>1362</v>
      </c>
      <c r="B1423" s="1832">
        <f>'Expenditures 15-22'!D246</f>
        <v>13125</v>
      </c>
      <c r="D1423" s="2" t="str">
        <f t="shared" si="21"/>
        <v>Error?</v>
      </c>
    </row>
    <row r="1424" spans="1:4" x14ac:dyDescent="0.2">
      <c r="A1424" s="5">
        <v>1363</v>
      </c>
      <c r="B1424" s="1832">
        <f>'Expenditures 15-22'!D257</f>
        <v>14896</v>
      </c>
      <c r="C1424" s="2" t="s">
        <v>569</v>
      </c>
      <c r="D1424" s="2" t="str">
        <f t="shared" si="21"/>
        <v>Error?</v>
      </c>
    </row>
    <row r="1425" spans="1:4" x14ac:dyDescent="0.2">
      <c r="A1425" s="5">
        <v>1364</v>
      </c>
      <c r="B1425" s="1832">
        <f>'Expenditures 15-22'!D259</f>
        <v>43642</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43642</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10893</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67418</v>
      </c>
      <c r="D1431" s="2" t="str">
        <f t="shared" si="21"/>
        <v>Error?</v>
      </c>
    </row>
    <row r="1432" spans="1:4" x14ac:dyDescent="0.2">
      <c r="A1432" s="5">
        <v>1371</v>
      </c>
      <c r="B1432" s="1832">
        <f>'Expenditures 15-22'!D267</f>
        <v>99575</v>
      </c>
      <c r="D1432" s="2" t="str">
        <f t="shared" si="21"/>
        <v>Error?</v>
      </c>
    </row>
    <row r="1433" spans="1:4" x14ac:dyDescent="0.2">
      <c r="A1433" s="5">
        <v>1372</v>
      </c>
      <c r="B1433" s="1832">
        <f>'Expenditures 15-22'!D268</f>
        <v>33991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211877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14928</v>
      </c>
      <c r="D1442" s="2" t="str">
        <f t="shared" si="21"/>
        <v>Error?</v>
      </c>
    </row>
    <row r="1443" spans="1:4" x14ac:dyDescent="0.2">
      <c r="A1443" s="10">
        <v>1382</v>
      </c>
      <c r="B1443" s="1832"/>
      <c r="D1443" s="2" t="str">
        <f t="shared" si="21"/>
        <v>OK</v>
      </c>
    </row>
    <row r="1444" spans="1:4" x14ac:dyDescent="0.2">
      <c r="A1444" s="5">
        <v>1383</v>
      </c>
      <c r="B1444" s="1832">
        <f>'Expenditures 15-22'!D277</f>
        <v>14928</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312547</v>
      </c>
      <c r="C1446" s="2" t="s">
        <v>569</v>
      </c>
      <c r="D1446" s="2" t="str">
        <f t="shared" si="21"/>
        <v>Error?</v>
      </c>
    </row>
    <row r="1447" spans="1:4" x14ac:dyDescent="0.2">
      <c r="A1447" s="5">
        <v>1386</v>
      </c>
      <c r="B1447" s="1832">
        <f>'Expenditures 15-22'!D280</f>
        <v>4506</v>
      </c>
      <c r="D1447" s="2" t="str">
        <f t="shared" si="21"/>
        <v>Error?</v>
      </c>
    </row>
    <row r="1448" spans="1:4" x14ac:dyDescent="0.2">
      <c r="A1448" s="5">
        <v>1387</v>
      </c>
      <c r="B1448" s="1832">
        <f>'Expenditures 15-22'!D295</f>
        <v>484030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3123</v>
      </c>
      <c r="C1471" s="2" t="s">
        <v>569</v>
      </c>
      <c r="D1471" s="2" t="str">
        <f t="shared" ref="D1471:D1534" si="22">IF(ISBLANK(B1471),"OK",IF(A1471-B1471=0,"OK","Error?"))</f>
        <v>Error?</v>
      </c>
    </row>
    <row r="1472" spans="1:4" x14ac:dyDescent="0.2">
      <c r="A1472" s="5">
        <v>1411</v>
      </c>
      <c r="B1472" s="1832">
        <f>'Expenditures 15-22'!K223</f>
        <v>8081</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166977</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7553</v>
      </c>
      <c r="C1476" s="2" t="s">
        <v>569</v>
      </c>
      <c r="D1476" s="2" t="str">
        <f t="shared" si="22"/>
        <v>Error?</v>
      </c>
    </row>
    <row r="1477" spans="1:4" x14ac:dyDescent="0.2">
      <c r="A1477" s="5">
        <v>1416</v>
      </c>
      <c r="B1477" s="1832">
        <f>'Expenditures 15-22'!K234</f>
        <v>6649</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3455</v>
      </c>
      <c r="C1479" s="2" t="s">
        <v>569</v>
      </c>
      <c r="D1479" s="2" t="str">
        <f t="shared" si="22"/>
        <v>Error?</v>
      </c>
    </row>
    <row r="1480" spans="1:4" x14ac:dyDescent="0.2">
      <c r="A1480" s="5">
        <v>1419</v>
      </c>
      <c r="B1480" s="1832">
        <f>'Expenditures 15-22'!K237</f>
        <v>51</v>
      </c>
      <c r="C1480" s="2" t="s">
        <v>569</v>
      </c>
      <c r="D1480" s="2" t="str">
        <f t="shared" si="22"/>
        <v>Error?</v>
      </c>
    </row>
    <row r="1481" spans="1:4" x14ac:dyDescent="0.2">
      <c r="A1481" s="5">
        <v>1420</v>
      </c>
      <c r="B1481" s="1832">
        <f>'Expenditures 15-22'!K238</f>
        <v>17708</v>
      </c>
      <c r="C1481" s="2" t="s">
        <v>569</v>
      </c>
      <c r="D1481" s="2" t="str">
        <f t="shared" si="22"/>
        <v>Error?</v>
      </c>
    </row>
    <row r="1482" spans="1:4" x14ac:dyDescent="0.2">
      <c r="A1482" s="5">
        <v>1421</v>
      </c>
      <c r="B1482" s="1832">
        <f>'Expenditures 15-22'!K240</f>
        <v>583</v>
      </c>
      <c r="C1482" s="2" t="s">
        <v>569</v>
      </c>
      <c r="D1482" s="2" t="str">
        <f t="shared" si="22"/>
        <v>Error?</v>
      </c>
    </row>
    <row r="1483" spans="1:4" x14ac:dyDescent="0.2">
      <c r="A1483" s="5">
        <v>1422</v>
      </c>
      <c r="B1483" s="1832">
        <f>'Expenditures 15-22'!K241</f>
        <v>8913</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9496</v>
      </c>
      <c r="C1485" s="2" t="s">
        <v>569</v>
      </c>
      <c r="D1485" s="2" t="str">
        <f t="shared" si="22"/>
        <v>Error?</v>
      </c>
    </row>
    <row r="1486" spans="1:4" x14ac:dyDescent="0.2">
      <c r="A1486" s="5">
        <v>1425</v>
      </c>
      <c r="B1486" s="1832">
        <f>'Expenditures 15-22'!K245</f>
        <v>397</v>
      </c>
      <c r="C1486" s="2" t="s">
        <v>569</v>
      </c>
      <c r="D1486" s="2" t="str">
        <f t="shared" si="22"/>
        <v>Error?</v>
      </c>
    </row>
    <row r="1487" spans="1:4" x14ac:dyDescent="0.2">
      <c r="A1487" s="5">
        <v>1426</v>
      </c>
      <c r="B1487" s="1832">
        <f>'Expenditures 15-22'!K246</f>
        <v>13125</v>
      </c>
      <c r="C1487" s="2" t="s">
        <v>569</v>
      </c>
      <c r="D1487" s="2" t="str">
        <f t="shared" si="22"/>
        <v>Error?</v>
      </c>
    </row>
    <row r="1488" spans="1:4" x14ac:dyDescent="0.2">
      <c r="A1488" s="5">
        <v>1427</v>
      </c>
      <c r="B1488" s="1832">
        <f>'Expenditures 15-22'!K257</f>
        <v>14896</v>
      </c>
      <c r="C1488" s="2" t="s">
        <v>569</v>
      </c>
      <c r="D1488" s="2" t="str">
        <f t="shared" si="22"/>
        <v>Error?</v>
      </c>
    </row>
    <row r="1489" spans="1:4" x14ac:dyDescent="0.2">
      <c r="A1489" s="5">
        <v>1428</v>
      </c>
      <c r="B1489" s="1832">
        <f>'Expenditures 15-22'!K259</f>
        <v>43642</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43642</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10893</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67418</v>
      </c>
      <c r="C1495" s="2" t="s">
        <v>569</v>
      </c>
      <c r="D1495" s="2" t="str">
        <f t="shared" si="22"/>
        <v>Error?</v>
      </c>
    </row>
    <row r="1496" spans="1:4" x14ac:dyDescent="0.2">
      <c r="A1496" s="5">
        <v>1435</v>
      </c>
      <c r="B1496" s="1832">
        <f>'Expenditures 15-22'!K267</f>
        <v>99575</v>
      </c>
      <c r="C1496" s="2" t="s">
        <v>569</v>
      </c>
      <c r="D1496" s="2" t="str">
        <f t="shared" si="22"/>
        <v>Error?</v>
      </c>
    </row>
    <row r="1497" spans="1:4" x14ac:dyDescent="0.2">
      <c r="A1497" s="5">
        <v>1436</v>
      </c>
      <c r="B1497" s="1832">
        <f>'Expenditures 15-22'!K268</f>
        <v>33991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211877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14928</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14928</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312547</v>
      </c>
      <c r="C1510" s="2" t="s">
        <v>569</v>
      </c>
      <c r="D1510" s="2" t="str">
        <f t="shared" si="22"/>
        <v>Error?</v>
      </c>
    </row>
    <row r="1511" spans="1:4" x14ac:dyDescent="0.2">
      <c r="A1511" s="5">
        <v>1450</v>
      </c>
      <c r="B1511" s="1832">
        <f>'Expenditures 15-22'!K280</f>
        <v>4506</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484030</v>
      </c>
      <c r="C1517" s="2" t="s">
        <v>569</v>
      </c>
      <c r="D1517" s="2" t="str">
        <f t="shared" si="22"/>
        <v>Error?</v>
      </c>
    </row>
    <row r="1518" spans="1:4" x14ac:dyDescent="0.2">
      <c r="A1518" s="5">
        <v>1457</v>
      </c>
      <c r="B1518" s="1832">
        <f>'Expenditures 15-22'!K296</f>
        <v>9931</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1979435</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1979435</v>
      </c>
      <c r="C1547" s="2" t="s">
        <v>569</v>
      </c>
      <c r="D1547" s="2" t="str">
        <f t="shared" si="23"/>
        <v>Error?</v>
      </c>
    </row>
    <row r="1548" spans="1:4" x14ac:dyDescent="0.2">
      <c r="A1548" s="5">
        <v>1487</v>
      </c>
      <c r="B1548" s="1832">
        <f>'Expenditures 15-22'!G312</f>
        <v>1979435</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1979435</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1979435</v>
      </c>
      <c r="C1559" s="2" t="s">
        <v>569</v>
      </c>
      <c r="D1559" s="2" t="str">
        <f t="shared" si="23"/>
        <v>Error?</v>
      </c>
    </row>
    <row r="1560" spans="1:4" x14ac:dyDescent="0.2">
      <c r="A1560" s="5">
        <v>1499</v>
      </c>
      <c r="B1560" s="1832">
        <f>'Expenditures 15-22'!K312</f>
        <v>1979435</v>
      </c>
      <c r="C1560" s="2" t="s">
        <v>569</v>
      </c>
      <c r="D1560" s="2" t="str">
        <f t="shared" si="23"/>
        <v>Error?</v>
      </c>
    </row>
    <row r="1561" spans="1:4" x14ac:dyDescent="0.2">
      <c r="A1561" s="5">
        <v>1500</v>
      </c>
      <c r="B1561" s="1832">
        <f>'Expenditures 15-22'!K313</f>
        <v>-1957632</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143419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409177</v>
      </c>
      <c r="C1630" s="2" t="s">
        <v>569</v>
      </c>
      <c r="D1630" s="2" t="str">
        <f t="shared" si="24"/>
        <v>Error?</v>
      </c>
    </row>
    <row r="1631" spans="1:4" x14ac:dyDescent="0.2">
      <c r="A1631" s="5">
        <v>1570</v>
      </c>
      <c r="B1631" s="1832">
        <f>'Acct Summary 7-8'!D79</f>
        <v>153241</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275908</v>
      </c>
      <c r="C1644" s="2" t="s">
        <v>569</v>
      </c>
      <c r="D1644" s="2" t="str">
        <f t="shared" si="24"/>
        <v>Error?</v>
      </c>
    </row>
    <row r="1645" spans="1:4" x14ac:dyDescent="0.2">
      <c r="A1645" s="5">
        <v>1584</v>
      </c>
      <c r="B1645" s="1832">
        <f>'Acct Summary 7-8'!E79</f>
        <v>128076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135144</v>
      </c>
      <c r="C1658" s="2" t="s">
        <v>569</v>
      </c>
      <c r="D1658" s="2" t="str">
        <f t="shared" si="24"/>
        <v>Error?</v>
      </c>
    </row>
    <row r="1659" spans="1:4" x14ac:dyDescent="0.2">
      <c r="A1659" s="5">
        <v>1598</v>
      </c>
      <c r="B1659" s="1832">
        <f>'Acct Summary 7-8'!F79</f>
        <v>196972</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235144</v>
      </c>
      <c r="C1672" s="2" t="s">
        <v>569</v>
      </c>
      <c r="D1672" s="2" t="str">
        <f t="shared" si="25"/>
        <v>Error?</v>
      </c>
    </row>
    <row r="1673" spans="1:4" x14ac:dyDescent="0.2">
      <c r="A1673" s="5">
        <v>1612</v>
      </c>
      <c r="B1673" s="1832">
        <f>'Acct Summary 7-8'!G79</f>
        <v>152513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162444</v>
      </c>
      <c r="C1686" s="2" t="s">
        <v>569</v>
      </c>
      <c r="D1686" s="2" t="str">
        <f t="shared" si="25"/>
        <v>Error?</v>
      </c>
    </row>
    <row r="1687" spans="1:4" x14ac:dyDescent="0.2">
      <c r="A1687" s="5">
        <v>1626</v>
      </c>
      <c r="B1687" s="1832">
        <f>'Acct Summary 7-8'!H79</f>
        <v>1885619</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4111082</v>
      </c>
      <c r="C1744" s="2" t="s">
        <v>569</v>
      </c>
      <c r="D1744" s="2" t="str">
        <f t="shared" si="26"/>
        <v>Error?</v>
      </c>
    </row>
    <row r="1745" spans="1:5" x14ac:dyDescent="0.2">
      <c r="A1745" s="5">
        <v>1684</v>
      </c>
      <c r="B1745" s="1832">
        <f>'Tax Sched 23'!B5</f>
        <v>757263</v>
      </c>
      <c r="C1745" s="2" t="s">
        <v>569</v>
      </c>
      <c r="D1745" s="2" t="str">
        <f t="shared" si="26"/>
        <v>Error?</v>
      </c>
    </row>
    <row r="1746" spans="1:5" x14ac:dyDescent="0.2">
      <c r="A1746" s="5">
        <v>1685</v>
      </c>
      <c r="B1746" s="1832">
        <f>'Tax Sched 23'!B6</f>
        <v>1311906</v>
      </c>
      <c r="C1746" s="2" t="s">
        <v>569</v>
      </c>
      <c r="D1746" s="2" t="str">
        <f t="shared" si="26"/>
        <v>Error?</v>
      </c>
    </row>
    <row r="1747" spans="1:5" x14ac:dyDescent="0.2">
      <c r="A1747" s="5">
        <v>1686</v>
      </c>
      <c r="B1747" s="1832">
        <f>'Tax Sched 23'!B7</f>
        <v>378630</v>
      </c>
      <c r="C1747" s="2" t="s">
        <v>569</v>
      </c>
      <c r="D1747" s="2" t="str">
        <f t="shared" si="26"/>
        <v>Error?</v>
      </c>
    </row>
    <row r="1748" spans="1:5" x14ac:dyDescent="0.2">
      <c r="A1748" s="5">
        <v>1687</v>
      </c>
      <c r="B1748" s="1832">
        <f>'Tax Sched 23'!B8</f>
        <v>229929</v>
      </c>
      <c r="C1748" s="2" t="s">
        <v>569</v>
      </c>
      <c r="D1748" s="2" t="str">
        <f t="shared" si="26"/>
        <v>Error?</v>
      </c>
    </row>
    <row r="1749" spans="1:5" x14ac:dyDescent="0.2">
      <c r="A1749" s="5">
        <v>1688</v>
      </c>
      <c r="B1749" s="1832">
        <f>'Tax Sched 23'!B10</f>
        <v>75727</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1500110</v>
      </c>
      <c r="C1752" s="2" t="s">
        <v>569</v>
      </c>
      <c r="D1752" s="2" t="str">
        <f t="shared" si="26"/>
        <v>Error?</v>
      </c>
    </row>
    <row r="1753" spans="1:5" x14ac:dyDescent="0.2">
      <c r="A1753" s="5">
        <v>1692</v>
      </c>
      <c r="B1753" s="1832">
        <f>'Tax Sched 23'!B12</f>
        <v>75726</v>
      </c>
      <c r="C1753" s="2" t="s">
        <v>569</v>
      </c>
      <c r="D1753" s="2" t="str">
        <f t="shared" si="26"/>
        <v>Error?</v>
      </c>
    </row>
    <row r="1754" spans="1:5" x14ac:dyDescent="0.2">
      <c r="A1754" s="5">
        <v>1693</v>
      </c>
      <c r="B1754" s="1832">
        <f>'Tax Sched 23'!B14</f>
        <v>60581</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8827111</v>
      </c>
      <c r="C1759" s="2" t="s">
        <v>569</v>
      </c>
      <c r="D1759" s="2" t="str">
        <f t="shared" si="26"/>
        <v>Error?</v>
      </c>
    </row>
    <row r="1760" spans="1:5" x14ac:dyDescent="0.2">
      <c r="A1760" s="5">
        <v>1699</v>
      </c>
      <c r="B1760" s="1832">
        <f>'Tax Sched 23'!D4</f>
        <v>4111082</v>
      </c>
      <c r="C1760" s="2" t="s">
        <v>569</v>
      </c>
      <c r="D1760" s="2" t="str">
        <f t="shared" si="26"/>
        <v>Error?</v>
      </c>
    </row>
    <row r="1761" spans="1:7" x14ac:dyDescent="0.2">
      <c r="A1761" s="5">
        <v>1700</v>
      </c>
      <c r="B1761" s="1832">
        <f>'Tax Sched 23'!D5</f>
        <v>757263</v>
      </c>
      <c r="C1761" s="2" t="s">
        <v>569</v>
      </c>
      <c r="D1761" s="2" t="str">
        <f t="shared" si="26"/>
        <v>Error?</v>
      </c>
    </row>
    <row r="1762" spans="1:7" s="8" customFormat="1" x14ac:dyDescent="0.2">
      <c r="A1762" s="5">
        <v>1701</v>
      </c>
      <c r="B1762" s="1832">
        <f>'Tax Sched 23'!D6</f>
        <v>1311906</v>
      </c>
      <c r="C1762" s="2" t="s">
        <v>569</v>
      </c>
      <c r="D1762" s="2" t="str">
        <f t="shared" si="26"/>
        <v>Error?</v>
      </c>
      <c r="E1762" s="9"/>
      <c r="G1762"/>
    </row>
    <row r="1763" spans="1:7" x14ac:dyDescent="0.2">
      <c r="A1763" s="5">
        <v>1702</v>
      </c>
      <c r="B1763" s="1832">
        <f>'Tax Sched 23'!D7</f>
        <v>378630</v>
      </c>
      <c r="C1763" s="2" t="s">
        <v>569</v>
      </c>
      <c r="D1763" s="2" t="str">
        <f t="shared" si="26"/>
        <v>Error?</v>
      </c>
    </row>
    <row r="1764" spans="1:7" x14ac:dyDescent="0.2">
      <c r="A1764" s="5">
        <v>1703</v>
      </c>
      <c r="B1764" s="1832">
        <f>'Tax Sched 23'!D8</f>
        <v>229929</v>
      </c>
      <c r="C1764" s="2" t="s">
        <v>569</v>
      </c>
      <c r="D1764" s="2" t="str">
        <f t="shared" si="26"/>
        <v>Error?</v>
      </c>
    </row>
    <row r="1765" spans="1:7" x14ac:dyDescent="0.2">
      <c r="A1765" s="5">
        <v>1704</v>
      </c>
      <c r="B1765" s="1832">
        <f>'Tax Sched 23'!D10</f>
        <v>75727</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1500110</v>
      </c>
      <c r="C1768" s="2" t="s">
        <v>569</v>
      </c>
      <c r="D1768" s="2" t="str">
        <f t="shared" si="26"/>
        <v>Error?</v>
      </c>
    </row>
    <row r="1769" spans="1:7" x14ac:dyDescent="0.2">
      <c r="A1769" s="5">
        <v>1708</v>
      </c>
      <c r="B1769" s="1832">
        <f>'Tax Sched 23'!D12</f>
        <v>75726</v>
      </c>
      <c r="C1769" s="2" t="s">
        <v>569</v>
      </c>
      <c r="D1769" s="2" t="str">
        <f t="shared" si="26"/>
        <v>Error?</v>
      </c>
    </row>
    <row r="1770" spans="1:7" x14ac:dyDescent="0.2">
      <c r="A1770" s="5">
        <v>1709</v>
      </c>
      <c r="B1770" s="1832">
        <f>'Tax Sched 23'!D14</f>
        <v>60581</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8827111</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5231895</v>
      </c>
      <c r="C1792" s="2" t="s">
        <v>569</v>
      </c>
      <c r="D1792" s="2" t="str">
        <f t="shared" si="27"/>
        <v>Error?</v>
      </c>
    </row>
    <row r="1793" spans="1:4" x14ac:dyDescent="0.2">
      <c r="A1793" s="5">
        <v>1732</v>
      </c>
      <c r="B1793" s="1832">
        <f>'Tax Sched 23'!F5</f>
        <v>951254</v>
      </c>
      <c r="C1793" s="2" t="s">
        <v>569</v>
      </c>
      <c r="D1793" s="2" t="str">
        <f t="shared" si="27"/>
        <v>Error?</v>
      </c>
    </row>
    <row r="1794" spans="1:4" x14ac:dyDescent="0.2">
      <c r="A1794" s="5">
        <v>1733</v>
      </c>
      <c r="B1794" s="1832">
        <f>'Tax Sched 23'!F6</f>
        <v>1820509</v>
      </c>
      <c r="C1794" s="2" t="s">
        <v>569</v>
      </c>
      <c r="D1794" s="2" t="str">
        <f t="shared" si="27"/>
        <v>Error?</v>
      </c>
    </row>
    <row r="1795" spans="1:4" x14ac:dyDescent="0.2">
      <c r="A1795" s="5">
        <v>1734</v>
      </c>
      <c r="B1795" s="1832">
        <f>'Tax Sched 23'!F7</f>
        <v>475627</v>
      </c>
      <c r="C1795" s="2" t="s">
        <v>569</v>
      </c>
      <c r="D1795" s="2" t="str">
        <f t="shared" si="27"/>
        <v>Error?</v>
      </c>
    </row>
    <row r="1796" spans="1:4" x14ac:dyDescent="0.2">
      <c r="A1796" s="5">
        <v>1735</v>
      </c>
      <c r="B1796" s="1832">
        <f>'Tax Sched 23'!F8</f>
        <v>210037</v>
      </c>
      <c r="C1796" s="2" t="s">
        <v>569</v>
      </c>
      <c r="D1796" s="2" t="str">
        <f t="shared" si="27"/>
        <v>Error?</v>
      </c>
    </row>
    <row r="1797" spans="1:4" x14ac:dyDescent="0.2">
      <c r="A1797" s="5">
        <v>1736</v>
      </c>
      <c r="B1797" s="1832">
        <f>'Tax Sched 23'!F10</f>
        <v>95126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1499937</v>
      </c>
      <c r="C1800" s="2" t="s">
        <v>569</v>
      </c>
      <c r="D1800" s="2" t="str">
        <f t="shared" si="27"/>
        <v>Error?</v>
      </c>
    </row>
    <row r="1801" spans="1:4" x14ac:dyDescent="0.2">
      <c r="A1801" s="5">
        <v>1740</v>
      </c>
      <c r="B1801" s="1832">
        <f>'Tax Sched 23'!F12</f>
        <v>95125</v>
      </c>
      <c r="C1801" s="2" t="s">
        <v>569</v>
      </c>
      <c r="D1801" s="2" t="str">
        <f t="shared" si="27"/>
        <v>Error?</v>
      </c>
    </row>
    <row r="1802" spans="1:4" x14ac:dyDescent="0.2">
      <c r="A1802" s="5">
        <v>1741</v>
      </c>
      <c r="B1802" s="1832">
        <f>'Tax Sched 23'!F14</f>
        <v>76100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10890713</v>
      </c>
      <c r="C1807" s="2" t="s">
        <v>569</v>
      </c>
      <c r="D1807" s="2" t="str">
        <f t="shared" si="27"/>
        <v>Error?</v>
      </c>
    </row>
    <row r="1808" spans="1:4" x14ac:dyDescent="0.2">
      <c r="A1808" s="5">
        <v>1747</v>
      </c>
      <c r="B1808" s="1832">
        <f>'Tax Sched 23'!E4</f>
        <v>5231895</v>
      </c>
      <c r="D1808" s="2" t="str">
        <f t="shared" si="27"/>
        <v>Error?</v>
      </c>
    </row>
    <row r="1809" spans="1:4" x14ac:dyDescent="0.2">
      <c r="A1809" s="5">
        <v>1748</v>
      </c>
      <c r="B1809" s="1832">
        <f>'Tax Sched 23'!E5</f>
        <v>951254</v>
      </c>
      <c r="D1809" s="2" t="str">
        <f t="shared" si="27"/>
        <v>Error?</v>
      </c>
    </row>
    <row r="1810" spans="1:4" x14ac:dyDescent="0.2">
      <c r="A1810" s="5">
        <v>1749</v>
      </c>
      <c r="B1810" s="1832">
        <f>'Tax Sched 23'!E6</f>
        <v>1820509</v>
      </c>
      <c r="D1810" s="2" t="str">
        <f t="shared" si="27"/>
        <v>Error?</v>
      </c>
    </row>
    <row r="1811" spans="1:4" x14ac:dyDescent="0.2">
      <c r="A1811" s="5">
        <v>1750</v>
      </c>
      <c r="B1811" s="1832">
        <f>'Tax Sched 23'!E7</f>
        <v>475627</v>
      </c>
      <c r="D1811" s="2" t="str">
        <f t="shared" si="27"/>
        <v>Error?</v>
      </c>
    </row>
    <row r="1812" spans="1:4" x14ac:dyDescent="0.2">
      <c r="A1812" s="5">
        <v>1751</v>
      </c>
      <c r="B1812" s="1832">
        <f>'Tax Sched 23'!E8</f>
        <v>210037</v>
      </c>
      <c r="D1812" s="2" t="str">
        <f t="shared" si="27"/>
        <v>Error?</v>
      </c>
    </row>
    <row r="1813" spans="1:4" x14ac:dyDescent="0.2">
      <c r="A1813" s="5">
        <v>1752</v>
      </c>
      <c r="B1813" s="1832">
        <f>'Tax Sched 23'!E10</f>
        <v>95126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1499937</v>
      </c>
      <c r="D1816" s="2" t="str">
        <f t="shared" si="27"/>
        <v>Error?</v>
      </c>
    </row>
    <row r="1817" spans="1:4" x14ac:dyDescent="0.2">
      <c r="A1817" s="5">
        <v>1756</v>
      </c>
      <c r="B1817" s="1832">
        <f>'Tax Sched 23'!E12</f>
        <v>95125</v>
      </c>
      <c r="D1817" s="2" t="str">
        <f t="shared" si="27"/>
        <v>Error?</v>
      </c>
    </row>
    <row r="1818" spans="1:4" x14ac:dyDescent="0.2">
      <c r="A1818" s="5">
        <v>1757</v>
      </c>
      <c r="B1818" s="1832">
        <f>'Tax Sched 23'!E14</f>
        <v>76100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10890713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12213599</v>
      </c>
      <c r="C1939" s="2" t="s">
        <v>569</v>
      </c>
      <c r="D1939" s="2" t="str">
        <f t="shared" si="29"/>
        <v>Error?</v>
      </c>
    </row>
    <row r="1940" spans="1:5" x14ac:dyDescent="0.2">
      <c r="A1940" s="5">
        <v>1879</v>
      </c>
      <c r="B1940" s="1832">
        <f>'Short-Term Long-Term Debt 24'!F49</f>
        <v>2315556</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60581</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60581</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60581</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754625</v>
      </c>
      <c r="D2008" s="2" t="str">
        <f t="shared" si="30"/>
        <v>Error?</v>
      </c>
    </row>
    <row r="2009" spans="1:4" x14ac:dyDescent="0.2">
      <c r="A2009" s="5">
        <v>1948</v>
      </c>
      <c r="B2009" s="1832">
        <f>'Cap Outlay Deprec 26'!C8</f>
        <v>18240218</v>
      </c>
      <c r="D2009" s="2" t="str">
        <f t="shared" si="30"/>
        <v>Error?</v>
      </c>
    </row>
    <row r="2010" spans="1:4" x14ac:dyDescent="0.2">
      <c r="A2010" s="5">
        <v>1949</v>
      </c>
      <c r="B2010" s="1832">
        <f>'Cap Outlay Deprec 26'!C10</f>
        <v>1878894</v>
      </c>
      <c r="D2010" s="2" t="str">
        <f t="shared" si="30"/>
        <v>Error?</v>
      </c>
    </row>
    <row r="2011" spans="1:4" x14ac:dyDescent="0.2">
      <c r="A2011" s="5">
        <v>1950</v>
      </c>
      <c r="B2011" s="1832">
        <f>'Cap Outlay Deprec 26'!C12</f>
        <v>1323395</v>
      </c>
      <c r="D2011" s="2" t="str">
        <f t="shared" si="30"/>
        <v>Error?</v>
      </c>
    </row>
    <row r="2012" spans="1:4" x14ac:dyDescent="0.2">
      <c r="A2012" s="5">
        <v>1951</v>
      </c>
      <c r="B2012" s="1832">
        <f>'Cap Outlay Deprec 26'!C13</f>
        <v>3040401</v>
      </c>
      <c r="D2012" s="2" t="str">
        <f t="shared" si="30"/>
        <v>Error?</v>
      </c>
    </row>
    <row r="2013" spans="1:4" x14ac:dyDescent="0.2">
      <c r="A2013" s="5">
        <v>1952</v>
      </c>
      <c r="B2013" s="1832">
        <f>'Cap Outlay Deprec 26'!C16</f>
        <v>35500032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12405472</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79961</v>
      </c>
      <c r="D2017" s="2" t="str">
        <f t="shared" si="30"/>
        <v>Error?</v>
      </c>
    </row>
    <row r="2018" spans="1:4" x14ac:dyDescent="0.2">
      <c r="A2018" s="5">
        <v>1957</v>
      </c>
      <c r="B2018" s="1832">
        <f>'Cap Outlay Deprec 26'!D13</f>
        <v>135110</v>
      </c>
      <c r="D2018" s="2" t="str">
        <f t="shared" si="30"/>
        <v>Error?</v>
      </c>
    </row>
    <row r="2019" spans="1:4" x14ac:dyDescent="0.2">
      <c r="A2019" s="5">
        <v>1958</v>
      </c>
      <c r="B2019" s="1832">
        <f>'Cap Outlay Deprec 26'!D16</f>
        <v>12620543</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10262499</v>
      </c>
      <c r="C2025" s="2" t="s">
        <v>569</v>
      </c>
      <c r="D2025" s="2" t="str">
        <f t="shared" si="30"/>
        <v>Error?</v>
      </c>
    </row>
    <row r="2026" spans="1:4" x14ac:dyDescent="0.2">
      <c r="A2026" s="5">
        <v>1965</v>
      </c>
      <c r="B2026" s="1832">
        <f>'Cap Outlay Deprec 26'!F5</f>
        <v>754625</v>
      </c>
      <c r="C2026" s="2" t="s">
        <v>569</v>
      </c>
      <c r="D2026" s="2" t="str">
        <f t="shared" si="30"/>
        <v>Error?</v>
      </c>
    </row>
    <row r="2027" spans="1:4" x14ac:dyDescent="0.2">
      <c r="A2027" s="5">
        <v>1966</v>
      </c>
      <c r="B2027" s="1832">
        <f>'Cap Outlay Deprec 26'!F8</f>
        <v>30645690</v>
      </c>
      <c r="C2027" s="2" t="s">
        <v>569</v>
      </c>
      <c r="D2027" s="2" t="str">
        <f t="shared" si="30"/>
        <v>Error?</v>
      </c>
    </row>
    <row r="2028" spans="1:4" x14ac:dyDescent="0.2">
      <c r="A2028" s="5">
        <v>1967</v>
      </c>
      <c r="B2028" s="1832">
        <f>'Cap Outlay Deprec 26'!F10</f>
        <v>1878894</v>
      </c>
      <c r="C2028" s="2" t="s">
        <v>569</v>
      </c>
      <c r="D2028" s="2" t="str">
        <f t="shared" si="30"/>
        <v>Error?</v>
      </c>
    </row>
    <row r="2029" spans="1:4" x14ac:dyDescent="0.2">
      <c r="A2029" s="5">
        <v>1968</v>
      </c>
      <c r="B2029" s="1832">
        <f>'Cap Outlay Deprec 26'!F12</f>
        <v>1403356</v>
      </c>
      <c r="C2029" s="2" t="s">
        <v>569</v>
      </c>
      <c r="D2029" s="2" t="str">
        <f t="shared" si="30"/>
        <v>Error?</v>
      </c>
    </row>
    <row r="2030" spans="1:4" x14ac:dyDescent="0.2">
      <c r="A2030" s="5">
        <v>1969</v>
      </c>
      <c r="B2030" s="1832">
        <f>'Cap Outlay Deprec 26'!F13</f>
        <v>3175511</v>
      </c>
      <c r="C2030" s="2" t="s">
        <v>569</v>
      </c>
      <c r="D2030" s="2" t="str">
        <f t="shared" si="30"/>
        <v>Error?</v>
      </c>
    </row>
    <row r="2031" spans="1:4" x14ac:dyDescent="0.2">
      <c r="A2031" s="5">
        <v>1970</v>
      </c>
      <c r="B2031" s="1832">
        <f>'Cap Outlay Deprec 26'!F16</f>
        <v>37858076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9608534</v>
      </c>
      <c r="D2033" s="2" t="str">
        <f t="shared" si="30"/>
        <v>Error?</v>
      </c>
    </row>
    <row r="2034" spans="1:4" x14ac:dyDescent="0.2">
      <c r="A2034" s="5">
        <v>1973</v>
      </c>
      <c r="B2034" s="1832">
        <f>'Cap Outlay Deprec 26'!H10</f>
        <v>1574139</v>
      </c>
      <c r="D2034" s="2" t="str">
        <f t="shared" si="30"/>
        <v>Error?</v>
      </c>
    </row>
    <row r="2035" spans="1:4" x14ac:dyDescent="0.2">
      <c r="A2035" s="5">
        <v>1974</v>
      </c>
      <c r="B2035" s="1832">
        <f>'Cap Outlay Deprec 26'!H12</f>
        <v>1067138</v>
      </c>
      <c r="D2035" s="2" t="str">
        <f t="shared" si="30"/>
        <v>Error?</v>
      </c>
    </row>
    <row r="2036" spans="1:4" x14ac:dyDescent="0.2">
      <c r="A2036" s="5">
        <v>1975</v>
      </c>
      <c r="B2036" s="1832">
        <f>'Cap Outlay Deprec 26'!H13</f>
        <v>2617163</v>
      </c>
      <c r="D2036" s="2" t="str">
        <f t="shared" si="30"/>
        <v>Error?</v>
      </c>
    </row>
    <row r="2037" spans="1:4" x14ac:dyDescent="0.2">
      <c r="A2037" s="5">
        <v>1976</v>
      </c>
      <c r="B2037" s="1832">
        <f>'Cap Outlay Deprec 26'!H16</f>
        <v>14866974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441296</v>
      </c>
      <c r="D2039" s="2" t="str">
        <f t="shared" si="30"/>
        <v>Error?</v>
      </c>
    </row>
    <row r="2040" spans="1:4" x14ac:dyDescent="0.2">
      <c r="A2040" s="5">
        <v>1979</v>
      </c>
      <c r="B2040" s="1832">
        <f>'Cap Outlay Deprec 26'!I10</f>
        <v>64255</v>
      </c>
      <c r="D2040" s="2" t="str">
        <f t="shared" si="30"/>
        <v>Error?</v>
      </c>
    </row>
    <row r="2041" spans="1:4" x14ac:dyDescent="0.2">
      <c r="A2041" s="5">
        <v>1980</v>
      </c>
      <c r="B2041" s="1832">
        <f>'Cap Outlay Deprec 26'!I12</f>
        <v>62313</v>
      </c>
      <c r="D2041" s="2" t="str">
        <f t="shared" si="30"/>
        <v>Error?</v>
      </c>
    </row>
    <row r="2042" spans="1:4" x14ac:dyDescent="0.2">
      <c r="A2042" s="5">
        <v>1981</v>
      </c>
      <c r="B2042" s="1832">
        <f>'Cap Outlay Deprec 26'!I13</f>
        <v>175625</v>
      </c>
      <c r="D2042" s="2" t="str">
        <f t="shared" si="30"/>
        <v>Error?</v>
      </c>
    </row>
    <row r="2043" spans="1:4" x14ac:dyDescent="0.2">
      <c r="A2043" s="5">
        <v>1982</v>
      </c>
      <c r="B2043" s="1832">
        <f>'Cap Outlay Deprec 26'!I16</f>
        <v>743489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10049830</v>
      </c>
      <c r="C2051" s="2" t="s">
        <v>569</v>
      </c>
      <c r="D2051" s="2" t="str">
        <f t="shared" si="31"/>
        <v>Error?</v>
      </c>
    </row>
    <row r="2052" spans="1:4" x14ac:dyDescent="0.2">
      <c r="A2052" s="5">
        <v>1991</v>
      </c>
      <c r="B2052" s="1832">
        <f>'Cap Outlay Deprec 26'!K10</f>
        <v>1638394</v>
      </c>
      <c r="C2052" s="2" t="s">
        <v>569</v>
      </c>
      <c r="D2052" s="2" t="str">
        <f t="shared" si="31"/>
        <v>Error?</v>
      </c>
    </row>
    <row r="2053" spans="1:4" x14ac:dyDescent="0.2">
      <c r="A2053" s="5">
        <v>1992</v>
      </c>
      <c r="B2053" s="1832">
        <f>'Cap Outlay Deprec 26'!K12</f>
        <v>1129451</v>
      </c>
      <c r="C2053" s="2" t="s">
        <v>569</v>
      </c>
      <c r="D2053" s="2" t="str">
        <f t="shared" si="31"/>
        <v>Error?</v>
      </c>
    </row>
    <row r="2054" spans="1:4" x14ac:dyDescent="0.2">
      <c r="A2054" s="5">
        <v>1993</v>
      </c>
      <c r="B2054" s="1832">
        <f>'Cap Outlay Deprec 26'!K13</f>
        <v>2792788</v>
      </c>
      <c r="C2054" s="2" t="s">
        <v>569</v>
      </c>
      <c r="D2054" s="2" t="str">
        <f t="shared" si="31"/>
        <v>Error?</v>
      </c>
    </row>
    <row r="2055" spans="1:4" x14ac:dyDescent="0.2">
      <c r="A2055" s="5">
        <v>1994</v>
      </c>
      <c r="B2055" s="1832">
        <f>'Cap Outlay Deprec 26'!K16</f>
        <v>15610463</v>
      </c>
      <c r="C2055" s="2" t="s">
        <v>569</v>
      </c>
      <c r="D2055" s="2" t="str">
        <f t="shared" si="31"/>
        <v>Error?</v>
      </c>
    </row>
    <row r="2056" spans="1:4" x14ac:dyDescent="0.2">
      <c r="A2056" s="5">
        <v>1995</v>
      </c>
      <c r="B2056" s="1832">
        <f>'Cap Outlay Deprec 26'!L5</f>
        <v>754625</v>
      </c>
      <c r="C2056" s="2" t="s">
        <v>569</v>
      </c>
      <c r="D2056" s="2" t="str">
        <f t="shared" si="31"/>
        <v>Error?</v>
      </c>
    </row>
    <row r="2057" spans="1:4" x14ac:dyDescent="0.2">
      <c r="A2057" s="5">
        <v>1996</v>
      </c>
      <c r="B2057" s="1832">
        <f>'Cap Outlay Deprec 26'!L8</f>
        <v>20595860</v>
      </c>
      <c r="C2057" s="2" t="s">
        <v>569</v>
      </c>
      <c r="D2057" s="2" t="str">
        <f t="shared" si="31"/>
        <v>Error?</v>
      </c>
    </row>
    <row r="2058" spans="1:4" x14ac:dyDescent="0.2">
      <c r="A2058" s="5">
        <v>1997</v>
      </c>
      <c r="B2058" s="1832">
        <f>'Cap Outlay Deprec 26'!L10</f>
        <v>240500</v>
      </c>
      <c r="C2058" s="2" t="s">
        <v>569</v>
      </c>
      <c r="D2058" s="2" t="str">
        <f t="shared" si="31"/>
        <v>Error?</v>
      </c>
    </row>
    <row r="2059" spans="1:4" x14ac:dyDescent="0.2">
      <c r="A2059" s="5">
        <v>1998</v>
      </c>
      <c r="B2059" s="1832">
        <f>'Cap Outlay Deprec 26'!L12</f>
        <v>273905</v>
      </c>
      <c r="C2059" s="2" t="s">
        <v>569</v>
      </c>
      <c r="D2059" s="2" t="str">
        <f t="shared" si="31"/>
        <v>Error?</v>
      </c>
    </row>
    <row r="2060" spans="1:4" x14ac:dyDescent="0.2">
      <c r="A2060" s="5">
        <v>1999</v>
      </c>
      <c r="B2060" s="1832">
        <f>'Cap Outlay Deprec 26'!L13</f>
        <v>382723</v>
      </c>
      <c r="C2060" s="2" t="s">
        <v>569</v>
      </c>
      <c r="D2060" s="2" t="str">
        <f t="shared" si="31"/>
        <v>Error?</v>
      </c>
    </row>
    <row r="2061" spans="1:4" x14ac:dyDescent="0.2">
      <c r="A2061" s="5">
        <v>2000</v>
      </c>
      <c r="B2061" s="1832">
        <f>'Cap Outlay Deprec 26'!L16</f>
        <v>22247613</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119322</v>
      </c>
      <c r="C2088" s="2" t="s">
        <v>569</v>
      </c>
      <c r="D2088" s="2" t="str">
        <f t="shared" si="31"/>
        <v>Error?</v>
      </c>
    </row>
    <row r="2089" spans="1:4" x14ac:dyDescent="0.2">
      <c r="A2089" s="5">
        <v>2028</v>
      </c>
      <c r="B2089" s="1832">
        <f>'Expenditures 15-22'!K92</f>
        <v>275311</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10536</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10536</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276603</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9548</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4923770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3474388</v>
      </c>
      <c r="C2553" s="2" t="s">
        <v>569</v>
      </c>
      <c r="D2553" s="2" t="str">
        <f t="shared" si="38"/>
        <v>Error?</v>
      </c>
    </row>
    <row r="2554" spans="1:4" x14ac:dyDescent="0.2">
      <c r="A2554" s="5">
        <v>2493</v>
      </c>
      <c r="B2554" s="1832">
        <f>'Acct Summary 7-8'!C7</f>
        <v>746001</v>
      </c>
      <c r="C2554" s="2" t="s">
        <v>569</v>
      </c>
      <c r="D2554" s="2" t="str">
        <f t="shared" si="38"/>
        <v>Error?</v>
      </c>
    </row>
    <row r="2555" spans="1:4" x14ac:dyDescent="0.2">
      <c r="A2555" s="5">
        <v>2494</v>
      </c>
      <c r="B2555" s="1832">
        <f>'Acct Summary 7-8'!C8</f>
        <v>9144159</v>
      </c>
      <c r="C2555" s="2" t="s">
        <v>569</v>
      </c>
      <c r="D2555" s="2" t="str">
        <f t="shared" si="38"/>
        <v>Error?</v>
      </c>
    </row>
    <row r="2556" spans="1:4" x14ac:dyDescent="0.2">
      <c r="A2556" s="5">
        <v>2495</v>
      </c>
      <c r="B2556" s="1832">
        <f>'Acct Summary 7-8'!C12</f>
        <v>6555550</v>
      </c>
      <c r="C2556" s="2" t="s">
        <v>569</v>
      </c>
      <c r="D2556" s="2" t="str">
        <f t="shared" si="38"/>
        <v>Error?</v>
      </c>
    </row>
    <row r="2557" spans="1:4" x14ac:dyDescent="0.2">
      <c r="A2557" s="5">
        <v>2496</v>
      </c>
      <c r="B2557" s="1832">
        <f>'Acct Summary 7-8'!C13</f>
        <v>2158955</v>
      </c>
      <c r="C2557" s="2" t="s">
        <v>569</v>
      </c>
      <c r="D2557" s="2" t="str">
        <f t="shared" si="38"/>
        <v>Error?</v>
      </c>
    </row>
    <row r="2558" spans="1:4" x14ac:dyDescent="0.2">
      <c r="A2558" s="5">
        <v>2497</v>
      </c>
      <c r="B2558" s="1832">
        <f>'Acct Summary 7-8'!C14</f>
        <v>33733</v>
      </c>
      <c r="C2558" s="2" t="s">
        <v>569</v>
      </c>
      <c r="D2558" s="2" t="str">
        <f t="shared" si="38"/>
        <v>Error?</v>
      </c>
    </row>
    <row r="2559" spans="1:4" x14ac:dyDescent="0.2">
      <c r="A2559" s="5">
        <v>2498</v>
      </c>
      <c r="B2559" s="1832">
        <f>'Acct Summary 7-8'!C15</f>
        <v>394633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9142871</v>
      </c>
      <c r="C2561" s="2" t="s">
        <v>569</v>
      </c>
      <c r="D2561" s="2" t="str">
        <f t="shared" si="39"/>
        <v>Error?</v>
      </c>
    </row>
    <row r="2562" spans="1:4" x14ac:dyDescent="0.2">
      <c r="A2562" s="5">
        <v>2501</v>
      </c>
      <c r="B2562" s="1832">
        <f>'Acct Summary 7-8'!C20</f>
        <v>1288</v>
      </c>
      <c r="C2562" s="2" t="s">
        <v>569</v>
      </c>
      <c r="D2562" s="2" t="str">
        <f t="shared" si="39"/>
        <v>Error?</v>
      </c>
    </row>
    <row r="2563" spans="1:4" x14ac:dyDescent="0.2">
      <c r="A2563" s="5">
        <v>2502</v>
      </c>
      <c r="B2563" s="1832">
        <f>'Acct Summary 7-8'!C80</f>
        <v>-13293</v>
      </c>
      <c r="D2563" s="2" t="str">
        <f t="shared" si="39"/>
        <v>Error?</v>
      </c>
    </row>
    <row r="2564" spans="1:4" x14ac:dyDescent="0.2">
      <c r="A2564" s="5">
        <v>2503</v>
      </c>
      <c r="B2564" s="1832">
        <f>'Acct Summary 7-8'!D4</f>
        <v>1334762</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1384762</v>
      </c>
      <c r="C2568" s="2" t="s">
        <v>569</v>
      </c>
      <c r="D2568" s="2" t="str">
        <f t="shared" si="39"/>
        <v>Error?</v>
      </c>
    </row>
    <row r="2569" spans="1:4" x14ac:dyDescent="0.2">
      <c r="A2569" s="5">
        <v>2508</v>
      </c>
      <c r="B2569" s="1832">
        <f>'Acct Summary 7-8'!D13</f>
        <v>1267087</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10536</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1277623</v>
      </c>
      <c r="C2573" s="2" t="s">
        <v>569</v>
      </c>
      <c r="D2573" s="2" t="str">
        <f t="shared" si="39"/>
        <v>Error?</v>
      </c>
    </row>
    <row r="2574" spans="1:4" x14ac:dyDescent="0.2">
      <c r="A2574" s="5">
        <v>2513</v>
      </c>
      <c r="B2574" s="1832">
        <f>'Acct Summary 7-8'!D20</f>
        <v>107139</v>
      </c>
      <c r="C2574" s="2" t="s">
        <v>569</v>
      </c>
      <c r="D2574" s="2" t="str">
        <f t="shared" si="39"/>
        <v>Error?</v>
      </c>
    </row>
    <row r="2575" spans="1:4" x14ac:dyDescent="0.2">
      <c r="A2575" s="5">
        <v>2514</v>
      </c>
      <c r="B2575" s="1832">
        <f>'Acct Summary 7-8'!D80</f>
        <v>-41669</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431838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808888</v>
      </c>
      <c r="C2593" s="2" t="s">
        <v>569</v>
      </c>
      <c r="D2593" s="2" t="str">
        <f t="shared" si="39"/>
        <v>Error?</v>
      </c>
    </row>
    <row r="2594" spans="1:4" x14ac:dyDescent="0.2">
      <c r="A2594" s="5">
        <v>2533</v>
      </c>
      <c r="B2594" s="1832">
        <f>'Acct Summary 7-8'!F7</f>
        <v>28606</v>
      </c>
      <c r="C2594" s="2" t="s">
        <v>569</v>
      </c>
      <c r="D2594" s="2" t="str">
        <f t="shared" si="39"/>
        <v>Error?</v>
      </c>
    </row>
    <row r="2595" spans="1:4" x14ac:dyDescent="0.2">
      <c r="A2595" s="5">
        <v>2534</v>
      </c>
      <c r="B2595" s="1832">
        <f>'Acct Summary 7-8'!F8</f>
        <v>1269332</v>
      </c>
      <c r="C2595" s="2" t="s">
        <v>569</v>
      </c>
      <c r="D2595" s="2" t="str">
        <f t="shared" si="39"/>
        <v>Error?</v>
      </c>
    </row>
    <row r="2596" spans="1:4" x14ac:dyDescent="0.2">
      <c r="A2596" s="5">
        <v>2535</v>
      </c>
      <c r="B2596" s="1832">
        <f>'Acct Summary 7-8'!F13</f>
        <v>946561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289949</v>
      </c>
      <c r="C2599" s="2" t="s">
        <v>569</v>
      </c>
      <c r="D2599" s="2" t="str">
        <f t="shared" si="39"/>
        <v>Error?</v>
      </c>
    </row>
    <row r="2600" spans="1:4" x14ac:dyDescent="0.2">
      <c r="A2600" s="5">
        <v>2539</v>
      </c>
      <c r="B2600" s="1832">
        <f>'Acct Summary 7-8'!F17</f>
        <v>1236510</v>
      </c>
      <c r="C2600" s="2" t="s">
        <v>569</v>
      </c>
      <c r="D2600" s="2" t="str">
        <f t="shared" si="39"/>
        <v>Error?</v>
      </c>
    </row>
    <row r="2601" spans="1:4" x14ac:dyDescent="0.2">
      <c r="A2601" s="5">
        <v>2540</v>
      </c>
      <c r="B2601" s="1832">
        <f>'Acct Summary 7-8'!F20</f>
        <v>32822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484479</v>
      </c>
      <c r="C2603" s="2" t="s">
        <v>569</v>
      </c>
      <c r="D2603" s="2" t="str">
        <f t="shared" si="39"/>
        <v>Error?</v>
      </c>
    </row>
    <row r="2604" spans="1:4" x14ac:dyDescent="0.2">
      <c r="A2604" s="5">
        <v>2543</v>
      </c>
      <c r="B2604" s="1832">
        <f>'Acct Summary 7-8'!G6</f>
        <v>6874</v>
      </c>
      <c r="C2604" s="2" t="s">
        <v>569</v>
      </c>
      <c r="D2604" s="2" t="str">
        <f t="shared" si="39"/>
        <v>Error?</v>
      </c>
    </row>
    <row r="2605" spans="1:4" x14ac:dyDescent="0.2">
      <c r="A2605" s="5">
        <v>2544</v>
      </c>
      <c r="B2605" s="1832">
        <f>'Acct Summary 7-8'!G7</f>
        <v>2608</v>
      </c>
      <c r="C2605" s="2" t="s">
        <v>569</v>
      </c>
      <c r="D2605" s="2" t="str">
        <f t="shared" si="39"/>
        <v>Error?</v>
      </c>
    </row>
    <row r="2606" spans="1:4" x14ac:dyDescent="0.2">
      <c r="A2606" s="5">
        <v>2545</v>
      </c>
      <c r="B2606" s="1832">
        <f>'Acct Summary 7-8'!G8</f>
        <v>493961</v>
      </c>
      <c r="C2606" s="2" t="s">
        <v>569</v>
      </c>
      <c r="D2606" s="2" t="str">
        <f t="shared" si="39"/>
        <v>Error?</v>
      </c>
    </row>
    <row r="2607" spans="1:4" x14ac:dyDescent="0.2">
      <c r="A2607" s="5">
        <v>2546</v>
      </c>
      <c r="B2607" s="1832">
        <f>'Acct Summary 7-8'!G12</f>
        <v>166977</v>
      </c>
      <c r="C2607" s="2" t="s">
        <v>569</v>
      </c>
      <c r="D2607" s="2" t="str">
        <f t="shared" si="39"/>
        <v>Error?</v>
      </c>
    </row>
    <row r="2608" spans="1:4" x14ac:dyDescent="0.2">
      <c r="A2608" s="5">
        <v>2547</v>
      </c>
      <c r="B2608" s="1832">
        <f>'Acct Summary 7-8'!G13</f>
        <v>312547</v>
      </c>
      <c r="C2608" s="2" t="s">
        <v>569</v>
      </c>
      <c r="D2608" s="2" t="str">
        <f t="shared" si="39"/>
        <v>Error?</v>
      </c>
    </row>
    <row r="2609" spans="1:4" x14ac:dyDescent="0.2">
      <c r="A2609" s="5">
        <v>2548</v>
      </c>
      <c r="B2609" s="1832">
        <f>'Acct Summary 7-8'!G14</f>
        <v>4506</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484030</v>
      </c>
      <c r="C2612" s="2" t="s">
        <v>569</v>
      </c>
      <c r="D2612" s="2" t="str">
        <f t="shared" si="39"/>
        <v>Error?</v>
      </c>
    </row>
    <row r="2613" spans="1:4" x14ac:dyDescent="0.2">
      <c r="A2613" s="5">
        <v>2552</v>
      </c>
      <c r="B2613" s="1832">
        <f>'Acct Summary 7-8'!G20</f>
        <v>9931</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1317925</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1317925</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1310257</v>
      </c>
      <c r="C2634" s="2" t="s">
        <v>569</v>
      </c>
      <c r="D2634" s="2" t="str">
        <f t="shared" si="40"/>
        <v>Error?</v>
      </c>
    </row>
    <row r="2635" spans="1:4" x14ac:dyDescent="0.2">
      <c r="A2635" s="5">
        <v>2574</v>
      </c>
      <c r="B2635" s="1832">
        <f>'Acct Summary 7-8'!E17</f>
        <v>1310257</v>
      </c>
      <c r="C2635" s="2" t="s">
        <v>569</v>
      </c>
      <c r="D2635" s="2" t="str">
        <f t="shared" si="40"/>
        <v>Error?</v>
      </c>
    </row>
    <row r="2636" spans="1:4" x14ac:dyDescent="0.2">
      <c r="A2636" s="5">
        <v>2575</v>
      </c>
      <c r="B2636" s="1832">
        <f>'Acct Summary 7-8'!E20</f>
        <v>7668</v>
      </c>
      <c r="C2636" s="2" t="s">
        <v>569</v>
      </c>
      <c r="D2636" s="2" t="str">
        <f t="shared" si="40"/>
        <v>Error?</v>
      </c>
    </row>
    <row r="2637" spans="1:4" x14ac:dyDescent="0.2">
      <c r="A2637" s="5">
        <v>2576</v>
      </c>
      <c r="B2637" s="1832">
        <f>'Acct Summary 7-8'!E80</f>
        <v>-600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21803</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21803</v>
      </c>
      <c r="C2658" s="2" t="s">
        <v>569</v>
      </c>
      <c r="D2658" s="2" t="str">
        <f t="shared" si="40"/>
        <v>Error?</v>
      </c>
    </row>
    <row r="2659" spans="1:4" x14ac:dyDescent="0.2">
      <c r="A2659" s="5">
        <v>2598</v>
      </c>
      <c r="B2659" s="1832">
        <f>'Acct Summary 7-8'!H13</f>
        <v>1979435</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1979435</v>
      </c>
      <c r="C2661" s="2" t="s">
        <v>569</v>
      </c>
      <c r="D2661" s="2" t="str">
        <f t="shared" si="40"/>
        <v>Error?</v>
      </c>
    </row>
    <row r="2662" spans="1:4" x14ac:dyDescent="0.2">
      <c r="A2662" s="5">
        <v>2601</v>
      </c>
      <c r="B2662" s="1832">
        <f>'Acct Summary 7-8'!H20</f>
        <v>-1957632</v>
      </c>
      <c r="C2662" s="2" t="s">
        <v>569</v>
      </c>
      <c r="D2662" s="2" t="str">
        <f t="shared" si="40"/>
        <v>Error?</v>
      </c>
    </row>
    <row r="2663" spans="1:4" x14ac:dyDescent="0.2">
      <c r="A2663" s="5">
        <v>2602</v>
      </c>
      <c r="B2663" s="1832">
        <f>'Acct Summary 7-8'!H80</f>
        <v>72013</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119322</v>
      </c>
      <c r="C2789" s="2" t="s">
        <v>569</v>
      </c>
      <c r="D2789" s="2" t="str">
        <f t="shared" si="42"/>
        <v>Error?</v>
      </c>
    </row>
    <row r="2790" spans="1:4" x14ac:dyDescent="0.2">
      <c r="A2790" s="5">
        <v>2729</v>
      </c>
      <c r="B2790" s="1832">
        <f>'Expenditures 15-22'!E102</f>
        <v>119322</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1985925</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301986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1985925</v>
      </c>
      <c r="D2912" s="2" t="str">
        <f t="shared" si="44"/>
        <v>Error?</v>
      </c>
    </row>
    <row r="2913" spans="1:4" x14ac:dyDescent="0.2">
      <c r="A2913" s="5">
        <v>2852</v>
      </c>
      <c r="B2913" s="1832">
        <f>'Assets-Liab 5-6'!I41</f>
        <v>1985925</v>
      </c>
      <c r="C2913" s="2" t="s">
        <v>569</v>
      </c>
      <c r="D2913" s="2" t="str">
        <f t="shared" si="44"/>
        <v>Error?</v>
      </c>
    </row>
    <row r="2914" spans="1:4" x14ac:dyDescent="0.2">
      <c r="A2914" s="5">
        <v>2853</v>
      </c>
      <c r="B2914" s="1832">
        <f>'Assets-Liab 5-6'!L33</f>
        <v>221225</v>
      </c>
      <c r="D2914" s="2" t="str">
        <f t="shared" si="44"/>
        <v>Error?</v>
      </c>
    </row>
    <row r="2915" spans="1:4" x14ac:dyDescent="0.2">
      <c r="A2915" s="10">
        <v>2854</v>
      </c>
      <c r="B2915" s="1832"/>
      <c r="D2915" s="2" t="str">
        <f t="shared" si="44"/>
        <v>OK</v>
      </c>
    </row>
    <row r="2916" spans="1:4" x14ac:dyDescent="0.2">
      <c r="A2916" s="5">
        <v>2855</v>
      </c>
      <c r="B2916" s="1832">
        <f>'Assets-Liab 5-6'!L34</f>
        <v>221225</v>
      </c>
      <c r="C2916" s="2" t="s">
        <v>569</v>
      </c>
      <c r="D2916" s="2" t="str">
        <f t="shared" si="44"/>
        <v>Error?</v>
      </c>
    </row>
    <row r="2917" spans="1:4" x14ac:dyDescent="0.2">
      <c r="A2917" s="5">
        <v>2856</v>
      </c>
      <c r="B2917" s="1832">
        <f>'Assets-Liab 5-6'!L41</f>
        <v>301986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114822</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4500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114822</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4500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10536</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10536</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99424</v>
      </c>
      <c r="D3055" s="2" t="str">
        <f t="shared" si="46"/>
        <v>Error?</v>
      </c>
    </row>
    <row r="3056" spans="1:4" x14ac:dyDescent="0.2">
      <c r="A3056" s="5">
        <v>2995</v>
      </c>
      <c r="B3056" s="1832">
        <f>'Expenditures 15-22'!D10</f>
        <v>12445</v>
      </c>
      <c r="D3056" s="2" t="str">
        <f t="shared" si="46"/>
        <v>Error?</v>
      </c>
    </row>
    <row r="3057" spans="1:4" x14ac:dyDescent="0.2">
      <c r="A3057" s="5">
        <v>2996</v>
      </c>
      <c r="B3057" s="1832">
        <f>'Expenditures 15-22'!E10</f>
        <v>9975</v>
      </c>
      <c r="D3057" s="2" t="str">
        <f t="shared" si="46"/>
        <v>Error?</v>
      </c>
    </row>
    <row r="3058" spans="1:4" x14ac:dyDescent="0.2">
      <c r="A3058" s="5">
        <v>2997</v>
      </c>
      <c r="B3058" s="1832">
        <f>'Expenditures 15-22'!F10</f>
        <v>53188</v>
      </c>
      <c r="D3058" s="2" t="str">
        <f t="shared" si="46"/>
        <v>Error?</v>
      </c>
    </row>
    <row r="3059" spans="1:4" x14ac:dyDescent="0.2">
      <c r="A3059" s="5">
        <v>2998</v>
      </c>
      <c r="B3059" s="1832">
        <f>'Expenditures 15-22'!G10</f>
        <v>8541</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183573</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1410</v>
      </c>
      <c r="D3064" s="2" t="str">
        <f t="shared" si="46"/>
        <v>Error?</v>
      </c>
    </row>
    <row r="3065" spans="1:4" x14ac:dyDescent="0.2">
      <c r="A3065" s="5">
        <v>3004</v>
      </c>
      <c r="B3065" s="1832">
        <f>'Expenditures 15-22'!K219</f>
        <v>1410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29323</v>
      </c>
      <c r="D3071" s="2" t="str">
        <f t="shared" ref="D3071:D3134" si="47">IF(ISBLANK(B3071),"OK",IF(A3071-B3071=0,"OK","Error?"))</f>
        <v>Error?</v>
      </c>
    </row>
    <row r="3072" spans="1:4" x14ac:dyDescent="0.2">
      <c r="A3072" s="5">
        <v>3011</v>
      </c>
      <c r="B3072" s="1832">
        <f>'Assets-Liab 5-6'!L39</f>
        <v>51438</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85560</v>
      </c>
      <c r="C3225" s="2" t="s">
        <v>569</v>
      </c>
      <c r="D3225" s="2" t="str">
        <f t="shared" si="49"/>
        <v>Error?</v>
      </c>
    </row>
    <row r="3226" spans="1:4" x14ac:dyDescent="0.2">
      <c r="A3226" s="5">
        <v>3165</v>
      </c>
      <c r="B3226" s="1832">
        <f>'Acct Summary 7-8'!I8</f>
        <v>85560</v>
      </c>
      <c r="C3226" s="2" t="s">
        <v>569</v>
      </c>
      <c r="D3226" s="2" t="str">
        <f t="shared" si="49"/>
        <v>Error?</v>
      </c>
    </row>
    <row r="3227" spans="1:4" x14ac:dyDescent="0.2">
      <c r="A3227" s="5">
        <v>3166</v>
      </c>
      <c r="B3227" s="1832">
        <f>'Acct Summary 7-8'!I20</f>
        <v>85560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277763</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277763</v>
      </c>
      <c r="C3232" s="2" t="s">
        <v>569</v>
      </c>
      <c r="D3232" s="2" t="str">
        <f t="shared" si="49"/>
        <v>Error?</v>
      </c>
    </row>
    <row r="3233" spans="1:4" x14ac:dyDescent="0.2">
      <c r="A3233" s="5">
        <v>3172</v>
      </c>
      <c r="B3233" s="1832">
        <f>'Acct Summary 7-8'!C78</f>
        <v>279051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57197</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57197</v>
      </c>
      <c r="C3238" s="2" t="s">
        <v>569</v>
      </c>
      <c r="D3238" s="2" t="str">
        <f t="shared" si="49"/>
        <v>Error?</v>
      </c>
    </row>
    <row r="3239" spans="1:4" x14ac:dyDescent="0.2">
      <c r="A3239" s="5">
        <v>3178</v>
      </c>
      <c r="B3239" s="1832">
        <f>'Acct Summary 7-8'!D78</f>
        <v>164336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5350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5350</v>
      </c>
      <c r="C3255" s="2" t="s">
        <v>569</v>
      </c>
      <c r="D3255" s="2" t="str">
        <f t="shared" si="49"/>
        <v>Error?</v>
      </c>
    </row>
    <row r="3256" spans="1:4" x14ac:dyDescent="0.2">
      <c r="A3256" s="5">
        <v>3195</v>
      </c>
      <c r="B3256" s="1832">
        <f>'Acct Summary 7-8'!F78</f>
        <v>38172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9931</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7668</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-1957632</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1851737</v>
      </c>
      <c r="C3317" s="2" t="s">
        <v>569</v>
      </c>
      <c r="D3317" s="2" t="str">
        <f t="shared" si="50"/>
        <v>Error?</v>
      </c>
    </row>
    <row r="3318" spans="1:4" x14ac:dyDescent="0.2">
      <c r="A3318" s="5">
        <v>3257</v>
      </c>
      <c r="B3318" s="1832">
        <f>'Acct Summary 7-8'!I76</f>
        <v>276603</v>
      </c>
      <c r="C3318" s="2" t="s">
        <v>569</v>
      </c>
      <c r="D3318" s="2" t="str">
        <f t="shared" si="50"/>
        <v>Error?</v>
      </c>
    </row>
    <row r="3319" spans="1:4" x14ac:dyDescent="0.2">
      <c r="A3319" s="5">
        <v>3258</v>
      </c>
      <c r="B3319" s="1832">
        <f>'Acct Summary 7-8'!I77</f>
        <v>1575134</v>
      </c>
      <c r="C3319" s="2" t="s">
        <v>569</v>
      </c>
      <c r="D3319" s="2" t="str">
        <f t="shared" si="50"/>
        <v>Error?</v>
      </c>
    </row>
    <row r="3320" spans="1:4" x14ac:dyDescent="0.2">
      <c r="A3320" s="5">
        <v>3259</v>
      </c>
      <c r="B3320" s="1832">
        <f>'Acct Summary 7-8'!I78</f>
        <v>1660694</v>
      </c>
      <c r="C3320" s="2" t="s">
        <v>569</v>
      </c>
      <c r="D3320" s="2" t="str">
        <f t="shared" si="50"/>
        <v>Error?</v>
      </c>
    </row>
    <row r="3321" spans="1:4" x14ac:dyDescent="0.2">
      <c r="A3321" s="5">
        <v>3260</v>
      </c>
      <c r="B3321" s="1832">
        <f>'Acct Summary 7-8'!I79</f>
        <v>325231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1985925</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1180046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85877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17102</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42014</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1722</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1326761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49914</v>
      </c>
      <c r="D3387" s="2" t="str">
        <f t="shared" si="51"/>
        <v>Error?</v>
      </c>
    </row>
    <row r="3388" spans="1:4" x14ac:dyDescent="0.2">
      <c r="A3388" s="5">
        <v>3327</v>
      </c>
      <c r="B3388" s="1832">
        <f>'Expenditures 15-22'!D217</f>
        <v>96271</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49914</v>
      </c>
      <c r="C3390" s="2" t="s">
        <v>569</v>
      </c>
      <c r="D3390" s="2" t="str">
        <f t="shared" si="51"/>
        <v>Error?</v>
      </c>
    </row>
    <row r="3391" spans="1:4" x14ac:dyDescent="0.2">
      <c r="A3391" s="5">
        <v>3330</v>
      </c>
      <c r="B3391" s="1832">
        <f>'Expenditures 15-22'!K217</f>
        <v>96271</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343900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275908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135144</v>
      </c>
      <c r="D3417" s="2" t="str">
        <f t="shared" si="52"/>
        <v>Error?</v>
      </c>
    </row>
    <row r="3418" spans="1:4" x14ac:dyDescent="0.2">
      <c r="A3418" s="10">
        <v>3357</v>
      </c>
      <c r="B3418" s="1832"/>
      <c r="D3418" s="2" t="str">
        <f t="shared" si="52"/>
        <v>OK</v>
      </c>
    </row>
    <row r="3419" spans="1:4" x14ac:dyDescent="0.2">
      <c r="A3419" s="5">
        <v>3358</v>
      </c>
      <c r="B3419" s="1832">
        <f>'Assets-Liab 5-6'!F4</f>
        <v>235144</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162444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1985925</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301986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250432</v>
      </c>
      <c r="C3446" s="2" t="s">
        <v>569</v>
      </c>
      <c r="D3446" s="2" t="str">
        <f t="shared" si="52"/>
        <v>Error?</v>
      </c>
    </row>
    <row r="3447" spans="1:4" x14ac:dyDescent="0.2">
      <c r="A3447" s="5">
        <v>3386</v>
      </c>
      <c r="B3447" s="1832">
        <f>'Tax Sched 23'!D16</f>
        <v>250432</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339978</v>
      </c>
      <c r="C3449" s="2" t="s">
        <v>569</v>
      </c>
      <c r="D3449" s="2" t="str">
        <f t="shared" si="52"/>
        <v>Error?</v>
      </c>
    </row>
    <row r="3450" spans="1:4" x14ac:dyDescent="0.2">
      <c r="A3450" s="5">
        <v>3389</v>
      </c>
      <c r="B3450" s="1832">
        <f>'Tax Sched 23'!E16</f>
        <v>339978</v>
      </c>
      <c r="D3450" s="2" t="str">
        <f t="shared" si="52"/>
        <v>Error?</v>
      </c>
    </row>
    <row r="3451" spans="1:4" x14ac:dyDescent="0.2">
      <c r="A3451" s="5">
        <v>3390</v>
      </c>
      <c r="B3451" s="1832">
        <f>'Cap Outlay Deprec 26'!C15</f>
        <v>10262499</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10262499</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1160</v>
      </c>
      <c r="D3530" s="2" t="str">
        <f t="shared" si="54"/>
        <v>Error?</v>
      </c>
    </row>
    <row r="3531" spans="1:5" x14ac:dyDescent="0.2">
      <c r="A3531" s="5">
        <v>3470</v>
      </c>
      <c r="B3531" s="1832">
        <f>'Acct Summary 7-8'!D36</f>
        <v>57197</v>
      </c>
      <c r="D3531" s="2" t="str">
        <f t="shared" si="54"/>
        <v>Error?</v>
      </c>
    </row>
    <row r="3532" spans="1:5" x14ac:dyDescent="0.2">
      <c r="A3532" s="5">
        <v>3471</v>
      </c>
      <c r="B3532" s="1832">
        <f>'Acct Summary 7-8'!F36</f>
        <v>5350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55056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55056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55056</v>
      </c>
      <c r="D3567" s="2" t="str">
        <f t="shared" si="54"/>
        <v>Error?</v>
      </c>
    </row>
    <row r="3568" spans="1:4" x14ac:dyDescent="0.2">
      <c r="A3568" s="5">
        <v>3507</v>
      </c>
      <c r="B3568" s="1832">
        <f>'Assets-Liab 5-6'!K41</f>
        <v>55056</v>
      </c>
      <c r="C3568" s="2" t="s">
        <v>569</v>
      </c>
      <c r="D3568" s="2" t="str">
        <f t="shared" si="54"/>
        <v>Error?</v>
      </c>
    </row>
    <row r="3569" spans="1:4" x14ac:dyDescent="0.2">
      <c r="A3569" s="5">
        <v>3508</v>
      </c>
      <c r="B3569" s="1832">
        <f>'Acct Summary 7-8'!K4</f>
        <v>78195</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78195</v>
      </c>
      <c r="C3571" s="2" t="s">
        <v>569</v>
      </c>
      <c r="D3571" s="2" t="str">
        <f t="shared" si="54"/>
        <v>Error?</v>
      </c>
    </row>
    <row r="3572" spans="1:4" x14ac:dyDescent="0.2">
      <c r="A3572" s="5">
        <v>3511</v>
      </c>
      <c r="B3572" s="1832">
        <f>'Acct Summary 7-8'!K13</f>
        <v>178598</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178598</v>
      </c>
      <c r="C3575" s="2" t="s">
        <v>569</v>
      </c>
      <c r="D3575" s="2" t="str">
        <f t="shared" si="54"/>
        <v>Error?</v>
      </c>
    </row>
    <row r="3576" spans="1:4" x14ac:dyDescent="0.2">
      <c r="A3576" s="5">
        <v>3515</v>
      </c>
      <c r="B3576" s="1832">
        <f>'Acct Summary 7-8'!K20</f>
        <v>-100403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-100403</v>
      </c>
      <c r="C3588" s="2" t="s">
        <v>569</v>
      </c>
      <c r="D3588" s="2" t="str">
        <f t="shared" si="55"/>
        <v>Error?</v>
      </c>
    </row>
    <row r="3589" spans="1:4" x14ac:dyDescent="0.2">
      <c r="A3589" s="5">
        <v>3528</v>
      </c>
      <c r="B3589" s="1832">
        <f>'Acct Summary 7-8'!K79</f>
        <v>155459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55056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15060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15060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15060</v>
      </c>
      <c r="C3635" s="2" t="s">
        <v>569</v>
      </c>
      <c r="D3635" s="2" t="str">
        <f t="shared" si="55"/>
        <v>Error?</v>
      </c>
    </row>
    <row r="3636" spans="1:4" x14ac:dyDescent="0.2">
      <c r="A3636" s="5">
        <v>3575</v>
      </c>
      <c r="B3636" s="1832">
        <f>'Expenditures 15-22'!E367</f>
        <v>15060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163538</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163538</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163538</v>
      </c>
      <c r="C3649" s="2" t="s">
        <v>569</v>
      </c>
      <c r="D3649" s="2" t="str">
        <f t="shared" si="56"/>
        <v>Error?</v>
      </c>
    </row>
    <row r="3650" spans="1:4" x14ac:dyDescent="0.2">
      <c r="A3650" s="5">
        <v>3589</v>
      </c>
      <c r="B3650" s="1832">
        <f>'Expenditures 15-22'!G367</f>
        <v>163538</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178598</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178598</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178598</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178598</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-100403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75725</v>
      </c>
      <c r="C3725" s="2" t="s">
        <v>569</v>
      </c>
      <c r="D3725" s="2" t="str">
        <f t="shared" si="57"/>
        <v>Error?</v>
      </c>
    </row>
    <row r="3726" spans="1:4" x14ac:dyDescent="0.2">
      <c r="A3726" s="5">
        <v>3665</v>
      </c>
      <c r="B3726" s="1832">
        <f>'Tax Sched 23'!D13</f>
        <v>75725</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95125</v>
      </c>
      <c r="C3728" s="2" t="s">
        <v>569</v>
      </c>
      <c r="D3728" s="2" t="str">
        <f t="shared" si="57"/>
        <v>Error?</v>
      </c>
    </row>
    <row r="3729" spans="1:4" x14ac:dyDescent="0.2">
      <c r="A3729" s="5">
        <v>3668</v>
      </c>
      <c r="B3729" s="1832">
        <f>'Tax Sched 23'!E13</f>
        <v>95125</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4590785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13734944</v>
      </c>
      <c r="C4122" s="2" t="s">
        <v>569</v>
      </c>
      <c r="D4122" s="2" t="str">
        <f t="shared" si="63"/>
        <v>Error?</v>
      </c>
    </row>
    <row r="4123" spans="1:4" x14ac:dyDescent="0.2">
      <c r="A4123" s="5">
        <v>4062</v>
      </c>
      <c r="B4123" s="1832">
        <f>'Acct Summary 7-8'!D10</f>
        <v>1384762</v>
      </c>
      <c r="C4123" s="2" t="s">
        <v>569</v>
      </c>
      <c r="D4123" s="2" t="str">
        <f t="shared" si="63"/>
        <v>Error?</v>
      </c>
    </row>
    <row r="4124" spans="1:4" x14ac:dyDescent="0.2">
      <c r="A4124" s="5">
        <v>4063</v>
      </c>
      <c r="B4124" s="1832">
        <f>'Acct Summary 7-8'!E10</f>
        <v>1317925</v>
      </c>
      <c r="C4124" s="2" t="s">
        <v>569</v>
      </c>
      <c r="D4124" s="2" t="str">
        <f t="shared" si="63"/>
        <v>Error?</v>
      </c>
    </row>
    <row r="4125" spans="1:4" x14ac:dyDescent="0.2">
      <c r="A4125" s="5">
        <v>4064</v>
      </c>
      <c r="B4125" s="1832">
        <f>'Acct Summary 7-8'!F10</f>
        <v>1269332</v>
      </c>
      <c r="C4125" s="2" t="s">
        <v>569</v>
      </c>
      <c r="D4125" s="2" t="str">
        <f t="shared" si="63"/>
        <v>Error?</v>
      </c>
    </row>
    <row r="4126" spans="1:4" x14ac:dyDescent="0.2">
      <c r="A4126" s="5">
        <v>4065</v>
      </c>
      <c r="B4126" s="1832">
        <f>'Acct Summary 7-8'!G10</f>
        <v>493961</v>
      </c>
      <c r="C4126" s="2" t="s">
        <v>569</v>
      </c>
      <c r="D4126" s="2" t="str">
        <f t="shared" si="63"/>
        <v>Error?</v>
      </c>
    </row>
    <row r="4127" spans="1:4" x14ac:dyDescent="0.2">
      <c r="A4127" s="5">
        <v>4066</v>
      </c>
      <c r="B4127" s="1832">
        <f>'Acct Summary 7-8'!H10</f>
        <v>21803</v>
      </c>
      <c r="C4127" s="2" t="s">
        <v>569</v>
      </c>
      <c r="D4127" s="2" t="str">
        <f t="shared" si="63"/>
        <v>Error?</v>
      </c>
    </row>
    <row r="4128" spans="1:4" x14ac:dyDescent="0.2">
      <c r="A4128" s="5">
        <v>4067</v>
      </c>
      <c r="B4128" s="1832">
        <f>'Acct Summary 7-8'!I10</f>
        <v>85560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78195</v>
      </c>
      <c r="C4130" s="2" t="s">
        <v>569</v>
      </c>
      <c r="D4130" s="2" t="str">
        <f t="shared" si="63"/>
        <v>Error?</v>
      </c>
    </row>
    <row r="4131" spans="1:4" x14ac:dyDescent="0.2">
      <c r="A4131" s="5">
        <v>4070</v>
      </c>
      <c r="B4131" s="1832">
        <f>'Acct Summary 7-8'!C18</f>
        <v>4590785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13733656</v>
      </c>
      <c r="C4136" s="2" t="s">
        <v>569</v>
      </c>
      <c r="D4136" s="2" t="str">
        <f t="shared" si="63"/>
        <v>Error?</v>
      </c>
    </row>
    <row r="4137" spans="1:4" x14ac:dyDescent="0.2">
      <c r="A4137" s="5">
        <v>4076</v>
      </c>
      <c r="B4137" s="1832">
        <f>'Acct Summary 7-8'!D19</f>
        <v>1277623</v>
      </c>
      <c r="C4137" s="2" t="s">
        <v>569</v>
      </c>
      <c r="D4137" s="2" t="str">
        <f t="shared" si="63"/>
        <v>Error?</v>
      </c>
    </row>
    <row r="4138" spans="1:4" x14ac:dyDescent="0.2">
      <c r="A4138" s="5">
        <v>4077</v>
      </c>
      <c r="B4138" s="1832">
        <f>'Acct Summary 7-8'!E19</f>
        <v>1310257</v>
      </c>
      <c r="C4138" s="2" t="s">
        <v>569</v>
      </c>
      <c r="D4138" s="2" t="str">
        <f t="shared" si="63"/>
        <v>Error?</v>
      </c>
    </row>
    <row r="4139" spans="1:4" x14ac:dyDescent="0.2">
      <c r="A4139" s="5">
        <v>4078</v>
      </c>
      <c r="B4139" s="1832">
        <f>'Acct Summary 7-8'!F19</f>
        <v>1236510</v>
      </c>
      <c r="C4139" s="2" t="s">
        <v>569</v>
      </c>
      <c r="D4139" s="2" t="str">
        <f t="shared" si="63"/>
        <v>Error?</v>
      </c>
    </row>
    <row r="4140" spans="1:4" x14ac:dyDescent="0.2">
      <c r="A4140" s="5">
        <v>4079</v>
      </c>
      <c r="B4140" s="1832">
        <f>'Acct Summary 7-8'!G19</f>
        <v>484030</v>
      </c>
      <c r="C4140" s="2" t="s">
        <v>569</v>
      </c>
      <c r="D4140" s="2" t="str">
        <f t="shared" si="63"/>
        <v>Error?</v>
      </c>
    </row>
    <row r="4141" spans="1:4" x14ac:dyDescent="0.2">
      <c r="A4141" s="5">
        <v>4080</v>
      </c>
      <c r="B4141" s="1832">
        <f>'Acct Summary 7-8'!H19</f>
        <v>1979435</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178598</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11057</v>
      </c>
      <c r="C4156" s="2" t="s">
        <v>569</v>
      </c>
      <c r="D4156" s="2" t="str">
        <f t="shared" si="63"/>
        <v>Error?</v>
      </c>
    </row>
    <row r="4157" spans="1:4" x14ac:dyDescent="0.2">
      <c r="A4157" s="5">
        <v>4096</v>
      </c>
      <c r="B4157" s="1832">
        <f>'Expenditures 15-22'!K204</f>
        <v>11057</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13905263</v>
      </c>
      <c r="C4171" s="2" t="s">
        <v>569</v>
      </c>
      <c r="D4171" s="2" t="str">
        <f t="shared" si="64"/>
        <v>Error?</v>
      </c>
    </row>
    <row r="4172" spans="1:4" x14ac:dyDescent="0.2">
      <c r="A4172" s="5">
        <v>4111</v>
      </c>
      <c r="B4172" s="1832">
        <f>'Short-Term Long-Term Debt 24'!J49</f>
        <v>13770119</v>
      </c>
      <c r="C4172" s="2" t="s">
        <v>569</v>
      </c>
      <c r="D4172" s="2" t="str">
        <f t="shared" si="64"/>
        <v>Error?</v>
      </c>
    </row>
    <row r="4173" spans="1:4" x14ac:dyDescent="0.2">
      <c r="A4173" s="5">
        <v>4112</v>
      </c>
      <c r="B4173" s="1832">
        <f>'Short-Term Long-Term Debt 24'!H49</f>
        <v>623892</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278892</v>
      </c>
      <c r="D4210" s="2" t="str">
        <f t="shared" si="64"/>
        <v>Error?</v>
      </c>
    </row>
    <row r="4211" spans="1:4" x14ac:dyDescent="0.2">
      <c r="A4211" s="5">
        <v>4150</v>
      </c>
      <c r="B4211" s="1832">
        <f>'Expenditures 15-22'!K206</f>
        <v>278892</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21551</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2750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250</v>
      </c>
      <c r="C4267" s="2" t="s">
        <v>569</v>
      </c>
      <c r="D4267" s="2" t="str">
        <f t="shared" si="65"/>
        <v>Error?</v>
      </c>
      <c r="E4267" s="125"/>
    </row>
    <row r="4268" spans="1:5" x14ac:dyDescent="0.2">
      <c r="A4268" s="12">
        <v>4207</v>
      </c>
      <c r="B4268" s="1832">
        <f>('FP Info 3'!J10)*100000</f>
        <v>3500.0000000000005</v>
      </c>
      <c r="C4268" s="2" t="s">
        <v>569</v>
      </c>
      <c r="D4268" s="2" t="str">
        <f t="shared" si="65"/>
        <v>Error?</v>
      </c>
    </row>
    <row r="4269" spans="1:5" x14ac:dyDescent="0.2">
      <c r="A4269" s="12">
        <v>4208</v>
      </c>
      <c r="B4269" s="1832">
        <f>'FP Info 3'!J16</f>
        <v>2906154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6734</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10000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89628</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12504</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5106</v>
      </c>
      <c r="D4409" s="2" t="str">
        <f t="shared" si="67"/>
        <v>Error?</v>
      </c>
    </row>
    <row r="4410" spans="1:5" x14ac:dyDescent="0.2">
      <c r="A4410" s="5">
        <v>4349</v>
      </c>
      <c r="B4410" s="1832">
        <f>'Revenues 9-14'!G207</f>
        <v>1426</v>
      </c>
      <c r="D4410" s="2" t="str">
        <f t="shared" si="67"/>
        <v>Error?</v>
      </c>
    </row>
    <row r="4411" spans="1:5" x14ac:dyDescent="0.2">
      <c r="A4411" s="5">
        <v>4350</v>
      </c>
      <c r="B4411" s="1832">
        <f>'Revenues 9-14'!C209</f>
        <v>42244</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5106</v>
      </c>
      <c r="C4413" s="2" t="s">
        <v>569</v>
      </c>
      <c r="D4413" s="2" t="str">
        <f t="shared" si="67"/>
        <v>Error?</v>
      </c>
    </row>
    <row r="4414" spans="1:5" x14ac:dyDescent="0.2">
      <c r="A4414" s="5">
        <v>4353</v>
      </c>
      <c r="B4414" s="1832">
        <f>'Revenues 9-14'!G209</f>
        <v>1426</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41551</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26</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13500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778</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18919</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190230992</v>
      </c>
      <c r="D4995" s="2" t="str">
        <f t="shared" si="77"/>
        <v>Error?</v>
      </c>
    </row>
    <row r="4996" spans="1:4" x14ac:dyDescent="0.2">
      <c r="A4996" s="12">
        <v>4935</v>
      </c>
      <c r="B4996" s="1832">
        <f>'FP Info 3'!H31</f>
        <v>26251876.896000002</v>
      </c>
      <c r="D4996" s="2" t="str">
        <f t="shared" si="77"/>
        <v>Error?</v>
      </c>
    </row>
    <row r="4997" spans="1:4" x14ac:dyDescent="0.2">
      <c r="A4997" s="12">
        <v>4936</v>
      </c>
      <c r="B4997" s="1832">
        <f>'FP Info 3'!H37</f>
        <v>13905263</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64764</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4111082</v>
      </c>
      <c r="D5061" s="2" t="str">
        <f t="shared" si="78"/>
        <v>Error?</v>
      </c>
    </row>
    <row r="5062" spans="1:4" x14ac:dyDescent="0.2">
      <c r="A5062" s="10">
        <v>5001</v>
      </c>
      <c r="B5062" s="1832"/>
      <c r="D5062" s="2" t="str">
        <f t="shared" si="78"/>
        <v>OK</v>
      </c>
    </row>
    <row r="5063" spans="1:4" x14ac:dyDescent="0.2">
      <c r="A5063" s="5">
        <v>5002</v>
      </c>
      <c r="B5063" s="1832">
        <f>'Revenues 9-14'!C7</f>
        <v>60581</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4236427</v>
      </c>
      <c r="C5066" s="2" t="s">
        <v>569</v>
      </c>
      <c r="D5066" s="2" t="str">
        <f t="shared" si="78"/>
        <v>Error?</v>
      </c>
    </row>
    <row r="5067" spans="1:4" x14ac:dyDescent="0.2">
      <c r="A5067" s="5">
        <v>5006</v>
      </c>
      <c r="B5067" s="1832">
        <f>'Revenues 9-14'!C14</f>
        <v>1075</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1075</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270774</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270774</v>
      </c>
      <c r="C5087" s="2" t="s">
        <v>569</v>
      </c>
      <c r="D5087" s="2" t="str">
        <f t="shared" si="78"/>
        <v>Error?</v>
      </c>
    </row>
    <row r="5088" spans="1:4" x14ac:dyDescent="0.2">
      <c r="A5088" s="5">
        <v>5027</v>
      </c>
      <c r="B5088" s="1832">
        <f>'Revenues 9-14'!C65</f>
        <v>14485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14485</v>
      </c>
      <c r="C5090" s="2" t="s">
        <v>569</v>
      </c>
      <c r="D5090" s="2" t="str">
        <f t="shared" si="78"/>
        <v>Error?</v>
      </c>
    </row>
    <row r="5091" spans="1:4" x14ac:dyDescent="0.2">
      <c r="A5091" s="5">
        <v>5030</v>
      </c>
      <c r="B5091" s="1832">
        <f>'Revenues 9-14'!C70</f>
        <v>14450</v>
      </c>
      <c r="D5091" s="2" t="str">
        <f t="shared" si="78"/>
        <v>Error?</v>
      </c>
    </row>
    <row r="5092" spans="1:4" x14ac:dyDescent="0.2">
      <c r="A5092" s="5">
        <v>5031</v>
      </c>
      <c r="B5092" s="1832">
        <f>'Revenues 9-14'!C71</f>
        <v>44643</v>
      </c>
      <c r="D5092" s="2" t="str">
        <f t="shared" si="78"/>
        <v>Error?</v>
      </c>
    </row>
    <row r="5093" spans="1:4" x14ac:dyDescent="0.2">
      <c r="A5093" s="5">
        <v>5032</v>
      </c>
      <c r="B5093" s="1832">
        <f>'Revenues 9-14'!C72</f>
        <v>13061</v>
      </c>
      <c r="D5093" s="2" t="str">
        <f t="shared" si="78"/>
        <v>Error?</v>
      </c>
    </row>
    <row r="5094" spans="1:4" x14ac:dyDescent="0.2">
      <c r="A5094" s="5">
        <v>5033</v>
      </c>
      <c r="B5094" s="1832">
        <f>'Revenues 9-14'!C73</f>
        <v>12480</v>
      </c>
      <c r="D5094" s="2" t="str">
        <f t="shared" si="78"/>
        <v>Error?</v>
      </c>
    </row>
    <row r="5095" spans="1:4" x14ac:dyDescent="0.2">
      <c r="A5095" s="5">
        <v>5034</v>
      </c>
      <c r="B5095" s="1832">
        <f>'Revenues 9-14'!C74</f>
        <v>7073</v>
      </c>
      <c r="D5095" s="2" t="str">
        <f t="shared" si="78"/>
        <v>Error?</v>
      </c>
    </row>
    <row r="5096" spans="1:4" x14ac:dyDescent="0.2">
      <c r="A5096" s="5">
        <v>5035</v>
      </c>
      <c r="B5096" s="1832">
        <f>'Revenues 9-14'!C75</f>
        <v>191537</v>
      </c>
      <c r="C5096" s="2" t="s">
        <v>569</v>
      </c>
      <c r="D5096" s="2" t="str">
        <f t="shared" si="78"/>
        <v>Error?</v>
      </c>
    </row>
    <row r="5097" spans="1:4" x14ac:dyDescent="0.2">
      <c r="A5097" s="5">
        <v>5036</v>
      </c>
      <c r="B5097" s="1832">
        <f>'Revenues 9-14'!C77</f>
        <v>39415</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55713</v>
      </c>
      <c r="D5099" s="2" t="str">
        <f t="shared" si="78"/>
        <v>Error?</v>
      </c>
    </row>
    <row r="5100" spans="1:4" x14ac:dyDescent="0.2">
      <c r="A5100" s="5">
        <v>5039</v>
      </c>
      <c r="B5100" s="1832">
        <f>'Revenues 9-14'!C80</f>
        <v>4705</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99833</v>
      </c>
      <c r="C5102" s="2" t="s">
        <v>569</v>
      </c>
      <c r="D5102" s="2" t="str">
        <f t="shared" si="78"/>
        <v>Error?</v>
      </c>
    </row>
    <row r="5103" spans="1:4" x14ac:dyDescent="0.2">
      <c r="A5103" s="5">
        <v>5042</v>
      </c>
      <c r="B5103" s="1832">
        <f>'Revenues 9-14'!C84</f>
        <v>53217</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53217</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32272</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1159</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15853</v>
      </c>
      <c r="D5119" s="2" t="str">
        <f t="shared" ref="D5119:D5182" si="79">IF(ISBLANK(B5119),"OK",IF(A5119-B5119=0,"OK","Error?"))</f>
        <v>Error?</v>
      </c>
    </row>
    <row r="5120" spans="1:4" x14ac:dyDescent="0.2">
      <c r="A5120" s="5">
        <v>5059</v>
      </c>
      <c r="B5120" s="1832">
        <f>'Revenues 9-14'!C108</f>
        <v>56422</v>
      </c>
      <c r="C5120" s="2" t="s">
        <v>569</v>
      </c>
      <c r="D5120" s="2" t="str">
        <f t="shared" si="79"/>
        <v>Error?</v>
      </c>
    </row>
    <row r="5121" spans="1:4" x14ac:dyDescent="0.2">
      <c r="A5121" s="5">
        <v>5060</v>
      </c>
      <c r="B5121" s="1832">
        <f>'Revenues 9-14'!C109</f>
        <v>4923770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2976315</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2976315</v>
      </c>
      <c r="C5132" s="2" t="s">
        <v>569</v>
      </c>
      <c r="D5132" s="2" t="str">
        <f t="shared" si="79"/>
        <v>Error?</v>
      </c>
    </row>
    <row r="5133" spans="1:4" x14ac:dyDescent="0.2">
      <c r="A5133" s="5">
        <v>5072</v>
      </c>
      <c r="B5133" s="1832">
        <f>'Revenues 9-14'!C125</f>
        <v>194817</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194817</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40357</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3060</v>
      </c>
      <c r="D5167" s="2" t="str">
        <f t="shared" si="79"/>
        <v>Error?</v>
      </c>
    </row>
    <row r="5168" spans="1:4" x14ac:dyDescent="0.2">
      <c r="A5168" s="5">
        <v>5107</v>
      </c>
      <c r="B5168" s="1832">
        <f>'Revenues 9-14'!C148</f>
        <v>10282</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248779</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498073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3474388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161894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45258</v>
      </c>
      <c r="D5241" s="2" t="str">
        <f t="shared" si="80"/>
        <v>Error?</v>
      </c>
    </row>
    <row r="5242" spans="1:4" x14ac:dyDescent="0.2">
      <c r="A5242" s="5">
        <v>5181</v>
      </c>
      <c r="B5242" s="1832">
        <f>'Revenues 9-14'!C194</f>
        <v>78726</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285878</v>
      </c>
      <c r="C5246" s="2" t="s">
        <v>569</v>
      </c>
      <c r="D5246" s="2" t="str">
        <f t="shared" si="80"/>
        <v>Error?</v>
      </c>
    </row>
    <row r="5247" spans="1:4" x14ac:dyDescent="0.2">
      <c r="A5247" s="5">
        <v>5186</v>
      </c>
      <c r="B5247" s="1832">
        <f>'Revenues 9-14'!C200</f>
        <v>245029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29740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245029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16018</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16018</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746001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746001</v>
      </c>
      <c r="C5326" s="2" t="s">
        <v>569</v>
      </c>
      <c r="D5326" s="2" t="str">
        <f t="shared" si="82"/>
        <v>Error?</v>
      </c>
    </row>
    <row r="5327" spans="1:5" x14ac:dyDescent="0.2">
      <c r="A5327" s="5">
        <v>5266</v>
      </c>
      <c r="B5327" s="1832">
        <f>'Revenues 9-14'!C268</f>
        <v>9144159</v>
      </c>
      <c r="C5327" s="2" t="s">
        <v>569</v>
      </c>
      <c r="D5327" s="2" t="str">
        <f t="shared" si="82"/>
        <v>Error?</v>
      </c>
    </row>
    <row r="5328" spans="1:5" x14ac:dyDescent="0.2">
      <c r="A5328" s="5">
        <v>5267</v>
      </c>
      <c r="B5328" s="1832">
        <f>'Revenues 9-14'!D5</f>
        <v>757263</v>
      </c>
      <c r="D5328" s="2" t="str">
        <f t="shared" si="82"/>
        <v>Error?</v>
      </c>
    </row>
    <row r="5329" spans="1:4" x14ac:dyDescent="0.2">
      <c r="A5329" s="10">
        <v>5268</v>
      </c>
      <c r="B5329" s="1832"/>
      <c r="D5329" s="2" t="str">
        <f t="shared" si="82"/>
        <v>OK</v>
      </c>
    </row>
    <row r="5330" spans="1:4" x14ac:dyDescent="0.2">
      <c r="A5330" s="5">
        <v>5269</v>
      </c>
      <c r="B5330" s="1832">
        <f>'Revenues 9-14'!D6</f>
        <v>10961</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768224</v>
      </c>
      <c r="C5334" s="2" t="s">
        <v>569</v>
      </c>
      <c r="D5334" s="2" t="str">
        <f t="shared" si="82"/>
        <v>Error?</v>
      </c>
    </row>
    <row r="5335" spans="1:4" x14ac:dyDescent="0.2">
      <c r="A5335" s="5">
        <v>5274</v>
      </c>
      <c r="B5335" s="1832">
        <f>'Revenues 9-14'!D14</f>
        <v>213</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477553</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477766</v>
      </c>
      <c r="C5339" s="2" t="s">
        <v>569</v>
      </c>
      <c r="D5339" s="2" t="str">
        <f t="shared" si="82"/>
        <v>Error?</v>
      </c>
    </row>
    <row r="5340" spans="1:4" x14ac:dyDescent="0.2">
      <c r="A5340" s="5">
        <v>5279</v>
      </c>
      <c r="B5340" s="1832">
        <f>'Revenues 9-14'!D65</f>
        <v>5223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5223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1860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31360</v>
      </c>
      <c r="D5354" s="2" t="str">
        <f t="shared" si="82"/>
        <v>Error?</v>
      </c>
    </row>
    <row r="5355" spans="1:4" x14ac:dyDescent="0.2">
      <c r="A5355" s="5">
        <v>5294</v>
      </c>
      <c r="B5355" s="1832">
        <f>'Revenues 9-14'!D108</f>
        <v>83549</v>
      </c>
      <c r="C5355" s="2" t="s">
        <v>569</v>
      </c>
      <c r="D5355" s="2" t="str">
        <f t="shared" si="82"/>
        <v>Error?</v>
      </c>
    </row>
    <row r="5356" spans="1:4" x14ac:dyDescent="0.2">
      <c r="A5356" s="5">
        <v>5295</v>
      </c>
      <c r="B5356" s="1832">
        <f>'Revenues 9-14'!D109</f>
        <v>1334762</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1384762</v>
      </c>
      <c r="C5508" s="2" t="s">
        <v>569</v>
      </c>
      <c r="D5508" s="2" t="str">
        <f t="shared" si="85"/>
        <v>Error?</v>
      </c>
    </row>
    <row r="5509" spans="1:4" x14ac:dyDescent="0.2">
      <c r="A5509" s="5">
        <v>5448</v>
      </c>
      <c r="B5509" s="1832">
        <f>'Revenues 9-14'!E5</f>
        <v>1311906</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1311906</v>
      </c>
      <c r="C5513" s="2" t="s">
        <v>569</v>
      </c>
      <c r="D5513" s="2" t="str">
        <f t="shared" si="85"/>
        <v>Error?</v>
      </c>
    </row>
    <row r="5514" spans="1:4" x14ac:dyDescent="0.2">
      <c r="A5514" s="5">
        <v>5453</v>
      </c>
      <c r="B5514" s="1832">
        <f>'Revenues 9-14'!E14</f>
        <v>200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200</v>
      </c>
      <c r="C5518" s="2" t="s">
        <v>569</v>
      </c>
      <c r="D5518" s="2" t="str">
        <f t="shared" si="85"/>
        <v>Error?</v>
      </c>
    </row>
    <row r="5519" spans="1:4" x14ac:dyDescent="0.2">
      <c r="A5519" s="5">
        <v>5458</v>
      </c>
      <c r="B5519" s="1832">
        <f>'Revenues 9-14'!E65</f>
        <v>5819</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5819</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1317925</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1317925</v>
      </c>
      <c r="C5552" s="2" t="s">
        <v>569</v>
      </c>
      <c r="D5552" s="2" t="str">
        <f t="shared" si="85"/>
        <v>Error?</v>
      </c>
    </row>
    <row r="5553" spans="1:4" x14ac:dyDescent="0.2">
      <c r="A5553" s="5">
        <v>5492</v>
      </c>
      <c r="B5553" s="1832">
        <f>'Revenues 9-14'!F5</f>
        <v>378630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378630</v>
      </c>
      <c r="C5557" s="2" t="s">
        <v>569</v>
      </c>
      <c r="D5557" s="2" t="str">
        <f t="shared" si="85"/>
        <v>Error?</v>
      </c>
    </row>
    <row r="5558" spans="1:4" x14ac:dyDescent="0.2">
      <c r="A5558" s="5">
        <v>5497</v>
      </c>
      <c r="B5558" s="1832">
        <f>'Revenues 9-14'!F14</f>
        <v>97</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97</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49588</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49588</v>
      </c>
      <c r="C5579" s="2" t="s">
        <v>569</v>
      </c>
      <c r="D5579" s="2" t="str">
        <f t="shared" si="86"/>
        <v>Error?</v>
      </c>
    </row>
    <row r="5580" spans="1:4" x14ac:dyDescent="0.2">
      <c r="A5580" s="5">
        <v>5519</v>
      </c>
      <c r="B5580" s="1832">
        <f>'Revenues 9-14'!F65</f>
        <v>2426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2426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897</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200</v>
      </c>
      <c r="D5586" s="2" t="str">
        <f t="shared" si="86"/>
        <v>Error?</v>
      </c>
    </row>
    <row r="5587" spans="1:4" x14ac:dyDescent="0.2">
      <c r="A5587" s="5">
        <v>5526</v>
      </c>
      <c r="B5587" s="1832">
        <f>'Revenues 9-14'!F108</f>
        <v>1097</v>
      </c>
      <c r="C5587" s="2" t="s">
        <v>569</v>
      </c>
      <c r="D5587" s="2" t="str">
        <f t="shared" si="86"/>
        <v>Error?</v>
      </c>
    </row>
    <row r="5588" spans="1:4" x14ac:dyDescent="0.2">
      <c r="A5588" s="5">
        <v>5527</v>
      </c>
      <c r="B5588" s="1832">
        <f>'Revenues 9-14'!F109</f>
        <v>431838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510808</v>
      </c>
      <c r="D5615" s="2" t="str">
        <f t="shared" si="86"/>
        <v>Error?</v>
      </c>
    </row>
    <row r="5616" spans="1:4" x14ac:dyDescent="0.2">
      <c r="A5616" s="10">
        <v>5555</v>
      </c>
      <c r="B5616" s="1832"/>
      <c r="D5616" s="2" t="str">
        <f t="shared" si="86"/>
        <v>OK</v>
      </c>
    </row>
    <row r="5617" spans="1:5" x14ac:dyDescent="0.2">
      <c r="A5617" s="5">
        <v>5556</v>
      </c>
      <c r="B5617" s="1832">
        <f>'Revenues 9-14'!F153</f>
        <v>282690</v>
      </c>
      <c r="D5617" s="2" t="str">
        <f t="shared" si="86"/>
        <v>Error?</v>
      </c>
    </row>
    <row r="5618" spans="1:5" x14ac:dyDescent="0.2">
      <c r="A5618" s="5">
        <v>5557</v>
      </c>
      <c r="B5618" s="1832">
        <f>'Revenues 9-14'!F155</f>
        <v>793498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15390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808888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808888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28606</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28606</v>
      </c>
      <c r="C5719" s="2" t="s">
        <v>569</v>
      </c>
      <c r="D5719" s="2" t="str">
        <f t="shared" si="88"/>
        <v>Error?</v>
      </c>
    </row>
    <row r="5720" spans="1:4" x14ac:dyDescent="0.2">
      <c r="A5720" s="5">
        <v>5659</v>
      </c>
      <c r="B5720" s="1832">
        <f>'Revenues 9-14'!F268</f>
        <v>1269332</v>
      </c>
      <c r="C5720" s="2" t="s">
        <v>569</v>
      </c>
      <c r="D5720" s="2" t="str">
        <f t="shared" si="88"/>
        <v>Error?</v>
      </c>
    </row>
    <row r="5721" spans="1:4" x14ac:dyDescent="0.2">
      <c r="A5721" s="5">
        <v>5660</v>
      </c>
      <c r="B5721" s="1832">
        <f>'Revenues 9-14'!G5</f>
        <v>229929</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250432</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480361</v>
      </c>
      <c r="C5725" s="2" t="s">
        <v>569</v>
      </c>
      <c r="D5725" s="2" t="str">
        <f t="shared" si="88"/>
        <v>Error?</v>
      </c>
    </row>
    <row r="5726" spans="1:4" x14ac:dyDescent="0.2">
      <c r="A5726" s="5">
        <v>5665</v>
      </c>
      <c r="B5726" s="1832">
        <f>'Revenues 9-14'!G14</f>
        <v>125</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125</v>
      </c>
      <c r="C5730" s="2" t="s">
        <v>569</v>
      </c>
      <c r="D5730" s="2" t="str">
        <f t="shared" si="88"/>
        <v>Error?</v>
      </c>
    </row>
    <row r="5731" spans="1:4" x14ac:dyDescent="0.2">
      <c r="A5731" s="5">
        <v>5670</v>
      </c>
      <c r="B5731" s="1832">
        <f>'Revenues 9-14'!G65</f>
        <v>3993</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3993</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6874</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6874</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6874</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1156</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1156</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2608</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2608</v>
      </c>
      <c r="C5869" s="2" t="s">
        <v>569</v>
      </c>
      <c r="D5869" s="2" t="str">
        <f t="shared" si="90"/>
        <v>Error?</v>
      </c>
    </row>
    <row r="5870" spans="1:4" x14ac:dyDescent="0.2">
      <c r="A5870" s="5">
        <v>5809</v>
      </c>
      <c r="B5870" s="1832">
        <f>'Revenues 9-14'!G268</f>
        <v>493961</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4208</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4208</v>
      </c>
      <c r="C5881" s="2" t="s">
        <v>569</v>
      </c>
      <c r="D5881" s="2" t="str">
        <f t="shared" si="90"/>
        <v>Error?</v>
      </c>
    </row>
    <row r="5882" spans="1:4" x14ac:dyDescent="0.2">
      <c r="A5882" s="5">
        <v>5821</v>
      </c>
      <c r="B5882" s="1832">
        <f>'Revenues 9-14'!H96</f>
        <v>17595</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17595</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21803</v>
      </c>
      <c r="C5915" s="2" t="s">
        <v>569</v>
      </c>
      <c r="D5915" s="2" t="str">
        <f t="shared" si="91"/>
        <v>Error?</v>
      </c>
    </row>
    <row r="5916" spans="1:4" x14ac:dyDescent="0.2">
      <c r="A5916" s="5">
        <v>5855</v>
      </c>
      <c r="B5916" s="1832">
        <f>'Revenues 9-14'!I5</f>
        <v>75727</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75727</v>
      </c>
      <c r="C5918" s="2" t="s">
        <v>569</v>
      </c>
      <c r="D5918" s="2" t="str">
        <f t="shared" si="91"/>
        <v>Error?</v>
      </c>
    </row>
    <row r="5919" spans="1:4" x14ac:dyDescent="0.2">
      <c r="A5919" s="5">
        <v>5858</v>
      </c>
      <c r="B5919" s="1832">
        <f>'Revenues 9-14'!I14</f>
        <v>20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20</v>
      </c>
      <c r="C5923" s="2" t="s">
        <v>569</v>
      </c>
      <c r="D5923" s="2" t="str">
        <f t="shared" si="91"/>
        <v>Error?</v>
      </c>
    </row>
    <row r="5924" spans="1:4" x14ac:dyDescent="0.2">
      <c r="A5924" s="5">
        <v>5863</v>
      </c>
      <c r="B5924" s="1832">
        <f>'Revenues 9-14'!I65</f>
        <v>9813</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9813</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85560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75726</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75726</v>
      </c>
      <c r="C5987" s="2" t="s">
        <v>569</v>
      </c>
      <c r="D5987" s="2" t="str">
        <f t="shared" si="92"/>
        <v>Error?</v>
      </c>
    </row>
    <row r="5988" spans="1:4" x14ac:dyDescent="0.2">
      <c r="A5988" s="5">
        <v>5927</v>
      </c>
      <c r="B5988" s="1832">
        <f>'Revenues 9-14'!K14</f>
        <v>20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20</v>
      </c>
      <c r="C5992" s="2" t="s">
        <v>569</v>
      </c>
      <c r="D5992" s="2" t="str">
        <f t="shared" si="92"/>
        <v>Error?</v>
      </c>
    </row>
    <row r="5993" spans="1:4" x14ac:dyDescent="0.2">
      <c r="A5993" s="5">
        <v>5932</v>
      </c>
      <c r="B5993" s="1832">
        <f>'Revenues 9-14'!K65</f>
        <v>2449</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2449</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78195</v>
      </c>
      <c r="C6023" s="2" t="s">
        <v>569</v>
      </c>
      <c r="D6023" s="2" t="str">
        <f t="shared" si="93"/>
        <v>Error?</v>
      </c>
    </row>
    <row r="6024" spans="1:5" x14ac:dyDescent="0.2">
      <c r="A6024" s="5">
        <v>5963</v>
      </c>
      <c r="B6024" s="1832">
        <f>'Revenues 9-14'!G109</f>
        <v>484479</v>
      </c>
      <c r="C6024" s="2" t="s">
        <v>569</v>
      </c>
      <c r="D6024" s="2" t="str">
        <f t="shared" si="93"/>
        <v>Error?</v>
      </c>
    </row>
    <row r="6025" spans="1:5" x14ac:dyDescent="0.2">
      <c r="A6025" s="5">
        <v>5964</v>
      </c>
      <c r="B6025" s="1832">
        <f>'Revenues 9-14'!H109</f>
        <v>21803</v>
      </c>
      <c r="C6025" s="2" t="s">
        <v>569</v>
      </c>
      <c r="D6025" s="2" t="str">
        <f t="shared" si="93"/>
        <v>Error?</v>
      </c>
    </row>
    <row r="6026" spans="1:5" x14ac:dyDescent="0.2">
      <c r="A6026" s="5">
        <v>5965</v>
      </c>
      <c r="B6026" s="1832">
        <f>'Revenues 9-14'!I109</f>
        <v>85560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78195</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99830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47979</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947.4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77078</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273829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11801</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273829</v>
      </c>
      <c r="D6215" s="2" t="str">
        <f t="shared" si="96"/>
        <v>Error?</v>
      </c>
      <c r="E6215" s="2" t="s">
        <v>189</v>
      </c>
    </row>
    <row r="6216" spans="1:5" x14ac:dyDescent="0.2">
      <c r="A6216">
        <v>6155</v>
      </c>
      <c r="B6216" s="1832">
        <f>'Assets-Liab 5-6'!J41</f>
        <v>273829</v>
      </c>
      <c r="D6216" s="2" t="str">
        <f t="shared" si="96"/>
        <v>Error?</v>
      </c>
      <c r="E6216" s="2" t="s">
        <v>189</v>
      </c>
    </row>
    <row r="6217" spans="1:5" x14ac:dyDescent="0.2">
      <c r="A6217">
        <v>6156</v>
      </c>
      <c r="B6217" s="1832">
        <f>'Assets-Liab 5-6'!J4</f>
        <v>273829</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1509120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1509120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1509120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1253678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1253678</v>
      </c>
      <c r="D6229" s="2" t="str">
        <f t="shared" si="96"/>
        <v>Error?</v>
      </c>
      <c r="E6229" s="2" t="s">
        <v>189</v>
      </c>
    </row>
    <row r="6230" spans="1:5" x14ac:dyDescent="0.2">
      <c r="A6230">
        <v>6169</v>
      </c>
      <c r="B6230" s="1832">
        <f>'Acct Summary 7-8'!J20</f>
        <v>255442</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255442</v>
      </c>
      <c r="D6263" s="2" t="str">
        <f t="shared" si="96"/>
        <v>Error?</v>
      </c>
      <c r="E6263" s="2" t="s">
        <v>189</v>
      </c>
    </row>
    <row r="6264" spans="1:5" x14ac:dyDescent="0.2">
      <c r="A6264">
        <v>6203</v>
      </c>
      <c r="B6264" s="1832">
        <f>'Acct Summary 7-8'!J79</f>
        <v>37673</v>
      </c>
      <c r="D6264" s="2" t="str">
        <f t="shared" si="96"/>
        <v>Error?</v>
      </c>
      <c r="E6264" s="2" t="s">
        <v>189</v>
      </c>
    </row>
    <row r="6265" spans="1:5" x14ac:dyDescent="0.2">
      <c r="A6265">
        <v>6204</v>
      </c>
      <c r="B6265" s="1832">
        <f>'Acct Summary 7-8'!J80</f>
        <v>-19286</v>
      </c>
      <c r="D6265" s="2" t="str">
        <f t="shared" si="96"/>
        <v>Error?</v>
      </c>
      <c r="E6265" s="2" t="s">
        <v>189</v>
      </c>
    </row>
    <row r="6266" spans="1:5" x14ac:dyDescent="0.2">
      <c r="A6266">
        <v>6205</v>
      </c>
      <c r="B6266" s="1832">
        <f>'Acct Summary 7-8'!J81</f>
        <v>273829</v>
      </c>
      <c r="D6266" s="2" t="str">
        <f t="shared" si="96"/>
        <v>Error?</v>
      </c>
      <c r="E6266" s="2" t="s">
        <v>189</v>
      </c>
    </row>
    <row r="6267" spans="1:5" x14ac:dyDescent="0.2">
      <c r="A6267">
        <v>6206</v>
      </c>
      <c r="B6267" s="1832">
        <f>'Acct Summary 7-8'!C82</f>
        <v>265758</v>
      </c>
      <c r="D6267" s="2" t="str">
        <f t="shared" si="96"/>
        <v>Error?</v>
      </c>
      <c r="E6267" s="2" t="s">
        <v>189</v>
      </c>
    </row>
    <row r="6268" spans="1:5" x14ac:dyDescent="0.2">
      <c r="A6268">
        <v>6207</v>
      </c>
      <c r="B6268" s="1832">
        <f>'Acct Summary 7-8'!D82</f>
        <v>122667</v>
      </c>
      <c r="D6268" s="2" t="str">
        <f t="shared" si="96"/>
        <v>Error?</v>
      </c>
      <c r="E6268" s="2" t="s">
        <v>189</v>
      </c>
    </row>
    <row r="6269" spans="1:5" x14ac:dyDescent="0.2">
      <c r="A6269">
        <v>6208</v>
      </c>
      <c r="B6269" s="1832">
        <f>'Acct Summary 7-8'!E82</f>
        <v>7068</v>
      </c>
      <c r="D6269" s="2" t="str">
        <f t="shared" si="96"/>
        <v>Error?</v>
      </c>
      <c r="E6269" s="2" t="s">
        <v>189</v>
      </c>
    </row>
    <row r="6270" spans="1:5" x14ac:dyDescent="0.2">
      <c r="A6270">
        <v>6209</v>
      </c>
      <c r="B6270" s="1832">
        <f>'Acct Summary 7-8'!F82</f>
        <v>38172</v>
      </c>
      <c r="D6270" s="2" t="str">
        <f t="shared" si="96"/>
        <v>Error?</v>
      </c>
      <c r="E6270" s="2" t="s">
        <v>189</v>
      </c>
    </row>
    <row r="6271" spans="1:5" x14ac:dyDescent="0.2">
      <c r="A6271">
        <v>6210</v>
      </c>
      <c r="B6271" s="1832">
        <f>'Acct Summary 7-8'!G82</f>
        <v>9931</v>
      </c>
      <c r="D6271" s="2" t="str">
        <f t="shared" ref="D6271:D6334" si="97">IF(ISBLANK(B6271),"OK",IF(A6271-B6271=0,"OK","Error?"))</f>
        <v>Error?</v>
      </c>
      <c r="E6271" s="2" t="s">
        <v>189</v>
      </c>
    </row>
    <row r="6272" spans="1:5" x14ac:dyDescent="0.2">
      <c r="A6272">
        <v>6211</v>
      </c>
      <c r="B6272" s="1832">
        <f>'Acct Summary 7-8'!H82</f>
        <v>-1885619</v>
      </c>
      <c r="D6272" s="2" t="str">
        <f t="shared" si="97"/>
        <v>Error?</v>
      </c>
      <c r="E6272" s="2" t="s">
        <v>189</v>
      </c>
    </row>
    <row r="6273" spans="1:5" x14ac:dyDescent="0.2">
      <c r="A6273">
        <v>6212</v>
      </c>
      <c r="B6273" s="1832">
        <f>'Acct Summary 7-8'!I82</f>
        <v>1660694</v>
      </c>
      <c r="D6273" s="2" t="str">
        <f t="shared" si="97"/>
        <v>Error?</v>
      </c>
      <c r="E6273" s="2" t="s">
        <v>189</v>
      </c>
    </row>
    <row r="6274" spans="1:5" x14ac:dyDescent="0.2">
      <c r="A6274">
        <v>6213</v>
      </c>
      <c r="B6274" s="1832">
        <f>'Acct Summary 7-8'!J82</f>
        <v>236156</v>
      </c>
      <c r="D6274" s="2" t="str">
        <f t="shared" si="97"/>
        <v>Error?</v>
      </c>
      <c r="E6274" s="2" t="s">
        <v>189</v>
      </c>
    </row>
    <row r="6275" spans="1:5" x14ac:dyDescent="0.2">
      <c r="A6275">
        <v>6214</v>
      </c>
      <c r="B6275" s="1832">
        <f>'Acct Summary 7-8'!K82</f>
        <v>-100403</v>
      </c>
      <c r="D6275" s="2" t="str">
        <f t="shared" si="97"/>
        <v>Error?</v>
      </c>
      <c r="E6275" s="2" t="s">
        <v>189</v>
      </c>
    </row>
    <row r="6276" spans="1:5" x14ac:dyDescent="0.2">
      <c r="A6276">
        <v>6215</v>
      </c>
      <c r="B6276" s="1832">
        <f>'Acct Summary 7-8'!C83</f>
        <v>0.64949398426597782</v>
      </c>
      <c r="D6276" s="2" t="str">
        <f t="shared" si="97"/>
        <v>Error?</v>
      </c>
      <c r="E6276" s="2" t="s">
        <v>189</v>
      </c>
    </row>
    <row r="6277" spans="1:5" x14ac:dyDescent="0.2">
      <c r="A6277">
        <v>6216</v>
      </c>
      <c r="B6277" s="1832">
        <f>'Acct Summary 7-8'!D83</f>
        <v>0.44459385012395436</v>
      </c>
      <c r="D6277" s="2" t="str">
        <f t="shared" si="97"/>
        <v>Error?</v>
      </c>
      <c r="E6277" s="2" t="s">
        <v>189</v>
      </c>
    </row>
    <row r="6278" spans="1:5" x14ac:dyDescent="0.2">
      <c r="A6278">
        <v>6217</v>
      </c>
      <c r="B6278" s="1832">
        <f>'Acct Summary 7-8'!E83</f>
        <v>5.2299769135144732E-2</v>
      </c>
      <c r="D6278" s="2" t="str">
        <f t="shared" si="97"/>
        <v>Error?</v>
      </c>
      <c r="E6278" s="2" t="s">
        <v>189</v>
      </c>
    </row>
    <row r="6279" spans="1:5" x14ac:dyDescent="0.2">
      <c r="A6279">
        <v>6218</v>
      </c>
      <c r="B6279" s="1832">
        <f>'Acct Summary 7-8'!F83</f>
        <v>0.16233456945531249</v>
      </c>
      <c r="D6279" s="2" t="str">
        <f t="shared" si="97"/>
        <v>Error?</v>
      </c>
      <c r="E6279" s="2" t="s">
        <v>189</v>
      </c>
    </row>
    <row r="6280" spans="1:5" x14ac:dyDescent="0.2">
      <c r="A6280">
        <v>6219</v>
      </c>
      <c r="B6280" s="1832">
        <f>'Acct Summary 7-8'!G83</f>
        <v>6.1134914185811726E-2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0.8362319825773884</v>
      </c>
      <c r="D6282" s="2" t="str">
        <f t="shared" si="97"/>
        <v>Error?</v>
      </c>
      <c r="E6282" s="2" t="s">
        <v>189</v>
      </c>
    </row>
    <row r="6283" spans="1:5" x14ac:dyDescent="0.2">
      <c r="A6283">
        <v>6222</v>
      </c>
      <c r="B6283" s="1832">
        <f>'Acct Summary 7-8'!J83</f>
        <v>0.86242143819683081</v>
      </c>
      <c r="D6283" s="2" t="str">
        <f t="shared" si="97"/>
        <v>Error?</v>
      </c>
      <c r="E6283" s="2" t="s">
        <v>189</v>
      </c>
    </row>
    <row r="6284" spans="1:5" x14ac:dyDescent="0.2">
      <c r="A6284">
        <v>6223</v>
      </c>
      <c r="B6284" s="1832">
        <f>'Acct Summary 7-8'!K83</f>
        <v>-1.8236522813135716</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1500110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1500110</v>
      </c>
      <c r="D6301" s="2" t="str">
        <f t="shared" si="97"/>
        <v>Error?</v>
      </c>
      <c r="E6301" s="2" t="s">
        <v>189</v>
      </c>
    </row>
    <row r="6302" spans="1:5" x14ac:dyDescent="0.2">
      <c r="A6302">
        <v>6241</v>
      </c>
      <c r="B6302" s="1832">
        <f>'Revenues 9-14'!J14</f>
        <v>338</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338</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8672</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8672</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50329</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7138</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1509120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18806</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166863</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195138</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71118</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429391</v>
      </c>
      <c r="D6880" s="2" t="str">
        <f t="shared" si="106"/>
        <v>Error?</v>
      </c>
    </row>
    <row r="6881" spans="1:4" x14ac:dyDescent="0.2">
      <c r="A6881">
        <v>6820</v>
      </c>
      <c r="B6881" s="1832">
        <f>'Expenditures 15-22'!K22</f>
        <v>429391</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240659</v>
      </c>
      <c r="D6983" s="2" t="str">
        <f t="shared" si="108"/>
        <v>Error?</v>
      </c>
    </row>
    <row r="6984" spans="1:4" x14ac:dyDescent="0.2">
      <c r="A6984">
        <v>6923</v>
      </c>
      <c r="B6984" s="1832">
        <f>'Expenditures 15-22'!K86</f>
        <v>240659</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34652</v>
      </c>
      <c r="D6987" s="2" t="str">
        <f t="shared" si="108"/>
        <v>Error?</v>
      </c>
    </row>
    <row r="6988" spans="1:4" x14ac:dyDescent="0.2">
      <c r="A6988">
        <v>6927</v>
      </c>
      <c r="B6988" s="1832">
        <f>'Expenditures 15-22'!K88</f>
        <v>34652</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275311</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1253678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1509120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7079</v>
      </c>
      <c r="D7073" s="2" t="str">
        <f t="shared" si="109"/>
        <v>Error?</v>
      </c>
    </row>
    <row r="7074" spans="1:4" x14ac:dyDescent="0.2">
      <c r="A7074">
        <v>7013</v>
      </c>
      <c r="B7074" s="1832">
        <f>'Expenditures 15-22'!K216</f>
        <v>7079</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1099</v>
      </c>
      <c r="D7079" s="2" t="str">
        <f t="shared" si="109"/>
        <v>Error?</v>
      </c>
    </row>
    <row r="7080" spans="1:4" x14ac:dyDescent="0.2">
      <c r="A7080">
        <v>7019</v>
      </c>
      <c r="B7080" s="1832">
        <f>'Expenditures 15-22'!K226</f>
        <v>1099</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1374</v>
      </c>
      <c r="D7093" s="2" t="str">
        <f t="shared" si="109"/>
        <v>Error?</v>
      </c>
    </row>
    <row r="7094" spans="1:4" x14ac:dyDescent="0.2">
      <c r="A7094">
        <v>7033</v>
      </c>
      <c r="B7094" s="1832">
        <f>'Expenditures 15-22'!K254</f>
        <v>1374</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90620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90620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10598</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10598</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93221</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93221</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929150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92016</v>
      </c>
      <c r="D7174" s="2" t="str">
        <f t="shared" si="111"/>
        <v>Error?</v>
      </c>
    </row>
    <row r="7175" spans="1:4" x14ac:dyDescent="0.2">
      <c r="A7175">
        <v>7114</v>
      </c>
      <c r="B7175" s="1832">
        <f>'Expenditures 15-22'!F325</f>
        <v>6313</v>
      </c>
      <c r="D7175" s="2" t="str">
        <f t="shared" si="111"/>
        <v>Error?</v>
      </c>
    </row>
    <row r="7176" spans="1:4" x14ac:dyDescent="0.2">
      <c r="A7176">
        <v>7115</v>
      </c>
      <c r="B7176" s="1832">
        <f>'Expenditures 15-22'!G325</f>
        <v>8513</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1035992</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23247</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23247</v>
      </c>
      <c r="D7198" s="2" t="str">
        <f t="shared" si="111"/>
        <v>Error?</v>
      </c>
    </row>
    <row r="7199" spans="1:4" x14ac:dyDescent="0.2">
      <c r="A7199">
        <v>7138</v>
      </c>
      <c r="B7199" s="1832">
        <f>'Expenditures 15-22'!C330</f>
        <v>929150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309702</v>
      </c>
      <c r="D7201" s="2" t="str">
        <f t="shared" si="111"/>
        <v>Error?</v>
      </c>
    </row>
    <row r="7202" spans="1:4" x14ac:dyDescent="0.2">
      <c r="A7202">
        <v>7141</v>
      </c>
      <c r="B7202" s="1832">
        <f>'Expenditures 15-22'!F330</f>
        <v>6313</v>
      </c>
      <c r="D7202" s="2" t="str">
        <f t="shared" si="111"/>
        <v>Error?</v>
      </c>
    </row>
    <row r="7203" spans="1:4" x14ac:dyDescent="0.2">
      <c r="A7203">
        <v>7142</v>
      </c>
      <c r="B7203" s="1832">
        <f>'Expenditures 15-22'!G330</f>
        <v>8513</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1253678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929150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309702</v>
      </c>
      <c r="D7218" s="2" t="str">
        <f t="shared" si="111"/>
        <v>Error?</v>
      </c>
    </row>
    <row r="7219" spans="1:4" x14ac:dyDescent="0.2">
      <c r="A7219">
        <v>7158</v>
      </c>
      <c r="B7219" s="1832">
        <f>'Expenditures 15-22'!F342</f>
        <v>6313</v>
      </c>
      <c r="D7219" s="2" t="str">
        <f t="shared" si="111"/>
        <v>Error?</v>
      </c>
    </row>
    <row r="7220" spans="1:4" x14ac:dyDescent="0.2">
      <c r="A7220">
        <v>7159</v>
      </c>
      <c r="B7220" s="1832">
        <f>'Expenditures 15-22'!G342</f>
        <v>8513</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1253678</v>
      </c>
      <c r="D7224" s="2" t="str">
        <f t="shared" si="111"/>
        <v>Error?</v>
      </c>
    </row>
    <row r="7225" spans="1:4" x14ac:dyDescent="0.2">
      <c r="A7225">
        <v>7164</v>
      </c>
      <c r="B7225" s="1832">
        <f>'Expenditures 15-22'!K343</f>
        <v>255442</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15763</v>
      </c>
      <c r="D7246" s="2" t="str">
        <f t="shared" si="112"/>
        <v>Error?</v>
      </c>
    </row>
    <row r="7247" spans="1:4" x14ac:dyDescent="0.2">
      <c r="A7247">
        <f t="shared" si="113"/>
        <v>7186</v>
      </c>
      <c r="B7247" s="1832">
        <f>'Expenditures 15-22'!E7</f>
        <v>2190</v>
      </c>
      <c r="D7247" s="2" t="str">
        <f t="shared" si="112"/>
        <v>Error?</v>
      </c>
    </row>
    <row r="7248" spans="1:4" x14ac:dyDescent="0.2">
      <c r="A7248">
        <f t="shared" si="113"/>
        <v>7187</v>
      </c>
      <c r="B7248" s="1832">
        <f>'Expenditures 15-22'!F7</f>
        <v>10322</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69740</v>
      </c>
      <c r="D7263" s="2" t="str">
        <f t="shared" si="112"/>
        <v>Error?</v>
      </c>
    </row>
    <row r="7264" spans="1:4" x14ac:dyDescent="0.2">
      <c r="A7264">
        <f t="shared" si="113"/>
        <v>7203</v>
      </c>
      <c r="B7264" s="1832">
        <f>'Expenditures 15-22'!D17</f>
        <v>1358</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20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743489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7138</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10282</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17420</v>
      </c>
      <c r="D7719" s="2" t="str">
        <f t="shared" si="126"/>
        <v>Error?</v>
      </c>
      <c r="E7719" s="2" t="s">
        <v>822</v>
      </c>
    </row>
    <row r="7720" spans="1:6" x14ac:dyDescent="0.2">
      <c r="A7720">
        <v>7659</v>
      </c>
      <c r="B7720" s="1832">
        <f>'Rest Tax Levies-Tort Im 25'!H14</f>
        <v>60581</v>
      </c>
      <c r="D7720" s="2" t="str">
        <f t="shared" si="126"/>
        <v>Error?</v>
      </c>
      <c r="E7720" s="2" t="s">
        <v>822</v>
      </c>
    </row>
    <row r="7721" spans="1:6" x14ac:dyDescent="0.2">
      <c r="A7721">
        <v>7660</v>
      </c>
      <c r="B7721" s="1832">
        <f>'Rest Tax Levies-Tort Im 25'!K14</f>
        <v>17420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846</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17420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14519885</v>
      </c>
      <c r="D7817" s="2" t="str">
        <f t="shared" si="128"/>
        <v>Error?</v>
      </c>
      <c r="E7817" s="4" t="s">
        <v>1966</v>
      </c>
    </row>
    <row r="7818" spans="1:5" x14ac:dyDescent="0.2">
      <c r="A7818">
        <v>7757</v>
      </c>
      <c r="B7818" s="1832">
        <f>'PCTC-OEPP 27-28'!F172</f>
        <v>393671</v>
      </c>
      <c r="D7818" s="2" t="str">
        <f t="shared" si="128"/>
        <v>Error?</v>
      </c>
      <c r="E7818" s="4" t="s">
        <v>1980</v>
      </c>
    </row>
    <row r="7819" spans="1:5" x14ac:dyDescent="0.2">
      <c r="A7819">
        <v>7758</v>
      </c>
      <c r="B7819" s="1832">
        <f>'PCTC-OEPP 27-28'!F173</f>
        <v>52</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14704969</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195138</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33733</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1963567</v>
      </c>
      <c r="D7834" s="2" t="str">
        <f t="shared" si="129"/>
        <v>Error?</v>
      </c>
      <c r="E7834" s="4" t="s">
        <v>1998</v>
      </c>
    </row>
    <row r="7835" spans="1:5" x14ac:dyDescent="0.2">
      <c r="A7835">
        <v>7774</v>
      </c>
      <c r="B7835" s="1832">
        <f>'PCTC-OEPP 27-28'!F78</f>
        <v>12741402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13448.8093730209</v>
      </c>
      <c r="D7837" s="2" t="str">
        <f t="shared" si="129"/>
        <v>Error?</v>
      </c>
      <c r="E7837" s="4" t="s">
        <v>1998</v>
      </c>
    </row>
    <row r="7838" spans="1:5" x14ac:dyDescent="0.2">
      <c r="A7838">
        <v>7777</v>
      </c>
      <c r="B7838" s="1832">
        <f>'PCTC-OEPP 27-28'!F96</f>
        <v>99833</v>
      </c>
      <c r="D7838" s="2" t="str">
        <f t="shared" si="129"/>
        <v>Error?</v>
      </c>
      <c r="E7838" s="4" t="s">
        <v>1998</v>
      </c>
    </row>
    <row r="7839" spans="1:5" x14ac:dyDescent="0.2">
      <c r="A7839">
        <v>7778</v>
      </c>
      <c r="B7839" s="1832">
        <f>'PCTC-OEPP 27-28'!F102</f>
        <v>1860</v>
      </c>
      <c r="D7839" s="2" t="str">
        <f t="shared" si="129"/>
        <v>Error?</v>
      </c>
      <c r="E7839" s="4" t="s">
        <v>1998</v>
      </c>
    </row>
    <row r="7840" spans="1:5" x14ac:dyDescent="0.2">
      <c r="A7840">
        <v>7779</v>
      </c>
      <c r="B7840" s="1832">
        <f>'PCTC-OEPP 27-28'!F103</f>
        <v>897</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194817</v>
      </c>
      <c r="D7842" s="2" t="str">
        <f t="shared" si="129"/>
        <v>Error?</v>
      </c>
      <c r="E7842" s="4" t="s">
        <v>1998</v>
      </c>
    </row>
    <row r="7843" spans="1:5" x14ac:dyDescent="0.2">
      <c r="A7843">
        <v>7782</v>
      </c>
      <c r="B7843" s="1832">
        <f>'PCTC-OEPP 27-28'!F107</f>
        <v>40357</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10282</v>
      </c>
      <c r="D7846" s="2" t="str">
        <f t="shared" si="129"/>
        <v>Error?</v>
      </c>
      <c r="E7846" s="4" t="s">
        <v>1998</v>
      </c>
    </row>
    <row r="7847" spans="1:5" x14ac:dyDescent="0.2">
      <c r="A7847">
        <v>7786</v>
      </c>
      <c r="B7847" s="1832">
        <f>'PCTC-OEPP 27-28'!F112</f>
        <v>793498</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778</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285878</v>
      </c>
      <c r="D7858" s="2" t="str">
        <f t="shared" si="129"/>
        <v>Error?</v>
      </c>
      <c r="E7858" s="4" t="s">
        <v>1998</v>
      </c>
    </row>
    <row r="7859" spans="1:5" x14ac:dyDescent="0.2">
      <c r="A7859">
        <v>7798</v>
      </c>
      <c r="B7859" s="1832">
        <f>'PCTC-OEPP 27-28'!F127</f>
        <v>246185</v>
      </c>
      <c r="D7859" s="2" t="str">
        <f t="shared" si="129"/>
        <v>Error?</v>
      </c>
      <c r="E7859" s="4" t="s">
        <v>1998</v>
      </c>
    </row>
    <row r="7860" spans="1:5" x14ac:dyDescent="0.2">
      <c r="A7860">
        <v>7799</v>
      </c>
      <c r="B7860" s="1832">
        <f>'PCTC-OEPP 27-28'!F128</f>
        <v>48776</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16018</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41577</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16734</v>
      </c>
      <c r="D7874" s="2" t="str">
        <f t="shared" si="129"/>
        <v>Error?</v>
      </c>
      <c r="E7874" s="4" t="s">
        <v>1998</v>
      </c>
    </row>
    <row r="7875" spans="1:5" x14ac:dyDescent="0.2">
      <c r="A7875">
        <v>7814</v>
      </c>
      <c r="B7875" s="1832">
        <f>'PCTC-OEPP 27-28'!F170</f>
        <v>103128</v>
      </c>
      <c r="D7875" s="2" t="str">
        <f t="shared" si="129"/>
        <v>Error?</v>
      </c>
      <c r="E7875" s="4" t="s">
        <v>1998</v>
      </c>
    </row>
    <row r="7876" spans="1:5" x14ac:dyDescent="0.2">
      <c r="A7876">
        <v>7815</v>
      </c>
      <c r="B7876" s="1832">
        <f>'PCTC-OEPP 27-28'!F171</f>
        <v>18919</v>
      </c>
      <c r="D7876" s="2" t="str">
        <f t="shared" si="129"/>
        <v>Error?</v>
      </c>
      <c r="E7876" s="4" t="s">
        <v>1998</v>
      </c>
    </row>
    <row r="7877" spans="1:5" x14ac:dyDescent="0.2">
      <c r="A7877">
        <v>7816</v>
      </c>
      <c r="B7877" s="1832">
        <f>'PCTC-OEPP 27-28'!F175</f>
        <v>2611074</v>
      </c>
      <c r="D7877" s="2" t="str">
        <f t="shared" si="129"/>
        <v>Error?</v>
      </c>
      <c r="E7877" s="4" t="s">
        <v>1998</v>
      </c>
    </row>
    <row r="7878" spans="1:5" x14ac:dyDescent="0.2">
      <c r="A7878">
        <v>7817</v>
      </c>
      <c r="B7878" s="1832">
        <f>'PCTC-OEPP 27-28'!F176</f>
        <v>10130328</v>
      </c>
      <c r="D7878" s="2" t="str">
        <f t="shared" si="129"/>
        <v>Error?</v>
      </c>
      <c r="E7878" s="4" t="s">
        <v>1998</v>
      </c>
    </row>
    <row r="7879" spans="1:5" x14ac:dyDescent="0.2">
      <c r="A7879">
        <v>7818</v>
      </c>
      <c r="B7879" s="1832">
        <f>'PCTC-OEPP 27-28'!F178</f>
        <v>10873817</v>
      </c>
      <c r="D7879" s="2" t="str">
        <f t="shared" si="129"/>
        <v>Error?</v>
      </c>
      <c r="E7879" s="4" t="s">
        <v>1998</v>
      </c>
    </row>
    <row r="7880" spans="1:5" x14ac:dyDescent="0.2">
      <c r="A7880">
        <v>7819</v>
      </c>
      <c r="B7880" s="1832">
        <f>'PCTC-OEPP 27-28'!F180</f>
        <v>11477.535359932446</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8513</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Bureau Valley CUSD 340</v>
      </c>
      <c r="B7" s="2536"/>
      <c r="C7" s="2536"/>
      <c r="D7" s="2537"/>
      <c r="E7" s="2538">
        <f>COVER!A13</f>
        <v>28006340026</v>
      </c>
      <c r="F7" s="2539"/>
      <c r="G7" s="2545" t="str">
        <f>COVER!T23</f>
        <v>006-004501</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HOPKINS &amp; ASSOCIATES, CPAS</v>
      </c>
      <c r="H9" s="2551"/>
      <c r="I9" s="2551"/>
      <c r="J9" s="2551"/>
      <c r="K9" s="2551"/>
      <c r="L9" s="2552"/>
    </row>
    <row r="10" spans="1:29" ht="13.5" customHeight="1" x14ac:dyDescent="0.2">
      <c r="A10" s="2524" t="str">
        <f>COVER!A38</f>
        <v>JASON STABLER</v>
      </c>
      <c r="B10" s="2525"/>
      <c r="C10" s="2525"/>
      <c r="D10" s="2525"/>
      <c r="E10" s="2525"/>
      <c r="F10" s="2526"/>
      <c r="G10" s="2518" t="str">
        <f>COVER!T17</f>
        <v>314 S MCCOY STREET</v>
      </c>
      <c r="H10" s="2519"/>
      <c r="I10" s="2519"/>
      <c r="J10" s="2519"/>
      <c r="K10" s="2519"/>
      <c r="L10" s="2520"/>
    </row>
    <row r="11" spans="1:29" ht="13.5" customHeight="1" x14ac:dyDescent="0.2">
      <c r="A11" s="963" t="s">
        <v>1502</v>
      </c>
      <c r="B11" s="964"/>
      <c r="C11" s="965"/>
      <c r="D11" s="970"/>
      <c r="E11" s="965"/>
      <c r="F11" s="969"/>
      <c r="G11" s="2518" t="str">
        <f>COVER!T19</f>
        <v>GRANVILLE</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JOEL@HOPKINSOFFICE.COM</v>
      </c>
      <c r="J13" s="2531"/>
      <c r="K13" s="2531"/>
      <c r="L13" s="2532"/>
    </row>
    <row r="14" spans="1:29" ht="13.5" customHeight="1" x14ac:dyDescent="0.2">
      <c r="A14" s="2518" t="str">
        <f>COVER!A19</f>
        <v>PO BOX 289</v>
      </c>
      <c r="B14" s="2519"/>
      <c r="C14" s="2519"/>
      <c r="D14" s="2519"/>
      <c r="E14" s="2519"/>
      <c r="F14" s="2520"/>
      <c r="G14" s="974" t="s">
        <v>1175</v>
      </c>
      <c r="H14" s="972"/>
      <c r="I14" s="972"/>
      <c r="J14" s="972"/>
      <c r="K14" s="972"/>
      <c r="L14" s="973"/>
    </row>
    <row r="15" spans="1:29" ht="13.5" customHeight="1" x14ac:dyDescent="0.2">
      <c r="A15" s="2518" t="str">
        <f>COVER!A21</f>
        <v>MANLIUS</v>
      </c>
      <c r="B15" s="2519"/>
      <c r="C15" s="2519"/>
      <c r="D15" s="2519"/>
      <c r="E15" s="2519"/>
      <c r="F15" s="2520"/>
      <c r="G15" s="2515" t="str">
        <f>COVER!T15</f>
        <v>JOEL HOPKINS</v>
      </c>
      <c r="H15" s="2516"/>
      <c r="I15" s="2516"/>
      <c r="J15" s="2516"/>
      <c r="K15" s="2516"/>
      <c r="L15" s="2517"/>
    </row>
    <row r="16" spans="1:29" ht="12.2" customHeight="1" x14ac:dyDescent="0.2">
      <c r="A16" s="2541">
        <f>COVER!A25</f>
        <v>61338</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815-339-6630</v>
      </c>
      <c r="H18" s="2536"/>
      <c r="I18" s="2536"/>
      <c r="J18" s="2536"/>
      <c r="K18" s="2535" t="str">
        <f>COVER!X21</f>
        <v>815-339-6643</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Bureau Valley CUSD 340</v>
      </c>
      <c r="B1" s="2558"/>
      <c r="C1" s="2558"/>
      <c r="D1" s="2558"/>
    </row>
    <row r="2" spans="1:11" s="991" customFormat="1" ht="12.75" x14ac:dyDescent="0.2">
      <c r="A2" s="2559">
        <f>'Single Audit Cover'!E7</f>
        <v>28006340026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Bureau Valley CUSD 340</v>
      </c>
      <c r="B1" s="2562"/>
      <c r="C1" s="2562"/>
      <c r="D1" s="2562"/>
      <c r="E1" s="2562"/>
    </row>
    <row r="2" spans="1:5" x14ac:dyDescent="0.2">
      <c r="A2" s="2563">
        <f>'Single Audit Cover'!E7</f>
        <v>28006340026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777215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47979</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-103128</v>
      </c>
    </row>
    <row r="19" spans="1:4" ht="13.5" thickBot="1" x14ac:dyDescent="0.25">
      <c r="A19" s="1041" t="s">
        <v>1224</v>
      </c>
      <c r="D19" s="1042">
        <f>SUM(D10:D17)</f>
        <v>722066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722066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722066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Bureau Valley CUSD 340</v>
      </c>
      <c r="C1" s="2566"/>
      <c r="D1" s="2566"/>
      <c r="E1" s="2566"/>
      <c r="F1" s="2566"/>
      <c r="G1" s="2566"/>
      <c r="H1" s="2566"/>
      <c r="I1" s="2566"/>
      <c r="J1" s="2566"/>
      <c r="K1" s="2566"/>
      <c r="L1" s="2566"/>
      <c r="M1" s="2566"/>
    </row>
    <row r="2" spans="2:14" ht="15" x14ac:dyDescent="0.2">
      <c r="B2" s="2567">
        <f>'Single Audit Cover'!E7</f>
        <v>28006340026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Bureau Valley CUSD 340</v>
      </c>
      <c r="B1" s="2579"/>
      <c r="C1" s="2579"/>
      <c r="D1" s="2579"/>
      <c r="E1" s="2579"/>
      <c r="F1" s="2579"/>
    </row>
    <row r="2" spans="1:7" ht="13.5" customHeight="1" x14ac:dyDescent="0.2">
      <c r="A2" s="2567">
        <f>'Single Audit Cover'!E7</f>
        <v>28006340026</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0"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2068</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Bureau Valley CUSD 340</v>
      </c>
      <c r="C1" s="2594"/>
      <c r="D1" s="2594"/>
      <c r="E1" s="2594"/>
      <c r="F1" s="2594"/>
      <c r="G1" s="2594"/>
      <c r="H1" s="2594"/>
      <c r="I1" s="2594"/>
      <c r="J1" s="1178"/>
    </row>
    <row r="2" spans="2:10" s="295" customFormat="1" ht="12.75" customHeight="1" x14ac:dyDescent="0.2">
      <c r="B2" s="2595">
        <f>'Single Audit Cover'!E7</f>
        <v>28006340026</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Bureau Valley CUSD 340</v>
      </c>
      <c r="C1" s="2593"/>
      <c r="D1" s="2593"/>
      <c r="E1" s="2593"/>
      <c r="F1" s="2593"/>
      <c r="G1" s="2593"/>
      <c r="H1" s="2593"/>
      <c r="I1" s="2593"/>
      <c r="J1" s="2593"/>
      <c r="K1" s="2593"/>
      <c r="L1" s="1144"/>
      <c r="M1" s="1144"/>
    </row>
    <row r="2" spans="1:13" ht="12" customHeight="1" x14ac:dyDescent="0.2">
      <c r="B2" s="2595">
        <f>'Single Audit Cover'!E7</f>
        <v>28006340026</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Bureau Valley CUSD 340</v>
      </c>
      <c r="C1" s="2616"/>
      <c r="D1" s="2616"/>
      <c r="E1" s="2616"/>
      <c r="F1" s="2616"/>
      <c r="G1" s="2616"/>
      <c r="H1" s="2616"/>
      <c r="I1" s="2616"/>
      <c r="J1" s="2616"/>
      <c r="K1" s="2616"/>
      <c r="L1" s="1221"/>
    </row>
    <row r="2" spans="1:12" ht="12.75" customHeight="1" x14ac:dyDescent="0.2">
      <c r="B2" s="2617">
        <f>'Single Audit Cover'!E7</f>
        <v>28006340026</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Bureau Valley CUSD 340</v>
      </c>
      <c r="C1" s="2593"/>
      <c r="D1" s="2593"/>
      <c r="E1" s="1240"/>
    </row>
    <row r="2" spans="2:5" s="1058" customFormat="1" ht="12.75" customHeight="1" x14ac:dyDescent="0.2">
      <c r="B2" s="2595">
        <f>'Single Audit Cover'!E7</f>
        <v>28006340026</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190230992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2.75E-2</v>
      </c>
      <c r="E10" s="333" t="s">
        <v>998</v>
      </c>
      <c r="F10" s="332">
        <v>5.0000000000000001E-3</v>
      </c>
      <c r="G10" s="333" t="s">
        <v>998</v>
      </c>
      <c r="H10" s="332">
        <v>2.5000000000000001E-3</v>
      </c>
      <c r="I10" s="333" t="s">
        <v>999</v>
      </c>
      <c r="J10" s="1424">
        <f>ROUND(D10+F10+H10,5)</f>
        <v>3.5000000000000003E-2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11883813</v>
      </c>
      <c r="E16" s="1547"/>
      <c r="F16" s="1546">
        <f>SUM('Acct Summary 7-8'!C17,'Acct Summary 7-8'!D17,'Acct Summary 7-8'!F17)</f>
        <v>11657004</v>
      </c>
      <c r="G16" s="1547"/>
      <c r="H16" s="1546">
        <f>SUM(D16-F16)</f>
        <v>226809</v>
      </c>
      <c r="I16" s="1548"/>
      <c r="J16" s="1546">
        <f>SUM('Acct Summary 7-8'!C81,'Acct Summary 7-8'!D81,'Acct Summary 7-8'!F81,'Acct Summary 7-8'!I81)</f>
        <v>2906154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26251876.896000002</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13905263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Bureau Valley CUSD 340</v>
      </c>
      <c r="E7" s="368"/>
      <c r="G7" s="247"/>
      <c r="H7" s="364"/>
      <c r="I7" s="364"/>
      <c r="J7" s="364"/>
      <c r="K7" s="364"/>
      <c r="L7" s="307"/>
      <c r="M7" s="307"/>
      <c r="N7" s="307"/>
      <c r="O7" s="307"/>
      <c r="P7" s="307"/>
    </row>
    <row r="8" spans="1:18" ht="12.75" x14ac:dyDescent="0.2">
      <c r="A8" s="307"/>
      <c r="B8" s="307"/>
      <c r="C8" s="366" t="s">
        <v>1115</v>
      </c>
      <c r="D8" s="369">
        <f>COVER!A13</f>
        <v>28006340026</v>
      </c>
      <c r="E8" s="370"/>
      <c r="G8" s="307"/>
      <c r="H8" s="307"/>
      <c r="I8" s="307"/>
      <c r="J8" s="307"/>
      <c r="K8" s="307"/>
      <c r="L8" s="307"/>
      <c r="M8" s="307"/>
      <c r="N8" s="307"/>
      <c r="O8" s="307"/>
      <c r="P8" s="307"/>
    </row>
    <row r="9" spans="1:18" ht="12.75" x14ac:dyDescent="0.2">
      <c r="A9" s="307"/>
      <c r="B9" s="307"/>
      <c r="C9" s="366" t="s">
        <v>708</v>
      </c>
      <c r="D9" s="371" t="str">
        <f>COVER!A15</f>
        <v>BUREAU</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3</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2906154</v>
      </c>
      <c r="I12" s="380"/>
      <c r="J12" s="380"/>
      <c r="K12" s="1559">
        <f>TRUNC((H12/H13*100000),5)/100000</f>
        <v>0.24454726770000002</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11883813</v>
      </c>
      <c r="I13" s="380"/>
      <c r="J13" s="380"/>
      <c r="K13" s="1558"/>
      <c r="L13" s="213"/>
      <c r="M13" s="337" t="s">
        <v>1135</v>
      </c>
      <c r="N13" s="337"/>
      <c r="O13" s="1563">
        <f>(O11*O12)</f>
        <v>1.0499999999999998</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11657004</v>
      </c>
      <c r="I17" s="380"/>
      <c r="J17" s="389"/>
      <c r="K17" s="1559">
        <f>TRUNC((H17/H18*100000),5)/100000</f>
        <v>0.98091445900000007</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11883813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2</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2840877</v>
      </c>
      <c r="I24" s="394"/>
      <c r="J24" s="394"/>
      <c r="K24" s="1555">
        <f>TRUNC(((H24/H25*100000)/100000),2)</f>
        <v>87.73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32380.56667</v>
      </c>
      <c r="I25" s="396"/>
      <c r="J25" s="396"/>
      <c r="K25" s="1558"/>
      <c r="L25" s="213"/>
      <c r="M25" s="337" t="s">
        <v>1135</v>
      </c>
      <c r="N25" s="337"/>
      <c r="O25" s="1563">
        <f>O23*O24</f>
        <v>0.2</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5659372.0120000001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13905263</v>
      </c>
      <c r="I32" s="392"/>
      <c r="J32" s="392"/>
      <c r="K32" s="1555">
        <f>TRUNC(100-((((H32/H33*100))*100)/100),2)</f>
        <v>47.03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26251876.896000002</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3.25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 activePane="bottomLeft" state="frozen"/>
      <selection pane="bottomLeft" activeCell="J40" sqref="J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343900</v>
      </c>
      <c r="D4" s="1573">
        <f>191293+6626+77989</f>
        <v>275908</v>
      </c>
      <c r="E4" s="1573">
        <f>30729+104415</f>
        <v>135144</v>
      </c>
      <c r="F4" s="1573">
        <v>235144</v>
      </c>
      <c r="G4" s="1573">
        <f>-25594+188038</f>
        <v>162444</v>
      </c>
      <c r="H4" s="1573"/>
      <c r="I4" s="1573">
        <v>1985925</v>
      </c>
      <c r="J4" s="1574">
        <v>273829</v>
      </c>
      <c r="K4" s="1573">
        <v>55056</v>
      </c>
      <c r="L4" s="1573">
        <f>221225+80761</f>
        <v>301986</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v>77078</v>
      </c>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420978</v>
      </c>
      <c r="D13" s="1587">
        <f t="shared" ref="D13:L13" si="0">SUM(D4:D12)</f>
        <v>275908</v>
      </c>
      <c r="E13" s="1587">
        <f t="shared" si="0"/>
        <v>135144</v>
      </c>
      <c r="F13" s="1587">
        <f t="shared" si="0"/>
        <v>235144</v>
      </c>
      <c r="G13" s="1587">
        <f t="shared" si="0"/>
        <v>162444</v>
      </c>
      <c r="H13" s="1587">
        <f t="shared" si="0"/>
        <v>0</v>
      </c>
      <c r="I13" s="1587">
        <f t="shared" si="0"/>
        <v>1985925</v>
      </c>
      <c r="J13" s="1587">
        <f t="shared" si="0"/>
        <v>273829</v>
      </c>
      <c r="K13" s="1587">
        <f t="shared" si="0"/>
        <v>55056</v>
      </c>
      <c r="L13" s="1587">
        <f t="shared" si="0"/>
        <v>301986</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754625</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30645690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1878894</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2977026+1601841</f>
        <v>4578867</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135144</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13770119</v>
      </c>
    </row>
    <row r="23" spans="1:14" ht="13.5" customHeight="1" thickBot="1" x14ac:dyDescent="0.25">
      <c r="A23" s="1426" t="s">
        <v>638</v>
      </c>
      <c r="B23" s="1429"/>
      <c r="C23" s="1575"/>
      <c r="D23" s="1575"/>
      <c r="E23" s="1575"/>
      <c r="F23" s="1575"/>
      <c r="G23" s="1575"/>
      <c r="H23" s="1575"/>
      <c r="I23" s="1575"/>
      <c r="J23" s="1575"/>
      <c r="K23" s="1575"/>
      <c r="L23" s="1575"/>
      <c r="M23" s="1594">
        <f>SUM(M15:M22)</f>
        <v>37858076</v>
      </c>
      <c r="N23" s="1594">
        <f>SUM(N21:N22)</f>
        <v>13905263</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f>3603+2730+4498+970</f>
        <v>11801</v>
      </c>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221225</v>
      </c>
      <c r="M33" s="1575"/>
      <c r="N33" s="1576"/>
    </row>
    <row r="34" spans="1:14" ht="13.5" customHeight="1" thickBot="1" x14ac:dyDescent="0.25">
      <c r="A34" s="1427" t="s">
        <v>649</v>
      </c>
      <c r="B34" s="1428"/>
      <c r="C34" s="1600">
        <f>SUM(C25:C33)</f>
        <v>11801</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221225</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13905263</v>
      </c>
    </row>
    <row r="37" spans="1:14" ht="13.5" thickBot="1" x14ac:dyDescent="0.25">
      <c r="A37" s="1426" t="s">
        <v>648</v>
      </c>
      <c r="B37" s="1429"/>
      <c r="C37" s="1582"/>
      <c r="D37" s="1582"/>
      <c r="E37" s="1582"/>
      <c r="F37" s="1582"/>
      <c r="G37" s="1582"/>
      <c r="H37" s="1582"/>
      <c r="I37" s="1582"/>
      <c r="J37" s="1582"/>
      <c r="K37" s="1582"/>
      <c r="L37" s="1585"/>
      <c r="M37" s="1575"/>
      <c r="N37" s="1594">
        <f>SUM(N36:N36)</f>
        <v>13905263</v>
      </c>
    </row>
    <row r="38" spans="1:14" s="307" customFormat="1" ht="13.5" customHeight="1" thickTop="1" x14ac:dyDescent="0.2">
      <c r="A38" s="438" t="s">
        <v>417</v>
      </c>
      <c r="B38" s="432">
        <v>714</v>
      </c>
      <c r="C38" s="1573">
        <v>9548</v>
      </c>
      <c r="D38" s="1573"/>
      <c r="E38" s="1573"/>
      <c r="F38" s="1573"/>
      <c r="G38" s="1573"/>
      <c r="H38" s="1573"/>
      <c r="I38" s="1573"/>
      <c r="J38" s="1574"/>
      <c r="K38" s="1573"/>
      <c r="L38" s="1586">
        <v>29323</v>
      </c>
      <c r="M38" s="1604"/>
      <c r="N38" s="1604"/>
    </row>
    <row r="39" spans="1:14" s="307" customFormat="1" ht="13.5" customHeight="1" x14ac:dyDescent="0.2">
      <c r="A39" s="438" t="s">
        <v>339</v>
      </c>
      <c r="B39" s="432">
        <v>730</v>
      </c>
      <c r="C39" s="1573">
        <f>343900-21349+77078</f>
        <v>399629</v>
      </c>
      <c r="D39" s="1573">
        <v>275908</v>
      </c>
      <c r="E39" s="1573">
        <v>135144</v>
      </c>
      <c r="F39" s="1573">
        <v>235144</v>
      </c>
      <c r="G39" s="1573">
        <v>162444</v>
      </c>
      <c r="H39" s="1573"/>
      <c r="I39" s="1573">
        <v>1985925</v>
      </c>
      <c r="J39" s="1574">
        <v>273829</v>
      </c>
      <c r="K39" s="1573">
        <v>55056</v>
      </c>
      <c r="L39" s="1573">
        <v>51438</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37858076</v>
      </c>
      <c r="N40" s="1604"/>
    </row>
    <row r="41" spans="1:14" ht="13.5" customHeight="1" thickBot="1" x14ac:dyDescent="0.25">
      <c r="A41" s="1426" t="s">
        <v>650</v>
      </c>
      <c r="B41" s="1405"/>
      <c r="C41" s="1594">
        <f>(SUM(C34,C37,C38,C39))</f>
        <v>420978</v>
      </c>
      <c r="D41" s="1594">
        <f t="shared" ref="D41:L41" si="2">SUM(D34,D37,D38:D39)</f>
        <v>275908</v>
      </c>
      <c r="E41" s="1594">
        <f t="shared" si="2"/>
        <v>135144</v>
      </c>
      <c r="F41" s="1594">
        <f t="shared" si="2"/>
        <v>235144</v>
      </c>
      <c r="G41" s="1594">
        <f t="shared" si="2"/>
        <v>162444</v>
      </c>
      <c r="H41" s="1594">
        <f t="shared" si="2"/>
        <v>0</v>
      </c>
      <c r="I41" s="1594">
        <f t="shared" si="2"/>
        <v>1985925</v>
      </c>
      <c r="J41" s="1594">
        <f t="shared" si="2"/>
        <v>273829</v>
      </c>
      <c r="K41" s="1594">
        <f t="shared" si="2"/>
        <v>55056</v>
      </c>
      <c r="L41" s="1594">
        <f t="shared" si="2"/>
        <v>301986</v>
      </c>
      <c r="M41" s="1594">
        <f>SUM(M40)</f>
        <v>37858076</v>
      </c>
      <c r="N41" s="1594">
        <f>SUM(N37)</f>
        <v>13905263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48" activePane="bottomLeft" state="frozen"/>
      <selection pane="bottomLeft" activeCell="J81" sqref="J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4923770</v>
      </c>
      <c r="D4" s="1606">
        <f>'Revenues 9-14'!D109</f>
        <v>1334762</v>
      </c>
      <c r="E4" s="1606">
        <f>'Revenues 9-14'!E109</f>
        <v>1317925</v>
      </c>
      <c r="F4" s="1606">
        <f>'Revenues 9-14'!F109</f>
        <v>431838</v>
      </c>
      <c r="G4" s="1606">
        <f>'Revenues 9-14'!G109</f>
        <v>484479</v>
      </c>
      <c r="H4" s="1606">
        <f>'Revenues 9-14'!H109</f>
        <v>21803</v>
      </c>
      <c r="I4" s="1606">
        <f>'Revenues 9-14'!I109</f>
        <v>85560</v>
      </c>
      <c r="J4" s="1606">
        <f>'Revenues 9-14'!J109</f>
        <v>1509120</v>
      </c>
      <c r="K4" s="1606">
        <f>'Revenues 9-14'!K109</f>
        <v>78195</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3474388</v>
      </c>
      <c r="D6" s="1607">
        <f>'Revenues 9-14'!D170</f>
        <v>50000</v>
      </c>
      <c r="E6" s="1607">
        <f>'Revenues 9-14'!E170</f>
        <v>0</v>
      </c>
      <c r="F6" s="1607">
        <f>'Revenues 9-14'!F170</f>
        <v>808888</v>
      </c>
      <c r="G6" s="1607">
        <f>'Revenues 9-14'!G170</f>
        <v>6874</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746001</v>
      </c>
      <c r="D7" s="1607">
        <f>'Revenues 9-14'!D267</f>
        <v>0</v>
      </c>
      <c r="E7" s="1607">
        <f>'Revenues 9-14'!E267</f>
        <v>0</v>
      </c>
      <c r="F7" s="1607">
        <f>'Revenues 9-14'!F267</f>
        <v>28606</v>
      </c>
      <c r="G7" s="1607">
        <f>'Revenues 9-14'!G267</f>
        <v>2608</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9144159</v>
      </c>
      <c r="D8" s="1594">
        <f t="shared" ref="D8:K8" si="0">SUM(D4:D7)</f>
        <v>1384762</v>
      </c>
      <c r="E8" s="1594">
        <f t="shared" si="0"/>
        <v>1317925</v>
      </c>
      <c r="F8" s="1594">
        <f t="shared" si="0"/>
        <v>1269332</v>
      </c>
      <c r="G8" s="1594">
        <f t="shared" si="0"/>
        <v>493961</v>
      </c>
      <c r="H8" s="1594">
        <f t="shared" si="0"/>
        <v>21803</v>
      </c>
      <c r="I8" s="1594">
        <f t="shared" si="0"/>
        <v>85560</v>
      </c>
      <c r="J8" s="1594">
        <f t="shared" si="0"/>
        <v>1509120</v>
      </c>
      <c r="K8" s="1594">
        <f t="shared" si="0"/>
        <v>78195</v>
      </c>
      <c r="L8" s="325"/>
    </row>
    <row r="9" spans="1:13" ht="15.75" thickTop="1" x14ac:dyDescent="0.2">
      <c r="A9" s="449" t="s">
        <v>1634</v>
      </c>
      <c r="B9" s="450">
        <v>3998</v>
      </c>
      <c r="C9" s="1586">
        <f>4518176+72609</f>
        <v>4590785</v>
      </c>
      <c r="D9" s="1613"/>
      <c r="E9" s="1586"/>
      <c r="F9" s="1586"/>
      <c r="G9" s="1614"/>
      <c r="H9" s="1586"/>
      <c r="I9" s="1609" t="s">
        <v>1159</v>
      </c>
      <c r="J9" s="1583"/>
      <c r="K9" s="1586"/>
      <c r="L9" s="325"/>
    </row>
    <row r="10" spans="1:13" s="452" customFormat="1" ht="13.5" thickBot="1" x14ac:dyDescent="0.25">
      <c r="A10" s="1426" t="s">
        <v>1163</v>
      </c>
      <c r="B10" s="1407"/>
      <c r="C10" s="1594">
        <f>SUM(C8:C9)</f>
        <v>13734944</v>
      </c>
      <c r="D10" s="1594">
        <f t="shared" ref="D10:K10" si="1">SUM(D8:D9)</f>
        <v>1384762</v>
      </c>
      <c r="E10" s="1594">
        <f t="shared" si="1"/>
        <v>1317925</v>
      </c>
      <c r="F10" s="1594">
        <f t="shared" si="1"/>
        <v>1269332</v>
      </c>
      <c r="G10" s="1594">
        <f t="shared" si="1"/>
        <v>493961</v>
      </c>
      <c r="H10" s="1594">
        <f t="shared" si="1"/>
        <v>21803</v>
      </c>
      <c r="I10" s="1594">
        <f t="shared" si="1"/>
        <v>85560</v>
      </c>
      <c r="J10" s="1594">
        <f t="shared" si="1"/>
        <v>1509120</v>
      </c>
      <c r="K10" s="1594">
        <f t="shared" si="1"/>
        <v>78195</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6555550</v>
      </c>
      <c r="D12" s="1616" t="s">
        <v>1159</v>
      </c>
      <c r="E12" s="1575" t="s">
        <v>1159</v>
      </c>
      <c r="F12" s="1575" t="s">
        <v>1159</v>
      </c>
      <c r="G12" s="1606">
        <f>'Expenditures 15-22'!K229</f>
        <v>166977</v>
      </c>
      <c r="H12" s="1617"/>
      <c r="I12" s="1575" t="s">
        <v>1159</v>
      </c>
      <c r="J12" s="1575" t="s">
        <v>1159</v>
      </c>
      <c r="K12" s="1617" t="s">
        <v>1159</v>
      </c>
      <c r="L12" s="325"/>
    </row>
    <row r="13" spans="1:13" ht="15.75" customHeight="1" x14ac:dyDescent="0.2">
      <c r="A13" s="1314" t="s">
        <v>454</v>
      </c>
      <c r="B13" s="1316">
        <v>2000</v>
      </c>
      <c r="C13" s="1607">
        <f>'Expenditures 15-22'!K74</f>
        <v>2158955</v>
      </c>
      <c r="D13" s="1607">
        <f>'Expenditures 15-22'!K129</f>
        <v>1267087</v>
      </c>
      <c r="E13" s="1576" t="s">
        <v>1159</v>
      </c>
      <c r="F13" s="1607">
        <f>'Expenditures 15-22'!K184</f>
        <v>946561</v>
      </c>
      <c r="G13" s="1607">
        <f>'Expenditures 15-22'!K279</f>
        <v>312547</v>
      </c>
      <c r="H13" s="1607">
        <f>'Expenditures 15-22'!K303</f>
        <v>1979435</v>
      </c>
      <c r="I13" s="1575" t="s">
        <v>1159</v>
      </c>
      <c r="J13" s="1607">
        <f>'Expenditures 15-22'!K330</f>
        <v>1253678</v>
      </c>
      <c r="K13" s="1618">
        <f>'Expenditures 15-22'!K352</f>
        <v>178598</v>
      </c>
      <c r="L13" s="325"/>
    </row>
    <row r="14" spans="1:13" ht="15.75" customHeight="1" x14ac:dyDescent="0.2">
      <c r="A14" s="1314" t="s">
        <v>446</v>
      </c>
      <c r="B14" s="1316">
        <v>3000</v>
      </c>
      <c r="C14" s="1607">
        <f>'Expenditures 15-22'!K75</f>
        <v>33733</v>
      </c>
      <c r="D14" s="1607">
        <f>'Expenditures 15-22'!K130</f>
        <v>0</v>
      </c>
      <c r="E14" s="1616" t="s">
        <v>1159</v>
      </c>
      <c r="F14" s="1607">
        <f>'Expenditures 15-22'!K185</f>
        <v>0</v>
      </c>
      <c r="G14" s="1607">
        <f>'Expenditures 15-22'!K280</f>
        <v>4506</v>
      </c>
      <c r="H14" s="1612"/>
      <c r="I14" s="1575" t="s">
        <v>1159</v>
      </c>
      <c r="J14" s="1575" t="s">
        <v>1159</v>
      </c>
      <c r="K14" s="1612" t="s">
        <v>1159</v>
      </c>
      <c r="L14" s="325"/>
    </row>
    <row r="15" spans="1:13" ht="15.75" customHeight="1" x14ac:dyDescent="0.2">
      <c r="A15" s="1314" t="s">
        <v>107</v>
      </c>
      <c r="B15" s="1316">
        <v>4000</v>
      </c>
      <c r="C15" s="1607">
        <f>'Expenditures 15-22'!K102</f>
        <v>394633</v>
      </c>
      <c r="D15" s="1607">
        <f>'Expenditures 15-22'!K139</f>
        <v>10536</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1310257</v>
      </c>
      <c r="F16" s="1607">
        <f>'Expenditures 15-22'!K208</f>
        <v>289949</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9142871</v>
      </c>
      <c r="D17" s="1594">
        <f t="shared" si="2"/>
        <v>1277623</v>
      </c>
      <c r="E17" s="1594">
        <f t="shared" si="2"/>
        <v>1310257</v>
      </c>
      <c r="F17" s="1594">
        <f t="shared" si="2"/>
        <v>1236510</v>
      </c>
      <c r="G17" s="1594">
        <f t="shared" si="2"/>
        <v>484030</v>
      </c>
      <c r="H17" s="1594">
        <f t="shared" si="2"/>
        <v>1979435</v>
      </c>
      <c r="I17" s="1575"/>
      <c r="J17" s="1594">
        <f>SUM(J12:J16)</f>
        <v>1253678</v>
      </c>
      <c r="K17" s="1594">
        <f>SUM(K12:K16)</f>
        <v>178598</v>
      </c>
      <c r="L17" s="325"/>
    </row>
    <row r="18" spans="1:12" ht="15" customHeight="1" thickTop="1" x14ac:dyDescent="0.2">
      <c r="A18" s="1430" t="s">
        <v>1635</v>
      </c>
      <c r="B18" s="1431">
        <v>4180</v>
      </c>
      <c r="C18" s="1606">
        <f t="shared" ref="C18:H18" si="3">C9</f>
        <v>4590785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13733656</v>
      </c>
      <c r="D19" s="1594">
        <f t="shared" si="4"/>
        <v>1277623</v>
      </c>
      <c r="E19" s="1594">
        <f t="shared" si="4"/>
        <v>1310257</v>
      </c>
      <c r="F19" s="1594">
        <f t="shared" si="4"/>
        <v>1236510</v>
      </c>
      <c r="G19" s="1594">
        <f t="shared" si="4"/>
        <v>484030</v>
      </c>
      <c r="H19" s="1594">
        <f t="shared" si="4"/>
        <v>1979435</v>
      </c>
      <c r="I19" s="1575"/>
      <c r="J19" s="1594">
        <f>SUM(J17:J18)</f>
        <v>1253678</v>
      </c>
      <c r="K19" s="1594">
        <f>SUM(K17:K18)</f>
        <v>178598</v>
      </c>
      <c r="L19" s="325"/>
    </row>
    <row r="20" spans="1:12" ht="16.5" thickTop="1" thickBot="1" x14ac:dyDescent="0.25">
      <c r="A20" s="2231" t="s">
        <v>1636</v>
      </c>
      <c r="B20" s="2232"/>
      <c r="C20" s="1622">
        <f>C8-C17</f>
        <v>1288</v>
      </c>
      <c r="D20" s="1622">
        <f t="shared" ref="D20:K20" si="5">D8-D17</f>
        <v>107139</v>
      </c>
      <c r="E20" s="1622">
        <f t="shared" si="5"/>
        <v>7668</v>
      </c>
      <c r="F20" s="1622">
        <f t="shared" si="5"/>
        <v>32822</v>
      </c>
      <c r="G20" s="1622">
        <f t="shared" si="5"/>
        <v>9931</v>
      </c>
      <c r="H20" s="1622">
        <f t="shared" si="5"/>
        <v>-1957632</v>
      </c>
      <c r="I20" s="1622">
        <f t="shared" si="5"/>
        <v>85560</v>
      </c>
      <c r="J20" s="1622">
        <f t="shared" si="5"/>
        <v>255442</v>
      </c>
      <c r="K20" s="1622">
        <f t="shared" si="5"/>
        <v>-100403</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v>275757</v>
      </c>
      <c r="D24" s="1582"/>
      <c r="E24" s="1582"/>
      <c r="F24" s="1582"/>
      <c r="G24" s="1582"/>
      <c r="H24" s="1582"/>
      <c r="I24" s="1582"/>
      <c r="J24" s="1582"/>
      <c r="K24" s="1582"/>
      <c r="L24" s="453"/>
    </row>
    <row r="25" spans="1:12" s="433" customFormat="1" ht="13.5" customHeight="1" x14ac:dyDescent="0.2">
      <c r="A25" s="1260" t="s">
        <v>1638</v>
      </c>
      <c r="B25" s="454">
        <v>7110</v>
      </c>
      <c r="C25" s="1574">
        <v>846</v>
      </c>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v>1850000</v>
      </c>
      <c r="J33" s="1574"/>
      <c r="K33" s="1574"/>
      <c r="L33" s="453"/>
    </row>
    <row r="34" spans="1:12" s="433" customFormat="1" x14ac:dyDescent="0.2">
      <c r="A34" s="1260" t="s">
        <v>994</v>
      </c>
      <c r="B34" s="454">
        <v>7220</v>
      </c>
      <c r="C34" s="1574"/>
      <c r="D34" s="1574"/>
      <c r="E34" s="1574"/>
      <c r="F34" s="1574"/>
      <c r="G34" s="1582"/>
      <c r="H34" s="1583"/>
      <c r="I34" s="1583">
        <v>1737</v>
      </c>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v>1160</v>
      </c>
      <c r="D36" s="1574">
        <v>57197</v>
      </c>
      <c r="E36" s="1574"/>
      <c r="F36" s="1574">
        <v>5350</v>
      </c>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277763</v>
      </c>
      <c r="D44" s="1624">
        <f t="shared" ref="D44:K44" si="6">SUM(D24:D43)</f>
        <v>57197</v>
      </c>
      <c r="E44" s="1624">
        <f t="shared" si="6"/>
        <v>0</v>
      </c>
      <c r="F44" s="1624">
        <f t="shared" si="6"/>
        <v>5350</v>
      </c>
      <c r="G44" s="1624">
        <f t="shared" si="6"/>
        <v>0</v>
      </c>
      <c r="H44" s="1624">
        <f t="shared" si="6"/>
        <v>0</v>
      </c>
      <c r="I44" s="1624">
        <f t="shared" si="6"/>
        <v>1851737</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276603</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276603</v>
      </c>
      <c r="J76" s="1624">
        <f t="shared" si="7"/>
        <v>0</v>
      </c>
      <c r="K76" s="1624">
        <f t="shared" si="7"/>
        <v>0</v>
      </c>
      <c r="L76" s="453"/>
    </row>
    <row r="77" spans="1:12" ht="14.25" thickTop="1" thickBot="1" x14ac:dyDescent="0.25">
      <c r="A77" s="2223" t="s">
        <v>1167</v>
      </c>
      <c r="B77" s="2224"/>
      <c r="C77" s="1624">
        <f t="shared" ref="C77:K77" si="8">C44-C76</f>
        <v>277763</v>
      </c>
      <c r="D77" s="1624">
        <f t="shared" si="8"/>
        <v>57197</v>
      </c>
      <c r="E77" s="1624">
        <f t="shared" si="8"/>
        <v>0</v>
      </c>
      <c r="F77" s="1624">
        <f t="shared" si="8"/>
        <v>5350</v>
      </c>
      <c r="G77" s="1624">
        <f t="shared" si="8"/>
        <v>0</v>
      </c>
      <c r="H77" s="1624">
        <f t="shared" si="8"/>
        <v>0</v>
      </c>
      <c r="I77" s="1624">
        <f t="shared" si="8"/>
        <v>1575134</v>
      </c>
      <c r="J77" s="1624">
        <f t="shared" si="8"/>
        <v>0</v>
      </c>
      <c r="K77" s="1624">
        <f t="shared" si="8"/>
        <v>0</v>
      </c>
      <c r="L77" s="325"/>
    </row>
    <row r="78" spans="1:12" ht="21.75" customHeight="1" thickTop="1" thickBot="1" x14ac:dyDescent="0.25">
      <c r="A78" s="2227" t="s">
        <v>593</v>
      </c>
      <c r="B78" s="2228"/>
      <c r="C78" s="1629">
        <f t="shared" ref="C78:K78" si="9">C20+C77</f>
        <v>279051</v>
      </c>
      <c r="D78" s="1629">
        <f t="shared" si="9"/>
        <v>164336</v>
      </c>
      <c r="E78" s="1629">
        <f t="shared" si="9"/>
        <v>7668</v>
      </c>
      <c r="F78" s="1629">
        <f t="shared" si="9"/>
        <v>38172</v>
      </c>
      <c r="G78" s="1629">
        <f t="shared" si="9"/>
        <v>9931</v>
      </c>
      <c r="H78" s="1629">
        <f t="shared" si="9"/>
        <v>-1957632</v>
      </c>
      <c r="I78" s="1629">
        <f t="shared" si="9"/>
        <v>1660694</v>
      </c>
      <c r="J78" s="1629">
        <f t="shared" si="9"/>
        <v>255442</v>
      </c>
      <c r="K78" s="1629">
        <f t="shared" si="9"/>
        <v>-100403</v>
      </c>
      <c r="L78" s="457"/>
    </row>
    <row r="79" spans="1:12" ht="13.5" thickTop="1" x14ac:dyDescent="0.2">
      <c r="A79" s="1844" t="str">
        <f>"Fund Balances - July 1, "&amp;'AFR20'!E2-1</f>
        <v>Fund Balances - July 1, 2019</v>
      </c>
      <c r="B79" s="458"/>
      <c r="C79" s="1583">
        <v>143419</v>
      </c>
      <c r="D79" s="1630">
        <v>153241</v>
      </c>
      <c r="E79" s="1630">
        <v>128076</v>
      </c>
      <c r="F79" s="1630">
        <v>196972</v>
      </c>
      <c r="G79" s="1630">
        <v>152513</v>
      </c>
      <c r="H79" s="1630">
        <v>1885619</v>
      </c>
      <c r="I79" s="1630">
        <v>325231</v>
      </c>
      <c r="J79" s="1630">
        <v>37673</v>
      </c>
      <c r="K79" s="1630">
        <v>155459</v>
      </c>
      <c r="L79" s="325"/>
    </row>
    <row r="80" spans="1:12" x14ac:dyDescent="0.2">
      <c r="A80" s="2233" t="s">
        <v>1772</v>
      </c>
      <c r="B80" s="2234"/>
      <c r="C80" s="1574">
        <v>-13293</v>
      </c>
      <c r="D80" s="1574">
        <v>-41669</v>
      </c>
      <c r="E80" s="1574">
        <v>-600</v>
      </c>
      <c r="F80" s="1574"/>
      <c r="G80" s="1574"/>
      <c r="H80" s="1574">
        <v>72013</v>
      </c>
      <c r="I80" s="1574"/>
      <c r="J80" s="1574">
        <v>-19286</v>
      </c>
      <c r="K80" s="1574"/>
      <c r="L80" s="325"/>
    </row>
    <row r="81" spans="1:12" ht="13.5" thickBot="1" x14ac:dyDescent="0.25">
      <c r="A81" s="2225" t="str">
        <f>"Fund Balances - June 30, "&amp;'AFR20'!E2</f>
        <v>Fund Balances - June 30, 2020</v>
      </c>
      <c r="B81" s="2226"/>
      <c r="C81" s="1594">
        <f>(SUM(C78:C80))</f>
        <v>409177</v>
      </c>
      <c r="D81" s="1594">
        <f>SUM(D78:D80)</f>
        <v>275908</v>
      </c>
      <c r="E81" s="1594">
        <f t="shared" ref="E81:K81" si="10">SUM(E78:E80)</f>
        <v>135144</v>
      </c>
      <c r="F81" s="1594">
        <f t="shared" si="10"/>
        <v>235144</v>
      </c>
      <c r="G81" s="1594">
        <f t="shared" si="10"/>
        <v>162444</v>
      </c>
      <c r="H81" s="1594">
        <f t="shared" si="10"/>
        <v>0</v>
      </c>
      <c r="I81" s="1594">
        <f t="shared" si="10"/>
        <v>1985925</v>
      </c>
      <c r="J81" s="1594">
        <f t="shared" si="10"/>
        <v>273829</v>
      </c>
      <c r="K81" s="1594">
        <f t="shared" si="10"/>
        <v>55056</v>
      </c>
      <c r="L81" s="325"/>
    </row>
    <row r="82" spans="1:12" ht="0.75" customHeight="1" thickTop="1" thickBot="1" x14ac:dyDescent="0.25">
      <c r="A82" s="459" t="s">
        <v>340</v>
      </c>
      <c r="B82" s="460"/>
      <c r="C82" s="461">
        <f>(C81-C79)</f>
        <v>265758</v>
      </c>
      <c r="D82" s="461">
        <f t="shared" ref="D82:K82" si="11">(D81-D79)</f>
        <v>122667</v>
      </c>
      <c r="E82" s="461">
        <f t="shared" si="11"/>
        <v>7068</v>
      </c>
      <c r="F82" s="461">
        <f t="shared" si="11"/>
        <v>38172</v>
      </c>
      <c r="G82" s="461">
        <f t="shared" si="11"/>
        <v>9931</v>
      </c>
      <c r="H82" s="461">
        <f t="shared" si="11"/>
        <v>-1885619</v>
      </c>
      <c r="I82" s="461">
        <f t="shared" si="11"/>
        <v>1660694</v>
      </c>
      <c r="J82" s="461">
        <f t="shared" si="11"/>
        <v>236156</v>
      </c>
      <c r="K82" s="461">
        <f t="shared" si="11"/>
        <v>-100403</v>
      </c>
    </row>
    <row r="83" spans="1:12" ht="14.25" hidden="1" thickTop="1" thickBot="1" x14ac:dyDescent="0.25">
      <c r="A83" s="462" t="s">
        <v>341</v>
      </c>
      <c r="B83" s="428"/>
      <c r="C83" s="463">
        <f>C82/C81</f>
        <v>0.64949398426597782</v>
      </c>
      <c r="D83" s="463">
        <f t="shared" ref="D83:K83" si="12">D82/D81</f>
        <v>0.44459385012395436</v>
      </c>
      <c r="E83" s="463">
        <f t="shared" si="12"/>
        <v>5.2299769135144732E-2</v>
      </c>
      <c r="F83" s="463">
        <f t="shared" si="12"/>
        <v>0.16233456945531249</v>
      </c>
      <c r="G83" s="463">
        <f t="shared" si="12"/>
        <v>6.1134914185811726E-2</v>
      </c>
      <c r="H83" s="463" t="e">
        <f t="shared" si="12"/>
        <v>#DIV/0!</v>
      </c>
      <c r="I83" s="463">
        <f t="shared" si="12"/>
        <v>0.8362319825773884</v>
      </c>
      <c r="J83" s="463">
        <f t="shared" si="12"/>
        <v>0.86242143819683081</v>
      </c>
      <c r="K83" s="463">
        <f t="shared" si="12"/>
        <v>-1.8236522813135716</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225"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4111082</v>
      </c>
      <c r="D5" s="1586">
        <v>757263</v>
      </c>
      <c r="E5" s="1573">
        <v>1311906</v>
      </c>
      <c r="F5" s="1631">
        <v>378630</v>
      </c>
      <c r="G5" s="1573">
        <f>1521+248911+939+228990-250432</f>
        <v>229929</v>
      </c>
      <c r="H5" s="1573"/>
      <c r="I5" s="1573">
        <f>426+75301</f>
        <v>75727</v>
      </c>
      <c r="J5" s="1574">
        <v>1500110</v>
      </c>
      <c r="K5" s="1573">
        <v>75726</v>
      </c>
    </row>
    <row r="6" spans="1:12" ht="15" x14ac:dyDescent="0.2">
      <c r="A6" s="427" t="s">
        <v>1643</v>
      </c>
      <c r="B6" s="429">
        <v>1130</v>
      </c>
      <c r="C6" s="1573">
        <v>64764</v>
      </c>
      <c r="D6" s="1573">
        <v>10961</v>
      </c>
      <c r="E6" s="1580"/>
      <c r="F6" s="1580"/>
      <c r="G6" s="1575"/>
      <c r="H6" s="1575"/>
      <c r="I6" s="1575"/>
      <c r="J6" s="1575"/>
      <c r="K6" s="1575"/>
    </row>
    <row r="7" spans="1:12" x14ac:dyDescent="0.2">
      <c r="A7" s="427" t="s">
        <v>110</v>
      </c>
      <c r="B7" s="471">
        <v>1140</v>
      </c>
      <c r="C7" s="1573">
        <v>60581</v>
      </c>
      <c r="D7" s="1573"/>
      <c r="E7" s="1575"/>
      <c r="F7" s="1574"/>
      <c r="G7" s="1574"/>
      <c r="H7" s="1574"/>
      <c r="I7" s="1575"/>
      <c r="J7" s="1575"/>
      <c r="K7" s="1575"/>
    </row>
    <row r="8" spans="1:12" x14ac:dyDescent="0.2">
      <c r="A8" s="427" t="s">
        <v>410</v>
      </c>
      <c r="B8" s="429">
        <v>1150</v>
      </c>
      <c r="C8" s="1580"/>
      <c r="D8" s="1580"/>
      <c r="E8" s="1582"/>
      <c r="F8" s="1582"/>
      <c r="G8" s="1586">
        <f>1521+248911</f>
        <v>250432</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4236427</v>
      </c>
      <c r="D12" s="1633">
        <f t="shared" si="0"/>
        <v>768224</v>
      </c>
      <c r="E12" s="1633">
        <f t="shared" si="0"/>
        <v>1311906</v>
      </c>
      <c r="F12" s="1633">
        <f t="shared" si="0"/>
        <v>378630</v>
      </c>
      <c r="G12" s="1633">
        <f t="shared" si="0"/>
        <v>480361</v>
      </c>
      <c r="H12" s="1633">
        <f t="shared" si="0"/>
        <v>0</v>
      </c>
      <c r="I12" s="1633">
        <f t="shared" si="0"/>
        <v>75727</v>
      </c>
      <c r="J12" s="1633">
        <f t="shared" si="0"/>
        <v>1500110</v>
      </c>
      <c r="K12" s="1594">
        <f t="shared" si="0"/>
        <v>75726</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1075</v>
      </c>
      <c r="D14" s="1573">
        <v>213</v>
      </c>
      <c r="E14" s="1573">
        <v>200</v>
      </c>
      <c r="F14" s="1573">
        <v>97</v>
      </c>
      <c r="G14" s="1573">
        <f>61+64</f>
        <v>125</v>
      </c>
      <c r="H14" s="1573"/>
      <c r="I14" s="1573">
        <v>20</v>
      </c>
      <c r="J14" s="1574">
        <v>338</v>
      </c>
      <c r="K14" s="1573">
        <v>20</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v>477553</v>
      </c>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1075</v>
      </c>
      <c r="D18" s="1635">
        <f t="shared" ref="D18:K18" si="1">SUM(D14:D17)</f>
        <v>477766</v>
      </c>
      <c r="E18" s="1635">
        <f t="shared" si="1"/>
        <v>200</v>
      </c>
      <c r="F18" s="1635">
        <f t="shared" si="1"/>
        <v>97</v>
      </c>
      <c r="G18" s="1635">
        <f t="shared" si="1"/>
        <v>125</v>
      </c>
      <c r="H18" s="1635">
        <f t="shared" si="1"/>
        <v>0</v>
      </c>
      <c r="I18" s="1635">
        <f t="shared" si="1"/>
        <v>20</v>
      </c>
      <c r="J18" s="1635">
        <f t="shared" si="1"/>
        <v>338</v>
      </c>
      <c r="K18" s="1636">
        <f t="shared" si="1"/>
        <v>20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v>270774</v>
      </c>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270774</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v>49588</v>
      </c>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49588</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14485</v>
      </c>
      <c r="D65" s="1573">
        <v>5223</v>
      </c>
      <c r="E65" s="1573">
        <v>5819</v>
      </c>
      <c r="F65" s="1574">
        <v>2426</v>
      </c>
      <c r="G65" s="1573">
        <f>767+3228-2</f>
        <v>3993</v>
      </c>
      <c r="H65" s="1573">
        <v>4208</v>
      </c>
      <c r="I65" s="1573">
        <v>9813</v>
      </c>
      <c r="J65" s="1574">
        <v>8672</v>
      </c>
      <c r="K65" s="1573">
        <v>2449</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14485</v>
      </c>
      <c r="D67" s="1594">
        <f t="shared" ref="D67:K67" si="2">SUM(D65:D66)</f>
        <v>5223</v>
      </c>
      <c r="E67" s="1594">
        <f t="shared" si="2"/>
        <v>5819</v>
      </c>
      <c r="F67" s="1594">
        <f t="shared" si="2"/>
        <v>2426</v>
      </c>
      <c r="G67" s="1594">
        <f t="shared" si="2"/>
        <v>3993</v>
      </c>
      <c r="H67" s="1594">
        <f t="shared" si="2"/>
        <v>4208</v>
      </c>
      <c r="I67" s="1594">
        <f t="shared" si="2"/>
        <v>9813</v>
      </c>
      <c r="J67" s="1594">
        <f t="shared" si="2"/>
        <v>8672</v>
      </c>
      <c r="K67" s="1594">
        <f t="shared" si="2"/>
        <v>2449</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99830</v>
      </c>
      <c r="D69" s="1575"/>
      <c r="E69" s="1575"/>
      <c r="F69" s="1575"/>
      <c r="G69" s="1575"/>
      <c r="H69" s="1575"/>
      <c r="I69" s="1575"/>
      <c r="J69" s="1575"/>
      <c r="K69" s="1575"/>
    </row>
    <row r="70" spans="1:11" ht="12.75" customHeight="1" x14ac:dyDescent="0.2">
      <c r="A70" s="427" t="s">
        <v>990</v>
      </c>
      <c r="B70" s="429">
        <v>1612</v>
      </c>
      <c r="C70" s="1632">
        <v>14450</v>
      </c>
      <c r="D70" s="1575"/>
      <c r="E70" s="1575"/>
      <c r="F70" s="1575"/>
      <c r="G70" s="1575"/>
      <c r="H70" s="1575"/>
      <c r="I70" s="1575"/>
      <c r="J70" s="1575"/>
      <c r="K70" s="1575"/>
    </row>
    <row r="71" spans="1:11" ht="12.75" customHeight="1" x14ac:dyDescent="0.2">
      <c r="A71" s="427" t="s">
        <v>271</v>
      </c>
      <c r="B71" s="429">
        <v>1613</v>
      </c>
      <c r="C71" s="1632">
        <v>44643</v>
      </c>
      <c r="D71" s="1575"/>
      <c r="E71" s="1575"/>
      <c r="F71" s="1575"/>
      <c r="G71" s="1575"/>
      <c r="H71" s="1575"/>
      <c r="I71" s="1575"/>
      <c r="J71" s="1575"/>
      <c r="K71" s="1575"/>
    </row>
    <row r="72" spans="1:11" ht="12.75" customHeight="1" x14ac:dyDescent="0.2">
      <c r="A72" s="427" t="s">
        <v>24</v>
      </c>
      <c r="B72" s="429">
        <v>1614</v>
      </c>
      <c r="C72" s="1632">
        <v>13061</v>
      </c>
      <c r="D72" s="1575"/>
      <c r="E72" s="1575"/>
      <c r="F72" s="1575"/>
      <c r="G72" s="1575"/>
      <c r="H72" s="1575"/>
      <c r="I72" s="1575"/>
      <c r="J72" s="1575"/>
      <c r="K72" s="1575"/>
    </row>
    <row r="73" spans="1:11" ht="12.75" customHeight="1" x14ac:dyDescent="0.2">
      <c r="A73" s="427" t="s">
        <v>991</v>
      </c>
      <c r="B73" s="429">
        <v>1620</v>
      </c>
      <c r="C73" s="1632">
        <v>12480</v>
      </c>
      <c r="D73" s="1575"/>
      <c r="E73" s="1575"/>
      <c r="F73" s="1575"/>
      <c r="G73" s="1575"/>
      <c r="H73" s="1575"/>
      <c r="I73" s="1575"/>
      <c r="J73" s="1575"/>
      <c r="K73" s="1575"/>
    </row>
    <row r="74" spans="1:11" ht="12.75" customHeight="1" x14ac:dyDescent="0.2">
      <c r="A74" s="427" t="s">
        <v>25</v>
      </c>
      <c r="B74" s="429">
        <v>1690</v>
      </c>
      <c r="C74" s="1632">
        <v>7073</v>
      </c>
      <c r="D74" s="1575"/>
      <c r="E74" s="1575"/>
      <c r="F74" s="1575"/>
      <c r="G74" s="1575"/>
      <c r="H74" s="1575"/>
      <c r="I74" s="1575"/>
      <c r="J74" s="1575"/>
      <c r="K74" s="1575"/>
    </row>
    <row r="75" spans="1:11" ht="12.75" customHeight="1" thickBot="1" x14ac:dyDescent="0.25">
      <c r="A75" s="1406" t="s">
        <v>544</v>
      </c>
      <c r="B75" s="1407"/>
      <c r="C75" s="1594">
        <f>SUM(C69:C74)</f>
        <v>191537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39415</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55713</v>
      </c>
      <c r="D79" s="1573"/>
      <c r="E79" s="1575"/>
      <c r="F79" s="1575"/>
      <c r="G79" s="1575"/>
      <c r="H79" s="1575"/>
      <c r="I79" s="1575"/>
      <c r="J79" s="1575"/>
      <c r="K79" s="1575"/>
    </row>
    <row r="80" spans="1:11" ht="12.75" customHeight="1" x14ac:dyDescent="0.2">
      <c r="A80" s="427" t="s">
        <v>547</v>
      </c>
      <c r="B80" s="429">
        <v>1730</v>
      </c>
      <c r="C80" s="1632">
        <v>4705</v>
      </c>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99833</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53217</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53217</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1860</v>
      </c>
      <c r="E95" s="1617"/>
      <c r="F95" s="1617"/>
      <c r="G95" s="1617"/>
      <c r="H95" s="1617"/>
      <c r="I95" s="1617"/>
      <c r="J95" s="1617"/>
      <c r="K95" s="1617"/>
    </row>
    <row r="96" spans="1:11" ht="12.75" customHeight="1" x14ac:dyDescent="0.2">
      <c r="A96" s="427" t="s">
        <v>388</v>
      </c>
      <c r="B96" s="429">
        <v>1920</v>
      </c>
      <c r="C96" s="1632">
        <v>32272</v>
      </c>
      <c r="D96" s="1632"/>
      <c r="E96" s="1584"/>
      <c r="F96" s="1583"/>
      <c r="G96" s="1583"/>
      <c r="H96" s="1583">
        <v>17595</v>
      </c>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v>897</v>
      </c>
      <c r="G98" s="1612"/>
      <c r="H98" s="1612"/>
      <c r="I98" s="1610"/>
      <c r="J98" s="1612"/>
      <c r="K98" s="1612"/>
    </row>
    <row r="99" spans="1:12" ht="12.75" customHeight="1" x14ac:dyDescent="0.2">
      <c r="A99" s="427" t="s">
        <v>816</v>
      </c>
      <c r="B99" s="429">
        <v>1950</v>
      </c>
      <c r="C99" s="1598">
        <v>1159</v>
      </c>
      <c r="D99" s="1573"/>
      <c r="E99" s="1573"/>
      <c r="F99" s="1573"/>
      <c r="G99" s="1573"/>
      <c r="H99" s="1573"/>
      <c r="I99" s="1575"/>
      <c r="J99" s="1574"/>
      <c r="K99" s="1573"/>
    </row>
    <row r="100" spans="1:12" ht="12.75" customHeight="1" x14ac:dyDescent="0.2">
      <c r="A100" s="427" t="s">
        <v>243</v>
      </c>
      <c r="B100" s="429">
        <v>1960</v>
      </c>
      <c r="C100" s="1598"/>
      <c r="D100" s="1598">
        <v>50329</v>
      </c>
      <c r="E100" s="1598"/>
      <c r="F100" s="1598"/>
      <c r="G100" s="1598"/>
      <c r="H100" s="1598"/>
      <c r="I100" s="1574"/>
      <c r="J100" s="1598"/>
      <c r="K100" s="1574"/>
    </row>
    <row r="101" spans="1:12" ht="12.75" customHeight="1" x14ac:dyDescent="0.2">
      <c r="A101" s="427" t="s">
        <v>244</v>
      </c>
      <c r="B101" s="429">
        <v>1970</v>
      </c>
      <c r="C101" s="1598">
        <v>7138</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15853</v>
      </c>
      <c r="D107" s="1573">
        <v>31360</v>
      </c>
      <c r="E107" s="1573"/>
      <c r="F107" s="1573">
        <v>200</v>
      </c>
      <c r="G107" s="1573"/>
      <c r="H107" s="1573"/>
      <c r="I107" s="1573"/>
      <c r="J107" s="1574"/>
      <c r="K107" s="1573"/>
    </row>
    <row r="108" spans="1:12" ht="12.75" customHeight="1" thickBot="1" x14ac:dyDescent="0.25">
      <c r="A108" s="1406" t="s">
        <v>484</v>
      </c>
      <c r="B108" s="1408"/>
      <c r="C108" s="1633">
        <f>SUM(C95:C107)</f>
        <v>56422</v>
      </c>
      <c r="D108" s="1633">
        <f t="shared" ref="D108:K108" si="3">SUM(D95:D107)</f>
        <v>83549</v>
      </c>
      <c r="E108" s="1633">
        <f t="shared" si="3"/>
        <v>0</v>
      </c>
      <c r="F108" s="1633">
        <f t="shared" si="3"/>
        <v>1097</v>
      </c>
      <c r="G108" s="1633">
        <f t="shared" si="3"/>
        <v>0</v>
      </c>
      <c r="H108" s="1633">
        <f t="shared" si="3"/>
        <v>17595</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4923770</v>
      </c>
      <c r="D109" s="1641">
        <f t="shared" si="4"/>
        <v>1334762</v>
      </c>
      <c r="E109" s="1641">
        <f t="shared" si="4"/>
        <v>1317925</v>
      </c>
      <c r="F109" s="1641">
        <f t="shared" si="4"/>
        <v>431838</v>
      </c>
      <c r="G109" s="1641">
        <f t="shared" si="4"/>
        <v>484479</v>
      </c>
      <c r="H109" s="1641">
        <f t="shared" si="4"/>
        <v>21803</v>
      </c>
      <c r="I109" s="1641">
        <f t="shared" si="4"/>
        <v>85560</v>
      </c>
      <c r="J109" s="1641">
        <f t="shared" si="4"/>
        <v>1509120</v>
      </c>
      <c r="K109" s="1629">
        <f t="shared" si="4"/>
        <v>78195</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2976315</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2976315</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194817</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194817</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18806</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v>21551</v>
      </c>
      <c r="D140" s="1573"/>
      <c r="E140" s="1640"/>
      <c r="F140" s="1582"/>
      <c r="G140" s="1574"/>
      <c r="H140" s="1575"/>
      <c r="I140" s="1575"/>
      <c r="J140" s="1575"/>
      <c r="K140" s="1575"/>
    </row>
    <row r="141" spans="1:11" ht="12.75" customHeight="1" thickBot="1" x14ac:dyDescent="0.25">
      <c r="A141" s="1406" t="s">
        <v>599</v>
      </c>
      <c r="B141" s="1414"/>
      <c r="C141" s="1633">
        <f>SUM(C134:C140)</f>
        <v>40357</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3060</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10282</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510808</v>
      </c>
      <c r="G152" s="1574"/>
      <c r="H152" s="1575"/>
      <c r="I152" s="1575"/>
      <c r="J152" s="1575"/>
      <c r="K152" s="1575"/>
    </row>
    <row r="153" spans="1:11" ht="12.75" customHeight="1" x14ac:dyDescent="0.2">
      <c r="A153" s="427" t="s">
        <v>1048</v>
      </c>
      <c r="B153" s="478">
        <v>3510</v>
      </c>
      <c r="C153" s="1632"/>
      <c r="D153" s="1573"/>
      <c r="E153" s="1640"/>
      <c r="F153" s="1573">
        <v>282690</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793498</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248779</v>
      </c>
      <c r="D159" s="1653"/>
      <c r="E159" s="1640"/>
      <c r="F159" s="1651">
        <v>15390</v>
      </c>
      <c r="G159" s="1651">
        <v>6874</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778</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498073</v>
      </c>
      <c r="D169" s="1658">
        <f t="shared" si="6"/>
        <v>50000</v>
      </c>
      <c r="E169" s="1658">
        <f t="shared" si="6"/>
        <v>0</v>
      </c>
      <c r="F169" s="1658">
        <f t="shared" si="6"/>
        <v>808888</v>
      </c>
      <c r="G169" s="1658">
        <f t="shared" si="6"/>
        <v>6874</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3474388</v>
      </c>
      <c r="D170" s="1641">
        <f t="shared" si="7"/>
        <v>50000</v>
      </c>
      <c r="E170" s="1641">
        <f t="shared" si="7"/>
        <v>0</v>
      </c>
      <c r="F170" s="1641">
        <f t="shared" si="7"/>
        <v>808888</v>
      </c>
      <c r="G170" s="1641">
        <f t="shared" si="7"/>
        <v>6874</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161894</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45258</v>
      </c>
      <c r="D193" s="1575"/>
      <c r="E193" s="1640"/>
      <c r="F193" s="1575"/>
      <c r="G193" s="1664"/>
      <c r="H193" s="1575"/>
      <c r="I193" s="1575"/>
      <c r="J193" s="1575"/>
      <c r="K193" s="1575"/>
    </row>
    <row r="194" spans="1:11" ht="12.75" customHeight="1" x14ac:dyDescent="0.2">
      <c r="A194" s="427" t="s">
        <v>1434</v>
      </c>
      <c r="B194" s="429">
        <v>4225</v>
      </c>
      <c r="C194" s="1632">
        <v>78726</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285878</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245029</v>
      </c>
      <c r="D200" s="1573"/>
      <c r="E200" s="1575"/>
      <c r="F200" s="1573"/>
      <c r="G200" s="1573">
        <v>1156</v>
      </c>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245029</v>
      </c>
      <c r="D204" s="1633">
        <f>SUM(D200:D203)</f>
        <v>0</v>
      </c>
      <c r="E204" s="1575"/>
      <c r="F204" s="1633">
        <f>SUM(F200:F203)</f>
        <v>0</v>
      </c>
      <c r="G204" s="1633">
        <f>SUM(G200:G203)</f>
        <v>1156</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29740</v>
      </c>
      <c r="D206" s="1573"/>
      <c r="E206" s="1575"/>
      <c r="F206" s="1573"/>
      <c r="G206" s="1573"/>
      <c r="H206" s="1575"/>
      <c r="I206" s="1575"/>
      <c r="J206" s="1575"/>
      <c r="K206" s="1575"/>
    </row>
    <row r="207" spans="1:11" ht="12.75" customHeight="1" x14ac:dyDescent="0.2">
      <c r="A207" s="427" t="s">
        <v>1436</v>
      </c>
      <c r="B207" s="429">
        <v>4421</v>
      </c>
      <c r="C207" s="1632">
        <v>12504</v>
      </c>
      <c r="D207" s="1573"/>
      <c r="E207" s="1575"/>
      <c r="F207" s="1573">
        <v>5106</v>
      </c>
      <c r="G207" s="1573">
        <v>1426</v>
      </c>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42244</v>
      </c>
      <c r="D209" s="1633">
        <f>SUM(D206:D208)</f>
        <v>0</v>
      </c>
      <c r="E209" s="1575" t="s">
        <v>1159</v>
      </c>
      <c r="F209" s="1633">
        <f>SUM(F206:F208)</f>
        <v>5106</v>
      </c>
      <c r="G209" s="1633">
        <f>SUM(G206:G208)</f>
        <v>1426</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v>16018</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16018</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41551</v>
      </c>
      <c r="D259" s="1651"/>
      <c r="E259" s="1575"/>
      <c r="F259" s="1651"/>
      <c r="G259" s="1651">
        <v>26</v>
      </c>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6734</v>
      </c>
      <c r="D263" s="1651"/>
      <c r="E263" s="1575"/>
      <c r="F263" s="1651">
        <v>10000</v>
      </c>
      <c r="G263" s="1651"/>
      <c r="H263" s="1575"/>
      <c r="I263" s="1575"/>
      <c r="J263" s="1575"/>
      <c r="K263" s="1575"/>
    </row>
    <row r="264" spans="1:11" ht="12.75" customHeight="1" thickTop="1" thickBot="1" x14ac:dyDescent="0.25">
      <c r="A264" s="427" t="s">
        <v>374</v>
      </c>
      <c r="B264" s="429">
        <v>4992</v>
      </c>
      <c r="C264" s="1650">
        <v>89628</v>
      </c>
      <c r="D264" s="1651"/>
      <c r="E264" s="1575"/>
      <c r="F264" s="1651">
        <v>13500</v>
      </c>
      <c r="G264" s="1651"/>
      <c r="H264" s="1575"/>
      <c r="I264" s="1575"/>
      <c r="J264" s="1575"/>
      <c r="K264" s="1575"/>
    </row>
    <row r="265" spans="1:11" s="489" customFormat="1" ht="12.75" customHeight="1" thickTop="1" thickBot="1" x14ac:dyDescent="0.25">
      <c r="A265" s="479" t="s">
        <v>75</v>
      </c>
      <c r="B265" s="475">
        <v>4998</v>
      </c>
      <c r="C265" s="1650">
        <v>18919</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746001</v>
      </c>
      <c r="D266" s="1641">
        <f t="shared" si="10"/>
        <v>0</v>
      </c>
      <c r="E266" s="1641">
        <f t="shared" si="10"/>
        <v>0</v>
      </c>
      <c r="F266" s="1641">
        <f t="shared" si="10"/>
        <v>28606</v>
      </c>
      <c r="G266" s="1641">
        <f t="shared" si="10"/>
        <v>2608</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746001</v>
      </c>
      <c r="D267" s="1641">
        <f>SUM(D175,D181,D266)</f>
        <v>0</v>
      </c>
      <c r="E267" s="1641">
        <f>SUM(E175,E266)</f>
        <v>0</v>
      </c>
      <c r="F267" s="1641">
        <f t="shared" ref="F267:K267" si="11">SUM(F175,F181,F266)</f>
        <v>28606</v>
      </c>
      <c r="G267" s="1641">
        <f t="shared" si="11"/>
        <v>2608</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9144159</v>
      </c>
      <c r="D268" s="1641">
        <f t="shared" si="12"/>
        <v>1384762</v>
      </c>
      <c r="E268" s="1641">
        <f t="shared" si="12"/>
        <v>1317925</v>
      </c>
      <c r="F268" s="1641">
        <f t="shared" si="12"/>
        <v>1269332</v>
      </c>
      <c r="G268" s="1641">
        <f t="shared" si="12"/>
        <v>493961</v>
      </c>
      <c r="H268" s="1641">
        <f t="shared" si="12"/>
        <v>21803</v>
      </c>
      <c r="I268" s="1641">
        <f t="shared" si="12"/>
        <v>85560</v>
      </c>
      <c r="J268" s="1641">
        <f t="shared" si="12"/>
        <v>1509120</v>
      </c>
      <c r="K268" s="1629">
        <f t="shared" si="12"/>
        <v>78195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78" activePane="bottomLeft" state="frozen"/>
      <selection pane="bottomLeft" activeCell="E328" sqref="E32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3343271</v>
      </c>
      <c r="D5" s="1573">
        <v>361589</v>
      </c>
      <c r="E5" s="1573">
        <v>27284</v>
      </c>
      <c r="F5" s="1573">
        <v>79454</v>
      </c>
      <c r="G5" s="1573">
        <v>3368</v>
      </c>
      <c r="H5" s="1573"/>
      <c r="I5" s="1574"/>
      <c r="J5" s="1574"/>
      <c r="K5" s="1672">
        <f>SUM(C5:J5)</f>
        <v>3814966</v>
      </c>
      <c r="L5" s="1573">
        <v>3896185</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166863</v>
      </c>
      <c r="D7" s="1574">
        <v>15763</v>
      </c>
      <c r="E7" s="1574">
        <v>2190</v>
      </c>
      <c r="F7" s="1574">
        <v>10322</v>
      </c>
      <c r="G7" s="1574"/>
      <c r="H7" s="1574"/>
      <c r="I7" s="1574"/>
      <c r="J7" s="1574"/>
      <c r="K7" s="1672">
        <f t="shared" ref="K7:K32" si="0">SUM(C7:J7)</f>
        <v>195138</v>
      </c>
      <c r="L7" s="1573">
        <v>189744</v>
      </c>
    </row>
    <row r="8" spans="1:14" x14ac:dyDescent="0.2">
      <c r="A8" s="1274" t="s">
        <v>163</v>
      </c>
      <c r="B8" s="503">
        <v>1200</v>
      </c>
      <c r="C8" s="1573">
        <v>1180046</v>
      </c>
      <c r="D8" s="1573">
        <v>85877</v>
      </c>
      <c r="E8" s="1573">
        <v>17102</v>
      </c>
      <c r="F8" s="1573">
        <v>42014</v>
      </c>
      <c r="G8" s="1573">
        <v>1722</v>
      </c>
      <c r="H8" s="1573"/>
      <c r="I8" s="1574"/>
      <c r="J8" s="1574"/>
      <c r="K8" s="1672">
        <f t="shared" si="0"/>
        <v>1326761</v>
      </c>
      <c r="L8" s="1573">
        <v>1421172</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99424</v>
      </c>
      <c r="D10" s="1573">
        <v>12445</v>
      </c>
      <c r="E10" s="1573">
        <v>9975</v>
      </c>
      <c r="F10" s="1573">
        <v>53188</v>
      </c>
      <c r="G10" s="1573">
        <v>8541</v>
      </c>
      <c r="H10" s="1573"/>
      <c r="I10" s="1574"/>
      <c r="J10" s="1574"/>
      <c r="K10" s="1672">
        <f t="shared" si="0"/>
        <v>183573</v>
      </c>
      <c r="L10" s="1573">
        <v>146697</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206066</v>
      </c>
      <c r="D13" s="1573">
        <v>25021</v>
      </c>
      <c r="E13" s="1573">
        <v>3655</v>
      </c>
      <c r="F13" s="1573">
        <v>14586</v>
      </c>
      <c r="G13" s="1573"/>
      <c r="H13" s="1573"/>
      <c r="I13" s="1574"/>
      <c r="J13" s="1574"/>
      <c r="K13" s="1672">
        <f t="shared" si="0"/>
        <v>249328</v>
      </c>
      <c r="L13" s="1573">
        <v>258231</v>
      </c>
    </row>
    <row r="14" spans="1:14" x14ac:dyDescent="0.2">
      <c r="A14" s="1274" t="s">
        <v>957</v>
      </c>
      <c r="B14" s="503">
        <v>1500</v>
      </c>
      <c r="C14" s="1573">
        <v>202659</v>
      </c>
      <c r="D14" s="1573">
        <v>3033</v>
      </c>
      <c r="E14" s="1573">
        <v>21874</v>
      </c>
      <c r="F14" s="1573">
        <v>41609</v>
      </c>
      <c r="G14" s="1573">
        <v>6185</v>
      </c>
      <c r="H14" s="1573">
        <v>9915</v>
      </c>
      <c r="I14" s="1574"/>
      <c r="J14" s="1574"/>
      <c r="K14" s="1672">
        <f t="shared" si="0"/>
        <v>285275</v>
      </c>
      <c r="L14" s="1573">
        <v>348091</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69740</v>
      </c>
      <c r="D17" s="1574">
        <v>1358</v>
      </c>
      <c r="E17" s="1574"/>
      <c r="F17" s="1574">
        <v>20</v>
      </c>
      <c r="G17" s="1574"/>
      <c r="H17" s="1574"/>
      <c r="I17" s="1574"/>
      <c r="J17" s="1574"/>
      <c r="K17" s="1672">
        <f t="shared" si="0"/>
        <v>71118</v>
      </c>
      <c r="L17" s="1573">
        <v>76382</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429391</v>
      </c>
      <c r="I22" s="1673"/>
      <c r="J22" s="1582"/>
      <c r="K22" s="1672">
        <f t="shared" si="0"/>
        <v>429391</v>
      </c>
      <c r="L22" s="1577">
        <v>382000</v>
      </c>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5268069</v>
      </c>
      <c r="D33" s="1674">
        <f t="shared" ref="D33:L33" si="1">SUM(D5:D32)</f>
        <v>505086</v>
      </c>
      <c r="E33" s="1674">
        <f t="shared" si="1"/>
        <v>82080</v>
      </c>
      <c r="F33" s="1674">
        <f t="shared" si="1"/>
        <v>241193</v>
      </c>
      <c r="G33" s="1674">
        <f t="shared" si="1"/>
        <v>19816</v>
      </c>
      <c r="H33" s="1674">
        <f t="shared" si="1"/>
        <v>439306</v>
      </c>
      <c r="I33" s="1674">
        <f t="shared" si="1"/>
        <v>0</v>
      </c>
      <c r="J33" s="1674">
        <f t="shared" si="1"/>
        <v>0</v>
      </c>
      <c r="K33" s="1674">
        <f t="shared" si="1"/>
        <v>6555550</v>
      </c>
      <c r="L33" s="1674">
        <f t="shared" si="1"/>
        <v>6718502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188504</v>
      </c>
      <c r="D37" s="1573">
        <v>23776</v>
      </c>
      <c r="E37" s="1573"/>
      <c r="F37" s="1573"/>
      <c r="G37" s="1573"/>
      <c r="H37" s="1573"/>
      <c r="I37" s="1574"/>
      <c r="J37" s="1574"/>
      <c r="K37" s="1672">
        <f t="shared" si="2"/>
        <v>212280</v>
      </c>
      <c r="L37" s="1573">
        <v>220578</v>
      </c>
    </row>
    <row r="38" spans="1:14" x14ac:dyDescent="0.2">
      <c r="A38" s="1274" t="s">
        <v>196</v>
      </c>
      <c r="B38" s="503">
        <v>2130</v>
      </c>
      <c r="C38" s="1573">
        <v>29499</v>
      </c>
      <c r="D38" s="1573">
        <v>32</v>
      </c>
      <c r="E38" s="1573"/>
      <c r="F38" s="1573"/>
      <c r="G38" s="1573"/>
      <c r="H38" s="1573"/>
      <c r="I38" s="1574"/>
      <c r="J38" s="1574"/>
      <c r="K38" s="1672">
        <f t="shared" si="2"/>
        <v>29531</v>
      </c>
      <c r="L38" s="1573">
        <v>28732</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123713</v>
      </c>
      <c r="D40" s="1573">
        <v>16082</v>
      </c>
      <c r="E40" s="1573"/>
      <c r="F40" s="1573"/>
      <c r="G40" s="1573"/>
      <c r="H40" s="1573"/>
      <c r="I40" s="1574"/>
      <c r="J40" s="1574"/>
      <c r="K40" s="1672">
        <f t="shared" si="2"/>
        <v>139795</v>
      </c>
      <c r="L40" s="1573">
        <v>153363</v>
      </c>
    </row>
    <row r="41" spans="1:14" x14ac:dyDescent="0.2">
      <c r="A41" s="1274" t="s">
        <v>1650</v>
      </c>
      <c r="B41" s="503">
        <v>2190</v>
      </c>
      <c r="C41" s="1573">
        <v>3510</v>
      </c>
      <c r="D41" s="1573">
        <v>50</v>
      </c>
      <c r="E41" s="1573"/>
      <c r="F41" s="1573"/>
      <c r="G41" s="1573"/>
      <c r="H41" s="1573"/>
      <c r="I41" s="1574"/>
      <c r="J41" s="1574"/>
      <c r="K41" s="1672">
        <f t="shared" si="2"/>
        <v>3560</v>
      </c>
      <c r="L41" s="1573">
        <v>7310</v>
      </c>
    </row>
    <row r="42" spans="1:14" ht="12.75" customHeight="1" thickBot="1" x14ac:dyDescent="0.25">
      <c r="A42" s="1380" t="s">
        <v>556</v>
      </c>
      <c r="B42" s="1381" t="s">
        <v>711</v>
      </c>
      <c r="C42" s="1674">
        <f>SUM(C36:C41)</f>
        <v>345226</v>
      </c>
      <c r="D42" s="1674">
        <f t="shared" ref="D42:L42" si="3">SUM(D36:D41)</f>
        <v>39940</v>
      </c>
      <c r="E42" s="1674">
        <f t="shared" si="3"/>
        <v>0</v>
      </c>
      <c r="F42" s="1674">
        <f t="shared" si="3"/>
        <v>0</v>
      </c>
      <c r="G42" s="1674">
        <f t="shared" si="3"/>
        <v>0</v>
      </c>
      <c r="H42" s="1674">
        <f t="shared" si="3"/>
        <v>0</v>
      </c>
      <c r="I42" s="1674">
        <f t="shared" si="3"/>
        <v>0</v>
      </c>
      <c r="J42" s="1674">
        <f t="shared" si="3"/>
        <v>0</v>
      </c>
      <c r="K42" s="1674">
        <f t="shared" si="3"/>
        <v>385166</v>
      </c>
      <c r="L42" s="1674">
        <f t="shared" si="3"/>
        <v>409983</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13112</v>
      </c>
      <c r="D44" s="1586">
        <v>728</v>
      </c>
      <c r="E44" s="1586">
        <v>27938</v>
      </c>
      <c r="F44" s="1586">
        <v>46297</v>
      </c>
      <c r="G44" s="1586">
        <v>17126</v>
      </c>
      <c r="H44" s="1586">
        <v>15348</v>
      </c>
      <c r="I44" s="1574"/>
      <c r="J44" s="1574"/>
      <c r="K44" s="1678">
        <f>SUM(C44:J44)</f>
        <v>120549</v>
      </c>
      <c r="L44" s="1586">
        <v>88869</v>
      </c>
    </row>
    <row r="45" spans="1:14" x14ac:dyDescent="0.2">
      <c r="A45" s="1274" t="s">
        <v>810</v>
      </c>
      <c r="B45" s="503">
        <v>2220</v>
      </c>
      <c r="C45" s="1573">
        <v>52063</v>
      </c>
      <c r="D45" s="1573"/>
      <c r="E45" s="1573">
        <v>5528</v>
      </c>
      <c r="F45" s="1573">
        <v>8412</v>
      </c>
      <c r="G45" s="1573"/>
      <c r="H45" s="1573"/>
      <c r="I45" s="1574"/>
      <c r="J45" s="1574"/>
      <c r="K45" s="1678">
        <f>SUM(C45:J45)</f>
        <v>66003</v>
      </c>
      <c r="L45" s="1573">
        <v>73527</v>
      </c>
    </row>
    <row r="46" spans="1:14" x14ac:dyDescent="0.2">
      <c r="A46" s="1274" t="s">
        <v>811</v>
      </c>
      <c r="B46" s="503">
        <v>2230</v>
      </c>
      <c r="C46" s="1573"/>
      <c r="D46" s="1573"/>
      <c r="E46" s="1573">
        <v>11359</v>
      </c>
      <c r="F46" s="1573"/>
      <c r="G46" s="1573"/>
      <c r="H46" s="1573"/>
      <c r="I46" s="1574"/>
      <c r="J46" s="1574"/>
      <c r="K46" s="1678">
        <f>SUM(C46:J46)</f>
        <v>11359</v>
      </c>
      <c r="L46" s="1573">
        <v>13080</v>
      </c>
    </row>
    <row r="47" spans="1:14" ht="12.75" customHeight="1" thickBot="1" x14ac:dyDescent="0.25">
      <c r="A47" s="1380" t="s">
        <v>557</v>
      </c>
      <c r="B47" s="1381" t="s">
        <v>32</v>
      </c>
      <c r="C47" s="1674">
        <f>SUM(C44:C46)</f>
        <v>65175</v>
      </c>
      <c r="D47" s="1674">
        <f t="shared" ref="D47:K47" si="4">SUM(D44:D46)</f>
        <v>728</v>
      </c>
      <c r="E47" s="1674">
        <f t="shared" si="4"/>
        <v>44825</v>
      </c>
      <c r="F47" s="1674">
        <f t="shared" si="4"/>
        <v>54709</v>
      </c>
      <c r="G47" s="1674">
        <f t="shared" si="4"/>
        <v>17126</v>
      </c>
      <c r="H47" s="1674">
        <f t="shared" si="4"/>
        <v>15348</v>
      </c>
      <c r="I47" s="1674">
        <f t="shared" si="4"/>
        <v>0</v>
      </c>
      <c r="J47" s="1674">
        <f t="shared" si="4"/>
        <v>0</v>
      </c>
      <c r="K47" s="1674">
        <f t="shared" si="4"/>
        <v>197911</v>
      </c>
      <c r="L47" s="1674">
        <f>SUM(L44:L46)</f>
        <v>175476</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3135</v>
      </c>
      <c r="D49" s="1586"/>
      <c r="E49" s="1586">
        <v>51366</v>
      </c>
      <c r="F49" s="1586">
        <v>3743</v>
      </c>
      <c r="G49" s="1586"/>
      <c r="H49" s="1586">
        <v>3359</v>
      </c>
      <c r="I49" s="1574"/>
      <c r="J49" s="1574"/>
      <c r="K49" s="1678">
        <f>SUM(C49:J49)</f>
        <v>61603</v>
      </c>
      <c r="L49" s="1586">
        <v>99700</v>
      </c>
    </row>
    <row r="50" spans="1:14" x14ac:dyDescent="0.2">
      <c r="A50" s="1274" t="s">
        <v>813</v>
      </c>
      <c r="B50" s="503">
        <v>2320</v>
      </c>
      <c r="C50" s="1573">
        <v>184047</v>
      </c>
      <c r="D50" s="1573">
        <v>31361</v>
      </c>
      <c r="E50" s="1573">
        <v>5042</v>
      </c>
      <c r="F50" s="1573">
        <v>1786</v>
      </c>
      <c r="G50" s="1573"/>
      <c r="H50" s="1573">
        <v>646</v>
      </c>
      <c r="I50" s="1574"/>
      <c r="J50" s="1574"/>
      <c r="K50" s="1678">
        <f>SUM(C50:J50)</f>
        <v>222882</v>
      </c>
      <c r="L50" s="1573">
        <v>189089</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187182</v>
      </c>
      <c r="D53" s="1674">
        <f t="shared" ref="D53:L53" si="5">SUM(D49:D52)</f>
        <v>31361</v>
      </c>
      <c r="E53" s="1674">
        <f t="shared" si="5"/>
        <v>56408</v>
      </c>
      <c r="F53" s="1674">
        <f t="shared" si="5"/>
        <v>5529</v>
      </c>
      <c r="G53" s="1674">
        <f t="shared" si="5"/>
        <v>0</v>
      </c>
      <c r="H53" s="1674">
        <f t="shared" si="5"/>
        <v>4005</v>
      </c>
      <c r="I53" s="1674">
        <f t="shared" si="5"/>
        <v>0</v>
      </c>
      <c r="J53" s="1674">
        <f t="shared" si="5"/>
        <v>0</v>
      </c>
      <c r="K53" s="1674">
        <f t="shared" si="5"/>
        <v>284485</v>
      </c>
      <c r="L53" s="1674">
        <f t="shared" si="5"/>
        <v>288789</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411024</v>
      </c>
      <c r="D55" s="1586">
        <v>41889</v>
      </c>
      <c r="E55" s="1586">
        <v>13033</v>
      </c>
      <c r="F55" s="1586">
        <v>18190</v>
      </c>
      <c r="G55" s="1586">
        <v>860</v>
      </c>
      <c r="H55" s="1586">
        <v>1417</v>
      </c>
      <c r="I55" s="1574"/>
      <c r="J55" s="1574"/>
      <c r="K55" s="1678">
        <f>SUM(C55:J55)</f>
        <v>486413</v>
      </c>
      <c r="L55" s="1586">
        <v>483277</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411024</v>
      </c>
      <c r="D57" s="1679">
        <f t="shared" ref="D57:K57" si="6">SUM(D55:D56)</f>
        <v>41889</v>
      </c>
      <c r="E57" s="1679">
        <f t="shared" si="6"/>
        <v>13033</v>
      </c>
      <c r="F57" s="1679">
        <f t="shared" si="6"/>
        <v>18190</v>
      </c>
      <c r="G57" s="1679">
        <f t="shared" si="6"/>
        <v>860</v>
      </c>
      <c r="H57" s="1679">
        <f t="shared" si="6"/>
        <v>1417</v>
      </c>
      <c r="I57" s="1679">
        <f t="shared" si="6"/>
        <v>0</v>
      </c>
      <c r="J57" s="1679">
        <f t="shared" si="6"/>
        <v>0</v>
      </c>
      <c r="K57" s="1679">
        <f t="shared" si="6"/>
        <v>486413</v>
      </c>
      <c r="L57" s="1674">
        <f>SUM(L55:L56)</f>
        <v>483277</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58102</v>
      </c>
      <c r="D60" s="1573">
        <v>5303</v>
      </c>
      <c r="E60" s="1573">
        <v>15842</v>
      </c>
      <c r="F60" s="1573">
        <v>699</v>
      </c>
      <c r="G60" s="1573"/>
      <c r="H60" s="1573"/>
      <c r="I60" s="1574"/>
      <c r="J60" s="1574"/>
      <c r="K60" s="1678">
        <f t="shared" si="7"/>
        <v>79946</v>
      </c>
      <c r="L60" s="1573">
        <v>78782</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197391</v>
      </c>
      <c r="D63" s="1573">
        <v>13379</v>
      </c>
      <c r="E63" s="1573">
        <v>6431</v>
      </c>
      <c r="F63" s="1573">
        <v>265211</v>
      </c>
      <c r="G63" s="1573">
        <v>16660</v>
      </c>
      <c r="H63" s="1573">
        <v>1155</v>
      </c>
      <c r="I63" s="1574"/>
      <c r="J63" s="1574"/>
      <c r="K63" s="1678">
        <f t="shared" si="7"/>
        <v>500227</v>
      </c>
      <c r="L63" s="1573">
        <v>560496</v>
      </c>
    </row>
    <row r="64" spans="1:14" s="501" customFormat="1" x14ac:dyDescent="0.2">
      <c r="A64" s="1279" t="s">
        <v>101</v>
      </c>
      <c r="B64" s="513">
        <v>2570</v>
      </c>
      <c r="C64" s="1586"/>
      <c r="D64" s="1586"/>
      <c r="E64" s="1586">
        <v>32144</v>
      </c>
      <c r="F64" s="1586"/>
      <c r="G64" s="1586"/>
      <c r="H64" s="1586"/>
      <c r="I64" s="1574"/>
      <c r="J64" s="1574"/>
      <c r="K64" s="1678">
        <f t="shared" si="7"/>
        <v>32144</v>
      </c>
      <c r="L64" s="1586">
        <v>27900</v>
      </c>
    </row>
    <row r="65" spans="1:14" s="321" customFormat="1" ht="12.75" customHeight="1" thickBot="1" x14ac:dyDescent="0.25">
      <c r="A65" s="1380" t="s">
        <v>714</v>
      </c>
      <c r="B65" s="1381" t="s">
        <v>35</v>
      </c>
      <c r="C65" s="1674">
        <f>SUM(C59:C64)</f>
        <v>255493</v>
      </c>
      <c r="D65" s="1674">
        <f t="shared" ref="D65:L65" si="8">SUM(D59:D64)</f>
        <v>18682</v>
      </c>
      <c r="E65" s="1674">
        <f t="shared" si="8"/>
        <v>54417</v>
      </c>
      <c r="F65" s="1674">
        <f t="shared" si="8"/>
        <v>265910</v>
      </c>
      <c r="G65" s="1674">
        <f t="shared" si="8"/>
        <v>16660</v>
      </c>
      <c r="H65" s="1674">
        <f t="shared" si="8"/>
        <v>1155</v>
      </c>
      <c r="I65" s="1674">
        <f t="shared" si="8"/>
        <v>0</v>
      </c>
      <c r="J65" s="1674">
        <f t="shared" si="8"/>
        <v>0</v>
      </c>
      <c r="K65" s="1674">
        <f t="shared" si="8"/>
        <v>612317</v>
      </c>
      <c r="L65" s="1674">
        <f t="shared" si="8"/>
        <v>667178</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v>65445</v>
      </c>
      <c r="D71" s="1573">
        <v>10606</v>
      </c>
      <c r="E71" s="1573">
        <v>33812</v>
      </c>
      <c r="F71" s="1573">
        <v>7007</v>
      </c>
      <c r="G71" s="1573">
        <v>75793</v>
      </c>
      <c r="H71" s="1573"/>
      <c r="I71" s="1574"/>
      <c r="J71" s="1574"/>
      <c r="K71" s="1678">
        <f>SUM(C71:J71)</f>
        <v>192663</v>
      </c>
      <c r="L71" s="1573">
        <v>202064</v>
      </c>
      <c r="M71" s="501"/>
      <c r="N71" s="501"/>
    </row>
    <row r="72" spans="1:14" s="321" customFormat="1" ht="12.75" customHeight="1" thickBot="1" x14ac:dyDescent="0.25">
      <c r="A72" s="1380" t="s">
        <v>37</v>
      </c>
      <c r="B72" s="1383" t="s">
        <v>36</v>
      </c>
      <c r="C72" s="1674">
        <f>SUM(C67:C71)</f>
        <v>65445</v>
      </c>
      <c r="D72" s="1674">
        <f t="shared" ref="D72:K72" si="9">SUM(D67:D71)</f>
        <v>10606</v>
      </c>
      <c r="E72" s="1674">
        <f t="shared" si="9"/>
        <v>33812</v>
      </c>
      <c r="F72" s="1674">
        <f t="shared" si="9"/>
        <v>7007</v>
      </c>
      <c r="G72" s="1674">
        <f t="shared" si="9"/>
        <v>75793</v>
      </c>
      <c r="H72" s="1674">
        <f t="shared" si="9"/>
        <v>0</v>
      </c>
      <c r="I72" s="1674">
        <f t="shared" si="9"/>
        <v>0</v>
      </c>
      <c r="J72" s="1674">
        <f t="shared" si="9"/>
        <v>0</v>
      </c>
      <c r="K72" s="1674">
        <f t="shared" si="9"/>
        <v>192663</v>
      </c>
      <c r="L72" s="1674">
        <f>SUM(L67:L71)</f>
        <v>202064</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1329545</v>
      </c>
      <c r="D74" s="1681">
        <f t="shared" ref="D74:K74" si="10">SUM(D42,D47,D53,D57,D65,D72,D73)</f>
        <v>143206</v>
      </c>
      <c r="E74" s="1681">
        <f t="shared" si="10"/>
        <v>202495</v>
      </c>
      <c r="F74" s="1681">
        <f t="shared" si="10"/>
        <v>351345</v>
      </c>
      <c r="G74" s="1681">
        <f t="shared" si="10"/>
        <v>110439</v>
      </c>
      <c r="H74" s="1681">
        <f t="shared" si="10"/>
        <v>21925</v>
      </c>
      <c r="I74" s="1681">
        <f t="shared" si="10"/>
        <v>0</v>
      </c>
      <c r="J74" s="1681">
        <f t="shared" si="10"/>
        <v>0</v>
      </c>
      <c r="K74" s="1681">
        <f t="shared" si="10"/>
        <v>2158955</v>
      </c>
      <c r="L74" s="1681">
        <f>SUM(L42,L47,L53,L57,L65,L72,L73)</f>
        <v>2226767</v>
      </c>
    </row>
    <row r="75" spans="1:14" s="254" customFormat="1" ht="15.75" customHeight="1" thickTop="1" thickBot="1" x14ac:dyDescent="0.25">
      <c r="A75" s="1348" t="s">
        <v>47</v>
      </c>
      <c r="B75" s="1349" t="s">
        <v>571</v>
      </c>
      <c r="C75" s="1649">
        <v>28194</v>
      </c>
      <c r="D75" s="1649"/>
      <c r="E75" s="1649">
        <v>3070</v>
      </c>
      <c r="F75" s="1649">
        <v>2469</v>
      </c>
      <c r="G75" s="1649"/>
      <c r="H75" s="1649"/>
      <c r="I75" s="1627"/>
      <c r="J75" s="1627"/>
      <c r="K75" s="1674">
        <f>SUM(C75:J75)</f>
        <v>33733</v>
      </c>
      <c r="L75" s="1651">
        <v>35098</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114822</v>
      </c>
      <c r="F79" s="1673"/>
      <c r="G79" s="1673"/>
      <c r="H79" s="1573"/>
      <c r="I79" s="1582"/>
      <c r="J79" s="1582"/>
      <c r="K79" s="1672">
        <f t="shared" si="11"/>
        <v>114822</v>
      </c>
      <c r="L79" s="1573">
        <v>120000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v>4500</v>
      </c>
      <c r="F83" s="1673"/>
      <c r="G83" s="1673"/>
      <c r="H83" s="1573"/>
      <c r="I83" s="1582"/>
      <c r="J83" s="1582"/>
      <c r="K83" s="1672">
        <f t="shared" si="11"/>
        <v>4500</v>
      </c>
      <c r="L83" s="1573">
        <v>4500</v>
      </c>
    </row>
    <row r="84" spans="1:12" ht="13.5" thickBot="1" x14ac:dyDescent="0.25">
      <c r="A84" s="1380" t="s">
        <v>1468</v>
      </c>
      <c r="B84" s="1385">
        <v>4100</v>
      </c>
      <c r="C84" s="1673"/>
      <c r="D84" s="1673"/>
      <c r="E84" s="1674">
        <f>SUM(E78:E83)</f>
        <v>119322</v>
      </c>
      <c r="F84" s="1673"/>
      <c r="G84" s="1673"/>
      <c r="H84" s="1674">
        <f>SUM(H78:H83)</f>
        <v>0</v>
      </c>
      <c r="I84" s="1582"/>
      <c r="J84" s="1582"/>
      <c r="K84" s="1674">
        <f>SUM(K78:K83)</f>
        <v>119322</v>
      </c>
      <c r="L84" s="1674">
        <f>SUM(L78:L83)</f>
        <v>124500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240659</v>
      </c>
      <c r="I86" s="1582"/>
      <c r="J86" s="1582"/>
      <c r="K86" s="1681">
        <f t="shared" ref="K86:K98" si="12">H86</f>
        <v>240659</v>
      </c>
      <c r="L86" s="1626">
        <v>210000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v>34652</v>
      </c>
      <c r="I88" s="1582"/>
      <c r="J88" s="1582"/>
      <c r="K88" s="1681">
        <f t="shared" si="12"/>
        <v>34652</v>
      </c>
      <c r="L88" s="1626">
        <v>30000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275311</v>
      </c>
      <c r="I92" s="1582"/>
      <c r="J92" s="1582"/>
      <c r="K92" s="1681">
        <f t="shared" si="12"/>
        <v>275311</v>
      </c>
      <c r="L92" s="1674">
        <f>SUM(L85:L91)</f>
        <v>240000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119322</v>
      </c>
      <c r="F102" s="1673"/>
      <c r="G102" s="1673"/>
      <c r="H102" s="1681">
        <f>SUM(H84,H92,H100,H101)</f>
        <v>275311</v>
      </c>
      <c r="I102" s="1582"/>
      <c r="J102" s="1582"/>
      <c r="K102" s="1681">
        <f>SUM(K84,K92,K100,K101)</f>
        <v>394633</v>
      </c>
      <c r="L102" s="1681">
        <f>SUM(L84,L92,L100,L101)</f>
        <v>364500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6625808</v>
      </c>
      <c r="D114" s="1674">
        <f t="shared" ref="D114:K114" si="13">SUM(D33,D74,D75,D102,D112,D113)</f>
        <v>648292</v>
      </c>
      <c r="E114" s="1674">
        <f t="shared" si="13"/>
        <v>406967</v>
      </c>
      <c r="F114" s="1674">
        <f t="shared" si="13"/>
        <v>595007</v>
      </c>
      <c r="G114" s="1674">
        <f t="shared" si="13"/>
        <v>130255</v>
      </c>
      <c r="H114" s="1674">
        <f>SUM(H33,H74,H75,H102,H112,H113)</f>
        <v>736542</v>
      </c>
      <c r="I114" s="1674">
        <f t="shared" si="13"/>
        <v>0</v>
      </c>
      <c r="J114" s="1674">
        <f t="shared" si="13"/>
        <v>0</v>
      </c>
      <c r="K114" s="1674">
        <f t="shared" si="13"/>
        <v>9142871</v>
      </c>
      <c r="L114" s="1674">
        <f>SUM(L33,L74,L75,L102,L112,L113)</f>
        <v>9344867</v>
      </c>
    </row>
    <row r="115" spans="1:14" ht="13.5" thickTop="1" x14ac:dyDescent="0.2">
      <c r="A115" s="2286" t="s">
        <v>989</v>
      </c>
      <c r="B115" s="2287"/>
      <c r="C115" s="1675"/>
      <c r="D115" s="1675"/>
      <c r="E115" s="1675"/>
      <c r="F115" s="1675"/>
      <c r="G115" s="1675"/>
      <c r="H115" s="1675"/>
      <c r="I115" s="1675"/>
      <c r="J115" s="1675"/>
      <c r="K115" s="1689">
        <f>'Revenues 9-14'!C268-'Expenditures 15-22'!K114</f>
        <v>1288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378984</v>
      </c>
      <c r="D124" s="1573">
        <v>47088</v>
      </c>
      <c r="E124" s="1573">
        <v>425330</v>
      </c>
      <c r="F124" s="1573">
        <v>352384</v>
      </c>
      <c r="G124" s="1573">
        <v>63301</v>
      </c>
      <c r="H124" s="1573"/>
      <c r="I124" s="1574"/>
      <c r="J124" s="1574"/>
      <c r="K124" s="1674">
        <f>SUM(C124:J124)</f>
        <v>1267087</v>
      </c>
      <c r="L124" s="1573">
        <v>1266606</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378984</v>
      </c>
      <c r="D127" s="1674">
        <f t="shared" ref="D127:L127" si="14">SUM(D122:D126)</f>
        <v>47088</v>
      </c>
      <c r="E127" s="1674">
        <f t="shared" si="14"/>
        <v>425330</v>
      </c>
      <c r="F127" s="1674">
        <f t="shared" si="14"/>
        <v>352384</v>
      </c>
      <c r="G127" s="1674">
        <f t="shared" si="14"/>
        <v>63301</v>
      </c>
      <c r="H127" s="1674">
        <f t="shared" si="14"/>
        <v>0</v>
      </c>
      <c r="I127" s="1674">
        <f t="shared" si="14"/>
        <v>0</v>
      </c>
      <c r="J127" s="1674">
        <f t="shared" si="14"/>
        <v>0</v>
      </c>
      <c r="K127" s="1674">
        <f t="shared" si="14"/>
        <v>1267087</v>
      </c>
      <c r="L127" s="1674">
        <f t="shared" si="14"/>
        <v>1266606</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378984</v>
      </c>
      <c r="D129" s="1681">
        <f t="shared" ref="D129:L129" si="15">SUM(D120,D127,D128)</f>
        <v>47088</v>
      </c>
      <c r="E129" s="1681">
        <f t="shared" si="15"/>
        <v>425330</v>
      </c>
      <c r="F129" s="1681">
        <f t="shared" si="15"/>
        <v>352384</v>
      </c>
      <c r="G129" s="1681">
        <f t="shared" si="15"/>
        <v>63301</v>
      </c>
      <c r="H129" s="1681">
        <f t="shared" si="15"/>
        <v>0</v>
      </c>
      <c r="I129" s="1681">
        <f t="shared" si="15"/>
        <v>0</v>
      </c>
      <c r="J129" s="1681">
        <f t="shared" si="15"/>
        <v>0</v>
      </c>
      <c r="K129" s="1681">
        <f t="shared" si="15"/>
        <v>1267087</v>
      </c>
      <c r="L129" s="1681">
        <f t="shared" si="15"/>
        <v>1266606</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v>10536</v>
      </c>
      <c r="I135" s="1582"/>
      <c r="J135" s="1673"/>
      <c r="K135" s="1678">
        <f>SUM(E135,H135)</f>
        <v>10536</v>
      </c>
      <c r="L135" s="1573">
        <v>10536</v>
      </c>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10536</v>
      </c>
      <c r="I137" s="1582"/>
      <c r="J137" s="1673"/>
      <c r="K137" s="1674">
        <f>SUM(K133:K136)</f>
        <v>10536</v>
      </c>
      <c r="L137" s="1674">
        <f>SUM(L133:L136)</f>
        <v>10536</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10536</v>
      </c>
      <c r="I139" s="1582"/>
      <c r="J139" s="1673"/>
      <c r="K139" s="1678">
        <f>SUM(K137,K138)</f>
        <v>10536</v>
      </c>
      <c r="L139" s="1687">
        <f>SUM(L137,L138)</f>
        <v>10536</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378984</v>
      </c>
      <c r="D151" s="1674">
        <f t="shared" ref="D151:K151" si="16">SUM(D129,D130,D139,D149,D150)</f>
        <v>47088</v>
      </c>
      <c r="E151" s="1674">
        <f t="shared" si="16"/>
        <v>425330</v>
      </c>
      <c r="F151" s="1674">
        <f t="shared" si="16"/>
        <v>352384</v>
      </c>
      <c r="G151" s="1674">
        <f t="shared" si="16"/>
        <v>63301</v>
      </c>
      <c r="H151" s="1674">
        <f t="shared" si="16"/>
        <v>10536</v>
      </c>
      <c r="I151" s="1674">
        <f t="shared" si="16"/>
        <v>0</v>
      </c>
      <c r="J151" s="1674">
        <f t="shared" si="16"/>
        <v>0</v>
      </c>
      <c r="K151" s="1674">
        <f t="shared" si="16"/>
        <v>1277623</v>
      </c>
      <c r="L151" s="1674">
        <f>SUM(L129,L130,L139,L149,L150)</f>
        <v>1277142</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107139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964057</v>
      </c>
      <c r="I169" s="1673"/>
      <c r="J169" s="1673"/>
      <c r="K169" s="1672">
        <f>SUM(C169:H169)</f>
        <v>964057</v>
      </c>
      <c r="L169" s="1695">
        <v>965057</v>
      </c>
    </row>
    <row r="170" spans="1:14" ht="33.75" customHeight="1" x14ac:dyDescent="0.2">
      <c r="A170" s="543" t="s">
        <v>1651</v>
      </c>
      <c r="B170" s="545" t="s">
        <v>31</v>
      </c>
      <c r="C170" s="1673"/>
      <c r="D170" s="1673"/>
      <c r="E170" s="1673"/>
      <c r="F170" s="1673"/>
      <c r="G170" s="1673"/>
      <c r="H170" s="1646">
        <v>345000</v>
      </c>
      <c r="I170" s="1673"/>
      <c r="J170" s="1673"/>
      <c r="K170" s="1672">
        <f>SUM(C170:J170)</f>
        <v>345000</v>
      </c>
      <c r="L170" s="1646">
        <v>345000</v>
      </c>
    </row>
    <row r="171" spans="1:14" ht="15.75" customHeight="1" x14ac:dyDescent="0.2">
      <c r="A171" s="507" t="s">
        <v>761</v>
      </c>
      <c r="B171" s="546" t="s">
        <v>84</v>
      </c>
      <c r="C171" s="1673"/>
      <c r="D171" s="1673"/>
      <c r="E171" s="1573"/>
      <c r="F171" s="1673"/>
      <c r="G171" s="1673"/>
      <c r="H171" s="1646">
        <v>1200</v>
      </c>
      <c r="I171" s="1582"/>
      <c r="J171" s="1673"/>
      <c r="K171" s="1672">
        <f>SUM(C171:J171)</f>
        <v>1200</v>
      </c>
      <c r="L171" s="1646"/>
    </row>
    <row r="172" spans="1:14" ht="12.75" customHeight="1" thickBot="1" x14ac:dyDescent="0.25">
      <c r="A172" s="1380" t="s">
        <v>633</v>
      </c>
      <c r="B172" s="1381" t="s">
        <v>489</v>
      </c>
      <c r="C172" s="1673"/>
      <c r="D172" s="1673"/>
      <c r="E172" s="1681">
        <f>SUM(E168,E169,E170,E171)</f>
        <v>0</v>
      </c>
      <c r="F172" s="1673"/>
      <c r="G172" s="1673"/>
      <c r="H172" s="1681">
        <f>SUM(H168,H169,H170,H171)</f>
        <v>1310257</v>
      </c>
      <c r="I172" s="1684"/>
      <c r="J172" s="1673"/>
      <c r="K172" s="1681">
        <f>SUM(K168,K169,K170,K171)</f>
        <v>1310257</v>
      </c>
      <c r="L172" s="1681">
        <f>SUM(L168,L169,L170,L171)</f>
        <v>1310057</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1310257</v>
      </c>
      <c r="I174" s="1684"/>
      <c r="J174" s="1673"/>
      <c r="K174" s="1681">
        <f>SUM(K160,K172,K173)</f>
        <v>1310257</v>
      </c>
      <c r="L174" s="1681">
        <f>SUM(L160,L172,L173)</f>
        <v>1310057</v>
      </c>
    </row>
    <row r="175" spans="1:14" ht="13.5" thickTop="1" x14ac:dyDescent="0.2">
      <c r="A175" s="2286" t="s">
        <v>989</v>
      </c>
      <c r="B175" s="2287"/>
      <c r="C175" s="1673"/>
      <c r="D175" s="1673"/>
      <c r="E175" s="1673"/>
      <c r="F175" s="1673"/>
      <c r="G175" s="1673"/>
      <c r="H175" s="1675"/>
      <c r="I175" s="1673"/>
      <c r="J175" s="1673"/>
      <c r="K175" s="1689">
        <f>'Revenues 9-14'!E268-'Expenditures 15-22'!K174</f>
        <v>7668</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638502</v>
      </c>
      <c r="D182" s="1573">
        <v>15974</v>
      </c>
      <c r="E182" s="1573">
        <v>62456</v>
      </c>
      <c r="F182" s="1573">
        <v>216627</v>
      </c>
      <c r="G182" s="1573">
        <v>13002</v>
      </c>
      <c r="H182" s="1573"/>
      <c r="I182" s="1574"/>
      <c r="J182" s="1574"/>
      <c r="K182" s="1672">
        <f>SUM(C182:J182)</f>
        <v>946561</v>
      </c>
      <c r="L182" s="1573">
        <v>957231</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638502</v>
      </c>
      <c r="D184" s="1681">
        <f t="shared" ref="D184:J184" si="17">SUM(D180,D182,D183)</f>
        <v>15974</v>
      </c>
      <c r="E184" s="1681">
        <f t="shared" si="17"/>
        <v>62456</v>
      </c>
      <c r="F184" s="1681">
        <f t="shared" si="17"/>
        <v>216627</v>
      </c>
      <c r="G184" s="1681">
        <f t="shared" si="17"/>
        <v>13002</v>
      </c>
      <c r="H184" s="1681">
        <f t="shared" si="17"/>
        <v>0</v>
      </c>
      <c r="I184" s="1681">
        <f t="shared" si="17"/>
        <v>0</v>
      </c>
      <c r="J184" s="1681">
        <f t="shared" si="17"/>
        <v>0</v>
      </c>
      <c r="K184" s="1681">
        <f>SUM(K180,K182,K183)</f>
        <v>946561</v>
      </c>
      <c r="L184" s="1681">
        <f>SUM(L180, L182:L183)</f>
        <v>957231</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v>11057</v>
      </c>
      <c r="I203" s="1673"/>
      <c r="J203" s="1673"/>
      <c r="K203" s="1672">
        <f>SUM(H203)</f>
        <v>11057</v>
      </c>
      <c r="L203" s="1577">
        <v>11057</v>
      </c>
    </row>
    <row r="204" spans="1:14" ht="13.5" thickBot="1" x14ac:dyDescent="0.25">
      <c r="A204" s="1380" t="s">
        <v>274</v>
      </c>
      <c r="B204" s="1381" t="s">
        <v>713</v>
      </c>
      <c r="C204" s="1673"/>
      <c r="D204" s="1673"/>
      <c r="E204" s="1673"/>
      <c r="F204" s="1673"/>
      <c r="G204" s="1673"/>
      <c r="H204" s="1674">
        <f>SUM(H199:H203)</f>
        <v>11057</v>
      </c>
      <c r="I204" s="1673"/>
      <c r="J204" s="1673"/>
      <c r="K204" s="1674">
        <f>SUM(K199:K203)</f>
        <v>11057</v>
      </c>
      <c r="L204" s="1674">
        <f>SUM(L199:L203)</f>
        <v>11057</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v>278892</v>
      </c>
      <c r="I206" s="1673"/>
      <c r="J206" s="1673"/>
      <c r="K206" s="1672">
        <f>SUM(H206)</f>
        <v>278892</v>
      </c>
      <c r="L206" s="1573">
        <v>278892</v>
      </c>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289949</v>
      </c>
      <c r="I208" s="1673"/>
      <c r="J208" s="1673"/>
      <c r="K208" s="1681">
        <f>SUM(K204,K205,K206,K207)</f>
        <v>289949</v>
      </c>
      <c r="L208" s="1681">
        <f>SUM(L204,L205,L206,L207)</f>
        <v>289949</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638502</v>
      </c>
      <c r="D210" s="1674">
        <f>SUM(D184,D185)</f>
        <v>15974</v>
      </c>
      <c r="E210" s="1674">
        <f>SUM(E184,E185,E196)</f>
        <v>62456</v>
      </c>
      <c r="F210" s="1674">
        <f>SUM(F184,F185)</f>
        <v>216627</v>
      </c>
      <c r="G210" s="1674">
        <f>SUM(G184,G185)</f>
        <v>13002</v>
      </c>
      <c r="H210" s="1674">
        <f>SUM(H184,H185,H196,H208,H209)</f>
        <v>289949</v>
      </c>
      <c r="I210" s="1674">
        <f>SUM(I184,I185)</f>
        <v>0</v>
      </c>
      <c r="J210" s="1674">
        <f>SUM(J184,J185)</f>
        <v>0</v>
      </c>
      <c r="K210" s="1672">
        <f>SUM(K184,K185,K196,K208,K209)</f>
        <v>1236510</v>
      </c>
      <c r="L210" s="1674">
        <f>SUM(L184,L185,L196,L208,L209)</f>
        <v>1247180</v>
      </c>
    </row>
    <row r="211" spans="1:14" ht="13.5" thickTop="1" x14ac:dyDescent="0.2">
      <c r="A211" s="2286" t="s">
        <v>989</v>
      </c>
      <c r="B211" s="2287"/>
      <c r="C211" s="1675"/>
      <c r="D211" s="1675"/>
      <c r="E211" s="1675"/>
      <c r="F211" s="1675"/>
      <c r="G211" s="1675"/>
      <c r="H211" s="1675"/>
      <c r="I211" s="1673"/>
      <c r="J211" s="1673"/>
      <c r="K211" s="1689">
        <f>'Revenues 9-14'!F268-'Expenditures 15-22'!K210</f>
        <v>32822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49914</v>
      </c>
      <c r="E215" s="1673"/>
      <c r="F215" s="1673"/>
      <c r="G215" s="1673"/>
      <c r="H215" s="1673"/>
      <c r="I215" s="1673"/>
      <c r="J215" s="1673"/>
      <c r="K215" s="1672">
        <f>D215</f>
        <v>49914</v>
      </c>
      <c r="L215" s="1573">
        <v>50100</v>
      </c>
    </row>
    <row r="216" spans="1:14" x14ac:dyDescent="0.2">
      <c r="A216" s="1274" t="s">
        <v>162</v>
      </c>
      <c r="B216" s="503" t="s">
        <v>961</v>
      </c>
      <c r="C216" s="1673"/>
      <c r="D216" s="1574">
        <v>7079</v>
      </c>
      <c r="E216" s="1673"/>
      <c r="F216" s="1673"/>
      <c r="G216" s="1673"/>
      <c r="H216" s="1673"/>
      <c r="I216" s="1673"/>
      <c r="J216" s="1673"/>
      <c r="K216" s="1672">
        <f t="shared" ref="K216:K228" si="19">D216</f>
        <v>7079</v>
      </c>
      <c r="L216" s="1573">
        <v>7454</v>
      </c>
    </row>
    <row r="217" spans="1:14" x14ac:dyDescent="0.2">
      <c r="A217" s="1274" t="s">
        <v>163</v>
      </c>
      <c r="B217" s="503">
        <v>1200</v>
      </c>
      <c r="C217" s="1673"/>
      <c r="D217" s="1573">
        <v>96271</v>
      </c>
      <c r="E217" s="1673"/>
      <c r="F217" s="1673"/>
      <c r="G217" s="1673"/>
      <c r="H217" s="1673"/>
      <c r="I217" s="1673"/>
      <c r="J217" s="1673"/>
      <c r="K217" s="1672">
        <f t="shared" si="19"/>
        <v>96271</v>
      </c>
      <c r="L217" s="1573">
        <v>109020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1410</v>
      </c>
      <c r="E219" s="1673"/>
      <c r="F219" s="1673"/>
      <c r="G219" s="1673"/>
      <c r="H219" s="1673"/>
      <c r="I219" s="1673"/>
      <c r="J219" s="1673"/>
      <c r="K219" s="1672">
        <f t="shared" si="19"/>
        <v>1410</v>
      </c>
      <c r="L219" s="1573">
        <v>1418</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3123</v>
      </c>
      <c r="E222" s="1673"/>
      <c r="F222" s="1673"/>
      <c r="G222" s="1673"/>
      <c r="H222" s="1673"/>
      <c r="I222" s="1673"/>
      <c r="J222" s="1673"/>
      <c r="K222" s="1672">
        <f t="shared" si="19"/>
        <v>3123</v>
      </c>
      <c r="L222" s="1573">
        <v>3200</v>
      </c>
    </row>
    <row r="223" spans="1:14" x14ac:dyDescent="0.2">
      <c r="A223" s="1274" t="s">
        <v>957</v>
      </c>
      <c r="B223" s="503">
        <v>1500</v>
      </c>
      <c r="C223" s="1673"/>
      <c r="D223" s="1573">
        <v>8081</v>
      </c>
      <c r="E223" s="1673"/>
      <c r="F223" s="1673"/>
      <c r="G223" s="1673"/>
      <c r="H223" s="1673"/>
      <c r="I223" s="1673"/>
      <c r="J223" s="1673"/>
      <c r="K223" s="1672">
        <f t="shared" si="19"/>
        <v>8081</v>
      </c>
      <c r="L223" s="1573">
        <v>8450</v>
      </c>
    </row>
    <row r="224" spans="1:14" x14ac:dyDescent="0.2">
      <c r="A224" s="1274" t="s">
        <v>958</v>
      </c>
      <c r="B224" s="503">
        <v>1600</v>
      </c>
      <c r="C224" s="1673"/>
      <c r="D224" s="1573"/>
      <c r="E224" s="1673"/>
      <c r="F224" s="1673"/>
      <c r="G224" s="1673"/>
      <c r="H224" s="1673"/>
      <c r="I224" s="1673"/>
      <c r="J224" s="1673"/>
      <c r="K224" s="1672">
        <f t="shared" si="19"/>
        <v>0</v>
      </c>
      <c r="L224" s="1573">
        <v>50</v>
      </c>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1099</v>
      </c>
      <c r="E226" s="1673"/>
      <c r="F226" s="1673"/>
      <c r="G226" s="1673"/>
      <c r="H226" s="1673"/>
      <c r="I226" s="1673"/>
      <c r="J226" s="1673"/>
      <c r="K226" s="1672">
        <f t="shared" si="19"/>
        <v>1099</v>
      </c>
      <c r="L226" s="1573">
        <v>1200</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166977</v>
      </c>
      <c r="E229" s="1673"/>
      <c r="F229" s="1673"/>
      <c r="G229" s="1673"/>
      <c r="H229" s="1673"/>
      <c r="I229" s="1673"/>
      <c r="J229" s="1673"/>
      <c r="K229" s="1674">
        <f>SUM(K215:K228)</f>
        <v>166977</v>
      </c>
      <c r="L229" s="1674">
        <f>SUM(L215:L228)</f>
        <v>180892</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7553</v>
      </c>
      <c r="E233" s="1673"/>
      <c r="F233" s="1673"/>
      <c r="G233" s="1673"/>
      <c r="H233" s="1673"/>
      <c r="I233" s="1673"/>
      <c r="J233" s="1673"/>
      <c r="K233" s="1672">
        <f t="shared" si="20"/>
        <v>7553</v>
      </c>
      <c r="L233" s="1573">
        <v>7000</v>
      </c>
    </row>
    <row r="234" spans="1:12" x14ac:dyDescent="0.2">
      <c r="A234" s="1274" t="s">
        <v>196</v>
      </c>
      <c r="B234" s="503">
        <v>2130</v>
      </c>
      <c r="C234" s="1673"/>
      <c r="D234" s="1573">
        <v>6649</v>
      </c>
      <c r="E234" s="1673"/>
      <c r="F234" s="1673"/>
      <c r="G234" s="1673"/>
      <c r="H234" s="1673"/>
      <c r="I234" s="1673"/>
      <c r="J234" s="1673"/>
      <c r="K234" s="1672">
        <f t="shared" si="20"/>
        <v>6649</v>
      </c>
      <c r="L234" s="1573">
        <v>7300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3455</v>
      </c>
      <c r="E236" s="1673"/>
      <c r="F236" s="1673"/>
      <c r="G236" s="1673"/>
      <c r="H236" s="1673"/>
      <c r="I236" s="1673"/>
      <c r="J236" s="1673"/>
      <c r="K236" s="1672">
        <f t="shared" si="20"/>
        <v>3455</v>
      </c>
      <c r="L236" s="1573">
        <v>1600</v>
      </c>
    </row>
    <row r="237" spans="1:12" x14ac:dyDescent="0.2">
      <c r="A237" s="1274" t="s">
        <v>164</v>
      </c>
      <c r="B237" s="503">
        <v>2190</v>
      </c>
      <c r="C237" s="1673"/>
      <c r="D237" s="1573">
        <v>51</v>
      </c>
      <c r="E237" s="1673"/>
      <c r="F237" s="1673"/>
      <c r="G237" s="1673"/>
      <c r="H237" s="1673"/>
      <c r="I237" s="1673"/>
      <c r="J237" s="1673"/>
      <c r="K237" s="1672">
        <f t="shared" si="20"/>
        <v>51</v>
      </c>
      <c r="L237" s="1573">
        <v>405</v>
      </c>
    </row>
    <row r="238" spans="1:12" ht="12.75" customHeight="1" thickBot="1" x14ac:dyDescent="0.25">
      <c r="A238" s="1380" t="s">
        <v>556</v>
      </c>
      <c r="B238" s="1383" t="s">
        <v>711</v>
      </c>
      <c r="C238" s="1673"/>
      <c r="D238" s="1674">
        <f>SUM(D232:D237)</f>
        <v>17708</v>
      </c>
      <c r="E238" s="1673"/>
      <c r="F238" s="1673"/>
      <c r="G238" s="1673"/>
      <c r="H238" s="1673"/>
      <c r="I238" s="1673"/>
      <c r="J238" s="1673"/>
      <c r="K238" s="1674">
        <f>SUM(K232:K237)</f>
        <v>17708</v>
      </c>
      <c r="L238" s="1674">
        <f>SUM(L232:L237)</f>
        <v>16305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583</v>
      </c>
      <c r="E240" s="1673"/>
      <c r="F240" s="1673"/>
      <c r="G240" s="1673"/>
      <c r="H240" s="1673"/>
      <c r="I240" s="1673"/>
      <c r="J240" s="1673"/>
      <c r="K240" s="1678">
        <f>D240</f>
        <v>583</v>
      </c>
      <c r="L240" s="1586">
        <v>1085</v>
      </c>
    </row>
    <row r="241" spans="1:12" x14ac:dyDescent="0.2">
      <c r="A241" s="1274" t="s">
        <v>810</v>
      </c>
      <c r="B241" s="503">
        <v>2220</v>
      </c>
      <c r="C241" s="1673"/>
      <c r="D241" s="1573">
        <v>8913</v>
      </c>
      <c r="E241" s="1673"/>
      <c r="F241" s="1673"/>
      <c r="G241" s="1673"/>
      <c r="H241" s="1673"/>
      <c r="I241" s="1673"/>
      <c r="J241" s="1673"/>
      <c r="K241" s="1678">
        <f>D241</f>
        <v>8913</v>
      </c>
      <c r="L241" s="1573">
        <v>9300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9496</v>
      </c>
      <c r="E243" s="1673"/>
      <c r="F243" s="1673"/>
      <c r="G243" s="1673"/>
      <c r="H243" s="1673"/>
      <c r="I243" s="1673"/>
      <c r="J243" s="1673"/>
      <c r="K243" s="1674">
        <f>SUM(K240:K242)</f>
        <v>9496</v>
      </c>
      <c r="L243" s="1674">
        <f>SUM(L240:L242)</f>
        <v>10385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397</v>
      </c>
      <c r="E245" s="1673"/>
      <c r="F245" s="1673"/>
      <c r="G245" s="1673"/>
      <c r="H245" s="1673"/>
      <c r="I245" s="1673"/>
      <c r="J245" s="1673"/>
      <c r="K245" s="1678">
        <f>D245</f>
        <v>397</v>
      </c>
      <c r="L245" s="1586">
        <v>300</v>
      </c>
    </row>
    <row r="246" spans="1:12" x14ac:dyDescent="0.2">
      <c r="A246" s="1274" t="s">
        <v>813</v>
      </c>
      <c r="B246" s="503">
        <v>2320</v>
      </c>
      <c r="C246" s="1673"/>
      <c r="D246" s="1573">
        <v>13125</v>
      </c>
      <c r="E246" s="1673"/>
      <c r="F246" s="1673"/>
      <c r="G246" s="1673"/>
      <c r="H246" s="1673"/>
      <c r="I246" s="1673"/>
      <c r="J246" s="1673"/>
      <c r="K246" s="1678">
        <f t="shared" ref="K246:K256" si="21">D246</f>
        <v>13125</v>
      </c>
      <c r="L246" s="1573">
        <v>9000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1374</v>
      </c>
      <c r="E254" s="1673"/>
      <c r="F254" s="1673"/>
      <c r="G254" s="1673"/>
      <c r="H254" s="1673"/>
      <c r="I254" s="1673"/>
      <c r="J254" s="1673"/>
      <c r="K254" s="1678">
        <f t="shared" si="21"/>
        <v>1374</v>
      </c>
      <c r="L254" s="1573">
        <v>1000</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14896</v>
      </c>
      <c r="E257" s="1673"/>
      <c r="F257" s="1673"/>
      <c r="G257" s="1673"/>
      <c r="H257" s="1673"/>
      <c r="I257" s="1673"/>
      <c r="J257" s="1673"/>
      <c r="K257" s="1674">
        <f>SUM(K245:K256)</f>
        <v>14896</v>
      </c>
      <c r="L257" s="1674">
        <f>SUM(L245:L256)</f>
        <v>10300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43642</v>
      </c>
      <c r="E259" s="1673"/>
      <c r="F259" s="1673"/>
      <c r="G259" s="1673"/>
      <c r="H259" s="1673"/>
      <c r="I259" s="1673"/>
      <c r="J259" s="1673"/>
      <c r="K259" s="1678">
        <f>D259</f>
        <v>43642</v>
      </c>
      <c r="L259" s="1586">
        <v>46290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43642</v>
      </c>
      <c r="E261" s="1673"/>
      <c r="F261" s="1673"/>
      <c r="G261" s="1673"/>
      <c r="H261" s="1673"/>
      <c r="I261" s="1673"/>
      <c r="J261" s="1673"/>
      <c r="K261" s="1674">
        <f>SUM(K259:K260)</f>
        <v>43642</v>
      </c>
      <c r="L261" s="1674">
        <f>SUM(L259:L260)</f>
        <v>46290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10893</v>
      </c>
      <c r="E264" s="1673"/>
      <c r="F264" s="1673"/>
      <c r="G264" s="1673"/>
      <c r="H264" s="1673"/>
      <c r="I264" s="1673"/>
      <c r="J264" s="1673"/>
      <c r="K264" s="1678">
        <f t="shared" ref="K264:K269" si="22">D264</f>
        <v>10893</v>
      </c>
      <c r="L264" s="1573">
        <v>11400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67418</v>
      </c>
      <c r="E266" s="1673"/>
      <c r="F266" s="1673"/>
      <c r="G266" s="1673"/>
      <c r="H266" s="1673"/>
      <c r="I266" s="1673"/>
      <c r="J266" s="1673"/>
      <c r="K266" s="1678">
        <f t="shared" si="22"/>
        <v>67418</v>
      </c>
      <c r="L266" s="1573">
        <v>72900</v>
      </c>
    </row>
    <row r="267" spans="1:14" x14ac:dyDescent="0.2">
      <c r="A267" s="1274" t="s">
        <v>947</v>
      </c>
      <c r="B267" s="503">
        <v>2550</v>
      </c>
      <c r="C267" s="1673"/>
      <c r="D267" s="1573">
        <v>99575</v>
      </c>
      <c r="E267" s="1673"/>
      <c r="F267" s="1673"/>
      <c r="G267" s="1673"/>
      <c r="H267" s="1673"/>
      <c r="I267" s="1673"/>
      <c r="J267" s="1673"/>
      <c r="K267" s="1678">
        <f t="shared" si="22"/>
        <v>99575</v>
      </c>
      <c r="L267" s="1573">
        <v>104725</v>
      </c>
    </row>
    <row r="268" spans="1:14" x14ac:dyDescent="0.2">
      <c r="A268" s="1274" t="s">
        <v>100</v>
      </c>
      <c r="B268" s="503">
        <v>2560</v>
      </c>
      <c r="C268" s="1673"/>
      <c r="D268" s="1573">
        <v>33991</v>
      </c>
      <c r="E268" s="1673"/>
      <c r="F268" s="1673"/>
      <c r="G268" s="1673"/>
      <c r="H268" s="1673"/>
      <c r="I268" s="1673"/>
      <c r="J268" s="1673"/>
      <c r="K268" s="1678">
        <f t="shared" si="22"/>
        <v>33991</v>
      </c>
      <c r="L268" s="1573">
        <v>39000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211877</v>
      </c>
      <c r="E270" s="1673"/>
      <c r="F270" s="1673"/>
      <c r="G270" s="1673"/>
      <c r="H270" s="1673"/>
      <c r="I270" s="1673"/>
      <c r="J270" s="1673"/>
      <c r="K270" s="1674">
        <f>SUM(K263:K269)</f>
        <v>211877</v>
      </c>
      <c r="L270" s="1674">
        <f>SUM(L263:L269)</f>
        <v>228025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v>14928</v>
      </c>
      <c r="E276" s="1673"/>
      <c r="F276" s="1673"/>
      <c r="G276" s="1673"/>
      <c r="H276" s="1673"/>
      <c r="I276" s="1673"/>
      <c r="J276" s="1673"/>
      <c r="K276" s="1678">
        <f>D276</f>
        <v>14928</v>
      </c>
      <c r="L276" s="1573">
        <v>14000</v>
      </c>
    </row>
    <row r="277" spans="1:12" ht="12.75" customHeight="1" thickBot="1" x14ac:dyDescent="0.25">
      <c r="A277" s="1393" t="s">
        <v>37</v>
      </c>
      <c r="B277" s="1381" t="s">
        <v>36</v>
      </c>
      <c r="C277" s="1673"/>
      <c r="D277" s="1674">
        <f>SUM(D272:D276)</f>
        <v>14928</v>
      </c>
      <c r="E277" s="1673"/>
      <c r="F277" s="1673"/>
      <c r="G277" s="1673"/>
      <c r="H277" s="1673"/>
      <c r="I277" s="1673"/>
      <c r="J277" s="1673"/>
      <c r="K277" s="1674">
        <f>SUM(K272:K276)</f>
        <v>14928</v>
      </c>
      <c r="L277" s="1674">
        <f>SUM(L272:L276)</f>
        <v>14000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312547</v>
      </c>
      <c r="E279" s="1673"/>
      <c r="F279" s="1673"/>
      <c r="G279" s="1673"/>
      <c r="H279" s="1673"/>
      <c r="I279" s="1673"/>
      <c r="J279" s="1673"/>
      <c r="K279" s="1681">
        <f>SUM(K238,K243,K257,K261,K270,K277,K278)</f>
        <v>312547</v>
      </c>
      <c r="L279" s="1681">
        <f>SUM(L238,L243,L257,L261,L270,L277,L278)</f>
        <v>325305</v>
      </c>
    </row>
    <row r="280" spans="1:12" ht="15.75" customHeight="1" thickTop="1" thickBot="1" x14ac:dyDescent="0.25">
      <c r="A280" s="1362" t="s">
        <v>870</v>
      </c>
      <c r="B280" s="1351">
        <v>3000</v>
      </c>
      <c r="C280" s="1673"/>
      <c r="D280" s="1651">
        <v>4506</v>
      </c>
      <c r="E280" s="1673"/>
      <c r="F280" s="1673"/>
      <c r="G280" s="1673"/>
      <c r="H280" s="1673"/>
      <c r="I280" s="1673"/>
      <c r="J280" s="1673"/>
      <c r="K280" s="1687">
        <f>D280</f>
        <v>4506</v>
      </c>
      <c r="L280" s="1651">
        <v>4208</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484030</v>
      </c>
      <c r="E295" s="1673"/>
      <c r="F295" s="1673"/>
      <c r="G295" s="1673"/>
      <c r="H295" s="1674">
        <f>H293</f>
        <v>0</v>
      </c>
      <c r="I295" s="1673"/>
      <c r="J295" s="1673"/>
      <c r="K295" s="1674">
        <f>SUM(K229,K279,K280,K285,K293,K294)</f>
        <v>484030</v>
      </c>
      <c r="L295" s="1674">
        <f>SUM(L229,L279,L280,L285,L293,L294)</f>
        <v>510405</v>
      </c>
    </row>
    <row r="296" spans="1:14" ht="13.5" thickTop="1" x14ac:dyDescent="0.2">
      <c r="A296" s="2286" t="s">
        <v>989</v>
      </c>
      <c r="B296" s="2287"/>
      <c r="C296" s="1673"/>
      <c r="D296" s="1675"/>
      <c r="E296" s="1673"/>
      <c r="F296" s="1673"/>
      <c r="G296" s="1673"/>
      <c r="H296" s="1707"/>
      <c r="I296" s="1673"/>
      <c r="J296" s="1673"/>
      <c r="K296" s="1689">
        <f>'Revenues 9-14'!G268-'Expenditures 15-22'!K295</f>
        <v>9931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1979435</v>
      </c>
      <c r="H301" s="1573"/>
      <c r="I301" s="1574"/>
      <c r="J301" s="1574"/>
      <c r="K301" s="1672">
        <f>SUM(C301:J301)</f>
        <v>1979435</v>
      </c>
      <c r="L301" s="1574">
        <v>1979434</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1979435</v>
      </c>
      <c r="H303" s="1681">
        <f t="shared" si="23"/>
        <v>0</v>
      </c>
      <c r="I303" s="1681">
        <f t="shared" si="23"/>
        <v>0</v>
      </c>
      <c r="J303" s="1681">
        <f t="shared" si="23"/>
        <v>0</v>
      </c>
      <c r="K303" s="1681">
        <f t="shared" si="23"/>
        <v>1979435</v>
      </c>
      <c r="L303" s="1681">
        <f t="shared" si="23"/>
        <v>1979434</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1979435</v>
      </c>
      <c r="H312" s="1674">
        <f>SUM(H303,H310)</f>
        <v>0</v>
      </c>
      <c r="I312" s="1674">
        <f>SUM(I303)</f>
        <v>0</v>
      </c>
      <c r="J312" s="1674">
        <f>SUM(J303)</f>
        <v>0</v>
      </c>
      <c r="K312" s="1674">
        <f>SUM(K303,K310,K311)</f>
        <v>1979435</v>
      </c>
      <c r="L312" s="1674">
        <f>SUM(L303,L310,L311)</f>
        <v>1979434</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-1957632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90620</v>
      </c>
      <c r="F320" s="1574"/>
      <c r="G320" s="1574"/>
      <c r="H320" s="1574"/>
      <c r="I320" s="1574"/>
      <c r="J320" s="1574"/>
      <c r="K320" s="1672">
        <f t="shared" ref="K320:K327" si="24">SUM(C320:J320)</f>
        <v>90620</v>
      </c>
      <c r="L320" s="1574">
        <v>90600</v>
      </c>
      <c r="M320" s="539"/>
      <c r="N320" s="539"/>
    </row>
    <row r="321" spans="1:14" s="548" customFormat="1" x14ac:dyDescent="0.2">
      <c r="A321" s="1289" t="s">
        <v>297</v>
      </c>
      <c r="B321" s="567" t="s">
        <v>281</v>
      </c>
      <c r="C321" s="1574"/>
      <c r="D321" s="1574"/>
      <c r="E321" s="1574">
        <v>10598</v>
      </c>
      <c r="F321" s="1574"/>
      <c r="G321" s="1574"/>
      <c r="H321" s="1574"/>
      <c r="I321" s="1574"/>
      <c r="J321" s="1574"/>
      <c r="K321" s="1672">
        <f t="shared" si="24"/>
        <v>10598</v>
      </c>
      <c r="L321" s="1574">
        <v>12000</v>
      </c>
      <c r="M321" s="539"/>
      <c r="N321" s="539"/>
    </row>
    <row r="322" spans="1:14" s="548" customFormat="1" x14ac:dyDescent="0.2">
      <c r="A322" s="1289" t="s">
        <v>236</v>
      </c>
      <c r="B322" s="567" t="s">
        <v>282</v>
      </c>
      <c r="C322" s="1574"/>
      <c r="D322" s="1574"/>
      <c r="E322" s="1574">
        <v>93221</v>
      </c>
      <c r="F322" s="1574"/>
      <c r="G322" s="1574"/>
      <c r="H322" s="1574"/>
      <c r="I322" s="1574"/>
      <c r="J322" s="1574"/>
      <c r="K322" s="1672">
        <f t="shared" si="24"/>
        <v>93221</v>
      </c>
      <c r="L322" s="1574">
        <v>106500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929150</v>
      </c>
      <c r="D325" s="1574"/>
      <c r="E325" s="1574">
        <v>92016</v>
      </c>
      <c r="F325" s="1574">
        <v>6313</v>
      </c>
      <c r="G325" s="1574">
        <v>8513</v>
      </c>
      <c r="H325" s="1574"/>
      <c r="I325" s="1574"/>
      <c r="J325" s="1574"/>
      <c r="K325" s="1672">
        <f t="shared" si="24"/>
        <v>1035992</v>
      </c>
      <c r="L325" s="1574">
        <v>1029000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23247</v>
      </c>
      <c r="F327" s="1574"/>
      <c r="G327" s="1574"/>
      <c r="H327" s="1574"/>
      <c r="I327" s="1574"/>
      <c r="J327" s="1574"/>
      <c r="K327" s="1672">
        <f t="shared" si="24"/>
        <v>23247</v>
      </c>
      <c r="L327" s="1574">
        <v>20000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929150</v>
      </c>
      <c r="D330" s="1674">
        <f t="shared" ref="D330:J330" si="25">SUM(D319:D329)</f>
        <v>0</v>
      </c>
      <c r="E330" s="1674">
        <f t="shared" si="25"/>
        <v>309702</v>
      </c>
      <c r="F330" s="1674">
        <f t="shared" si="25"/>
        <v>6313</v>
      </c>
      <c r="G330" s="1674">
        <f t="shared" si="25"/>
        <v>8513</v>
      </c>
      <c r="H330" s="1674">
        <f t="shared" si="25"/>
        <v>0</v>
      </c>
      <c r="I330" s="1674">
        <f t="shared" si="25"/>
        <v>0</v>
      </c>
      <c r="J330" s="1674">
        <f t="shared" si="25"/>
        <v>0</v>
      </c>
      <c r="K330" s="1674">
        <f>SUM(K319:K329)</f>
        <v>1253678</v>
      </c>
      <c r="L330" s="1674">
        <f>SUM(L319:L329)</f>
        <v>1258100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929150</v>
      </c>
      <c r="D342" s="1674">
        <f>SUM(D330)</f>
        <v>0</v>
      </c>
      <c r="E342" s="1674">
        <f>SUM(E330)</f>
        <v>309702</v>
      </c>
      <c r="F342" s="1674">
        <f>SUM(F330)</f>
        <v>6313</v>
      </c>
      <c r="G342" s="1674">
        <f>SUM(G330)</f>
        <v>8513</v>
      </c>
      <c r="H342" s="1674">
        <f>SUM(H330,H334,H340)</f>
        <v>0</v>
      </c>
      <c r="I342" s="1674">
        <f>SUM(I330)</f>
        <v>0</v>
      </c>
      <c r="J342" s="1674">
        <f>SUM(J330)</f>
        <v>0</v>
      </c>
      <c r="K342" s="1674">
        <f>SUM(K330,K334,K340)</f>
        <v>1253678</v>
      </c>
      <c r="L342" s="1681">
        <f>SUM(L330,L334,L340,L341)</f>
        <v>1258100</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255442</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15060</v>
      </c>
      <c r="F348" s="1573"/>
      <c r="G348" s="1573">
        <v>163538</v>
      </c>
      <c r="H348" s="1573"/>
      <c r="I348" s="1574"/>
      <c r="J348" s="1574"/>
      <c r="K348" s="1672">
        <f>SUM(C348:J348)</f>
        <v>178598</v>
      </c>
      <c r="L348" s="1573">
        <v>173476</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15060</v>
      </c>
      <c r="F350" s="1674">
        <f t="shared" si="26"/>
        <v>0</v>
      </c>
      <c r="G350" s="1674">
        <f t="shared" si="26"/>
        <v>163538</v>
      </c>
      <c r="H350" s="1674">
        <f t="shared" si="26"/>
        <v>0</v>
      </c>
      <c r="I350" s="1674">
        <f t="shared" si="26"/>
        <v>0</v>
      </c>
      <c r="J350" s="1674">
        <f t="shared" si="26"/>
        <v>0</v>
      </c>
      <c r="K350" s="1674">
        <f t="shared" si="26"/>
        <v>178598</v>
      </c>
      <c r="L350" s="1674">
        <f t="shared" si="26"/>
        <v>173476</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15060</v>
      </c>
      <c r="F352" s="1674">
        <f t="shared" si="27"/>
        <v>0</v>
      </c>
      <c r="G352" s="1674">
        <f t="shared" si="27"/>
        <v>163538</v>
      </c>
      <c r="H352" s="1674">
        <f t="shared" si="27"/>
        <v>0</v>
      </c>
      <c r="I352" s="1674">
        <f t="shared" si="27"/>
        <v>0</v>
      </c>
      <c r="J352" s="1674">
        <f t="shared" si="27"/>
        <v>0</v>
      </c>
      <c r="K352" s="1674">
        <f t="shared" si="27"/>
        <v>178598</v>
      </c>
      <c r="L352" s="1674">
        <f t="shared" si="27"/>
        <v>173476</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15060</v>
      </c>
      <c r="F367" s="1674">
        <f t="shared" si="28"/>
        <v>0</v>
      </c>
      <c r="G367" s="1674">
        <f t="shared" si="28"/>
        <v>163538</v>
      </c>
      <c r="H367" s="1674">
        <f t="shared" si="28"/>
        <v>0</v>
      </c>
      <c r="I367" s="1674">
        <f t="shared" si="28"/>
        <v>0</v>
      </c>
      <c r="J367" s="1674">
        <f t="shared" si="28"/>
        <v>0</v>
      </c>
      <c r="K367" s="1674">
        <f t="shared" si="28"/>
        <v>178598</v>
      </c>
      <c r="L367" s="1674">
        <f t="shared" si="28"/>
        <v>173476</v>
      </c>
    </row>
    <row r="368" spans="1:14" ht="13.5" thickTop="1" x14ac:dyDescent="0.2">
      <c r="A368" s="2286" t="s">
        <v>989</v>
      </c>
      <c r="B368" s="2287"/>
      <c r="C368" s="1694"/>
      <c r="D368" s="1694"/>
      <c r="E368" s="1677"/>
      <c r="F368" s="1677"/>
      <c r="G368" s="1677"/>
      <c r="H368" s="1677"/>
      <c r="I368" s="1677"/>
      <c r="J368" s="1676"/>
      <c r="K368" s="1672">
        <f>'Revenues 9-14'!K268-'Expenditures 15-22'!K367</f>
        <v>-100403</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http://www.w3.org/XML/1998/namespace"/>
    <ds:schemaRef ds:uri="4d435f69-8686-490b-bd6d-b153bf22ab50"/>
    <ds:schemaRef ds:uri="http://schemas.microsoft.com/office/2006/documentManagement/types"/>
    <ds:schemaRef ds:uri="http://purl.org/dc/dcmitype/"/>
    <ds:schemaRef ds:uri="6ce3111e-7420-4802-b50a-75d4e9a0b980"/>
    <ds:schemaRef ds:uri="http://purl.org/dc/terms/"/>
    <ds:schemaRef ds:uri="http://schemas.microsoft.com/office/2006/metadata/properties"/>
    <ds:schemaRef ds:uri="http://schemas.microsoft.com/sharepoint/v3"/>
    <ds:schemaRef ds:uri="http://schemas.microsoft.com/office/infopath/2007/PartnerControls"/>
    <ds:schemaRef ds:uri="d21dc803-237d-4c68-8692-8d731fd29118"/>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2020-09-17T19:23:47Z</cp:lastPrinted>
  <dcterms:created xsi:type="dcterms:W3CDTF">2003-10-29T19:06:34Z</dcterms:created>
  <dcterms:modified xsi:type="dcterms:W3CDTF">2020-10-09T13:07:09Z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