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F95B6AB-1171-47B7-800D-3104E765D7F9}" xr6:coauthVersionLast="36" xr6:coauthVersionMax="36" xr10:uidLastSave="{00000000-0000-0000-0000-000000000000}"/>
  <bookViews>
    <workbookView xWindow="360" yWindow="0" windowWidth="1971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 i="11" l="1"/>
  <c r="E16" i="7"/>
  <c r="E14" i="7"/>
  <c r="E13" i="7"/>
  <c r="E12" i="7"/>
  <c r="E11" i="7"/>
  <c r="E10" i="7"/>
  <c r="E7" i="7"/>
  <c r="E5" i="7"/>
  <c r="E4" i="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074" i="106" l="1"/>
  <c r="D7074" i="106" s="1"/>
  <c r="F37" i="34"/>
  <c r="B7829" i="106" s="1"/>
  <c r="D7829" i="106" s="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L114" i="29"/>
  <c r="F41" i="108"/>
  <c r="G43" i="108" s="1"/>
  <c r="B5527" i="106"/>
  <c r="D5527" i="106" s="1"/>
  <c r="D44" i="36"/>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20" i="4"/>
  <c r="J78" i="4"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<sst xmlns="http://schemas.openxmlformats.org/spreadsheetml/2006/main" count="5149" uniqueCount="2082">
  <si>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</si>
  <si>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</si>
  <si>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</si>
  <si>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</si>
  <si>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</si>
  <si>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</si>
  <si>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</si>
  <si>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</si>
  <si>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</si>
  <si>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</si>
  <si>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</si>
  <si>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</si>
  <si>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</si>
  <si>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</si>
  <si>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</si>
  <si>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</si>
  <si>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</si>
  <si>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</si>
  <si>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</si>
  <si>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</si>
  <si>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</si>
  <si>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</si>
  <si>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</si>
  <si>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</si>
  <si>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</si>
  <si>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</si>
  <si>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</si>
  <si>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</si>
  <si>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</si>
  <si>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</si>
  <si>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</si>
  <si>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</si>
  <si>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</si>
  <si>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</si>
  <si>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</si>
  <si>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</si>
  <si>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</si>
  <si>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</si>
  <si>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</si>
  <si>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</si>
  <si>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</si>
  <si>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</si>
  <si>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</si>
  <si>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</si>
  <si>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</si>
  <si>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</si>
  <si>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</si>
  <si>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</si>
  <si>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</si>
  <si>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</si>
  <si>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</si>
  <si>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</si>
  <si>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</si>
  <si>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</si>
  <si>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</si>
  <si>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</si>
  <si>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</si>
  <si>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</si>
  <si>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</si>
  <si>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</si>
  <si>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</si>
  <si>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</si>
  <si>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</si>
  <si>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</si>
  <si>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</si>
  <si>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</si>
  <si>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</si>
  <si>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</si>
  <si>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</si>
  <si>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</si>
  <si>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</si>
  <si>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</si>
  <si>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</si>
  <si>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</si>
  <si>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</si>
  <si>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</si>
  <si>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</si>
  <si>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</si>
  <si>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</si>
  <si>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</si>
  <si>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</si>
  <si>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</si>
  <si>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</si>
  <si>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</si>
  <si>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</si>
  <si>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</si>
  <si>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</si>
  <si>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</si>
  <si>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</si>
  <si>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</si>
  <si>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</si>
  <si>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</si>
  <si>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</si>
  <si>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</si>
  <si>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</si>
  <si>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</si>
  <si>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</si>
  <si>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</si>
  <si>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</si>
  <si>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</si>
  <si>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</si>
  <si>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</si>
  <si>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</si>
  <si>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</si>
  <si>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</si>
  <si>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</si>
  <si>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</si>
  <si>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</si>
  <si>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</si>
  <si>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</si>
  <si>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</si>
  <si>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</si>
  <si>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</si>
  <si>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</si>
  <si>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</si>
  <si>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</si>
  <si>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</si>
  <si>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</si>
  <si>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</si>
  <si>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</si>
  <si>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</si>
  <si>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</si>
  <si>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</si>
  <si>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</si>
  <si>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</si>
  <si>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</si>
  <si>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</si>
  <si>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</si>
  <si>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</si>
  <si>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</si>
  <si>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</si>
  <si>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</si>
  <si>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</si>
  <si>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</si>
  <si>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</si>
  <si>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</si>
  <si>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</si>
  <si>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</si>
  <si>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</si>
  <si>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</si>
  <si>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</si>
  <si>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</si>
  <si>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</si>
  <si>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</si>
  <si>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</si>
  <si>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</si>
  <si>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</si>
  <si>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</si>
  <si>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</si>
  <si>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</si>
  <si>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</si>
  <si>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</si>
  <si>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</si>
  <si>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</si>
  <si>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</si>
  <si>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</si>
  <si>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</si>
  <si>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</si>
  <si>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</si>
  <si>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</si>
  <si>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</si>
  <si>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</si>
  <si>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</si>
  <si>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</si>
  <si>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</si>
  <si>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</si>
  <si>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</si>
  <si>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</si>
  <si>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</si>
  <si>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</si>
  <si>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</si>
  <si>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</si>
  <si>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</si>
  <si>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</si>
  <si>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</si>
  <si>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</si>
  <si>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</si>
  <si>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</si>
  <si>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</si>
  <si>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</si>
  <si>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</si>
  <si>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</si>
  <si>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</si>
  <si>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</si>
  <si>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</si>
  <si>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</si>
  <si>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</si>
  <si>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</si>
  <si>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</si>
  <si>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</si>
  <si>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</si>
  <si>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</si>
  <si>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</si>
  <si>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</si>
  <si>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</si>
  <si>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</si>
  <si>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</si>
  <si>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</si>
  <si>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</si>
  <si>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</si>
  <si>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</si>
  <si>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</si>
  <si>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</si>
  <si>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</si>
  <si>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</si>
  <si>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</si>
  <si>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</si>
  <si>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</si>
  <si>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</si>
  <si>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</si>
  <si>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</si>
  <si>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</si>
  <si>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</si>
  <si>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</si>
  <si>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</si>
  <si>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</si>
  <si>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</si>
  <si>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</si>
  <si>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</si>
  <si>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</si>
  <si>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</si>
  <si>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</si>
  <si>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</si>
  <si>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</si>
  <si>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</si>
  <si>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</si>
  <si>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</si>
  <si>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</si>
  <si>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</si>
  <si>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</si>
  <si>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</si>
  <si>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</si>
  <si>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</si>
  <si>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</si>
  <si>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</si>
  <si>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</si>
  <si>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</si>
  <si>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</si>
  <si>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</si>
  <si>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</si>
  <si>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</si>
  <si>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</si>
  <si>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</si>
  <si>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</si>
  <si>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</si>
  <si>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</si>
  <si>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</si>
  <si>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</si>
  <si>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</si>
  <si>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</si>
  <si>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</si>
  <si>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</si>
  <si>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</si>
  <si>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</si>
  <si>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</si>
  <si>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</si>
  <si>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</si>
  <si>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</si>
  <si>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</si>
  <si>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</si>
  <si>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</si>
  <si>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</si>
  <si>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</si>
  <si>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</si>
  <si>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</si>
  <si>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</si>
  <si>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</si>
  <si>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</si>
  <si>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</si>
  <si>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</si>
  <si>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</si>
  <si>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</si>
  <si>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</si>
  <si>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</si>
  <si>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</si>
  <si>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</si>
  <si>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</si>
  <si>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</si>
  <si>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</si>
  <si>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</si>
  <si>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</si>
  <si>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</si>
  <si>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</si>
  <si>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</si>
  <si>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</si>
  <si>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</si>
  <si>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</si>
  <si>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</si>
  <si>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</si>
  <si>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</si>
  <si>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</si>
  <si>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</si>
  <si>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</si>
  <si>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</si>
  <si>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</si>
  <si>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</si>
  <si>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</si>
  <si>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</si>
  <si>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</si>
  <si>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</si>
  <si>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</si>
  <si>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</si>
  <si>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</si>
  <si>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</si>
  <si>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</si>
  <si>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</si>
  <si>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</si>
  <si>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</si>
  <si>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</si>
  <si>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</si>
  <si>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</si>
  <si>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</si>
  <si>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</si>
  <si>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</si>
  <si>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</si>
  <si>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</si>
  <si>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</si>
  <si>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</si>
  <si>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</si>
  <si>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</si>
  <si>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</si>
  <si>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</si>
  <si>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</si>
  <si>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</si>
  <si>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</si>
  <si>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</si>
  <si>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</si>
  <si>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</si>
  <si>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</si>
  <si>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</si>
  <si>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</si>
  <si>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</si>
  <si>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</si>
  <si>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</si>
  <si>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</si>
  <si>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</si>
  <si>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</si>
  <si>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</si>
  <si>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</si>
  <si>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</si>
  <si>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</si>
  <si>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</si>
  <si>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</si>
  <si>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</si>
  <si>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</si>
  <si>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</si>
  <si>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</si>
  <si>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</si>
  <si>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</si>
  <si>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</si>
  <si>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</si>
  <si>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</si>
  <si>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</si>
  <si>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</si>
  <si>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</si>
  <si>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</si>
  <si>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</si>
  <si>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</si>
  <si>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</si>
  <si>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</si>
  <si>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</si>
  <si>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</si>
  <si>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</si>
  <si>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</si>
  <si>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</si>
  <si>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</si>
  <si>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</si>
  <si>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</si>
  <si>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</si>
  <si>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</si>
  <si>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</si>
  <si>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</si>
  <si>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</si>
  <si>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</si>
  <si>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</si>
  <si>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</si>
  <si>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</si>
  <si>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</si>
  <si>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</si>
  <si>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</si>
  <si>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</si>
  <si>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</si>
  <si>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</si>
  <si>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</si>
  <si>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</si>
  <si>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</si>
  <si>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</si>
  <si>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</si>
  <si>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</si>
  <si>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</si>
  <si>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</si>
  <si>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</si>
  <si>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</si>
  <si>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</si>
  <si>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</si>
  <si>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</si>
  <si>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</si>
  <si>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</si>
  <si>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</si>
  <si>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</si>
  <si>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</si>
  <si>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</si>
  <si>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</si>
  <si>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</si>
  <si>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</si>
  <si>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</si>
  <si>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</si>
  <si>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</si>
  <si>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</si>
  <si>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</si>
  <si>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</si>
  <si>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</si>
  <si>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</si>
  <si>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</si>
  <si>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</si>
  <si>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</si>
  <si>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</si>
  <si>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</si>
  <si>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</si>
  <si>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</si>
  <si>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</si>
  <si>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</si>
  <si>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</si>
  <si>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</si>
  <si>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</si>
  <si>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</si>
  <si>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</si>
  <si>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</si>
  <si>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</si>
  <si>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</si>
  <si>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</si>
  <si>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</si>
  <si>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</si>
  <si>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</si>
  <si>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</si>
  <si>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</si>
  <si>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</si>
  <si>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</si>
  <si>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</si>
  <si>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</si>
  <si>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</si>
  <si>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</si>
  <si>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</si>
  <si>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</si>
  <si>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</si>
  <si>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</si>
  <si>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</si>
  <si>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</si>
  <si>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</si>
  <si>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</si>
  <si>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</si>
  <si>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</si>
  <si>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</si>
  <si>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</si>
  <si>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</si>
  <si>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</si>
  <si>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</si>
  <si>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</si>
  <si>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</si>
  <si>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</si>
  <si>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</si>
  <si>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</si>
  <si>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</si>
  <si>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</si>
  <si>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</si>
  <si>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</si>
  <si>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</si>
  <si>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</si>
  <si>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</si>
  <si>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</si>
  <si>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</si>
  <si>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</si>
  <si>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</si>
  <si>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</si>
  <si>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</si>
  <si>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</si>
  <si>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</si>
  <si>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</si>
  <si>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</si>
  <si>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</si>
  <si>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</si>
  <si>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</si>
  <si>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</si>
  <si>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</si>
  <si>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</si>
  <si>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</si>
  <si>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</si>
  <si>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</si>
  <si>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</si>
  <si>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</si>
  <si>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</si>
  <si>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</si>
  <si>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</si>
  <si>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</si>
  <si>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</si>
  <si>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</si>
  <si>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</si>
  <si>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</si>
  <si>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</si>
  <si>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</si>
  <si>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</si>
  <si>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</si>
  <si>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</si>
  <si>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</si>
  <si>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</si>
  <si>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</si>
  <si>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</si>
  <si>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</si>
  <si>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</si>
  <si>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</si>
  <si>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</si>
  <si>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</si>
  <si>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</si>
  <si>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</si>
  <si>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</si>
  <si>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</si>
  <si>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</si>
  <si>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</si>
  <si>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</si>
  <si>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</si>
  <si>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</si>
  <si>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</si>
  <si>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</si>
  <si>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</si>
  <si>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</si>
  <si>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</si>
  <si>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</si>
  <si>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</si>
  <si>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</si>
  <si>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</si>
  <si>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</si>
  <si>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</si>
  <si>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</si>
  <si>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</si>
  <si>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</si>
  <si>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</si>
  <si>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</si>
  <si>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</si>
  <si>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</si>
  <si>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</si>
  <si>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</si>
  <si>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</si>
  <si>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</si>
  <si>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</si>
  <si>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</si>
  <si>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</si>
  <si>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</si>
  <si>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</si>
  <si>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</si>
  <si>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</si>
  <si>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</si>
  <si>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</si>
  <si>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</si>
  <si>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</si>
  <si>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</si>
  <si>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</si>
  <si>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</si>
  <si>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</si>
  <si>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</si>
  <si>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</si>
  <si>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</si>
  <si>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</si>
  <si>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</si>
  <si>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</si>
  <si>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</si>
  <si>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</si>
  <si>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</si>
  <si>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</si>
  <si>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</si>
  <si>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</si>
  <si>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</si>
  <si>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</si>
  <si>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</si>
  <si>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</si>
  <si>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</si>
  <si>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</si>
  <si>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</si>
  <si>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</si>
  <si>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</si>
  <si>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</si>
  <si>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</si>
  <si>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</si>
  <si>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</si>
  <si>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</si>
  <si>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</si>
  <si>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</si>
  <si>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</si>
  <si>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</si>
  <si>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</si>
  <si>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</si>
  <si>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</si>
  <si>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</si>
  <si>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</si>
  <si>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</si>
  <si>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</si>
  <si>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</si>
  <si>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</si>
  <si>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</si>
  <si>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</si>
  <si>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</si>
  <si>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</si>
  <si>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</si>
  <si>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</si>
  <si>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</si>
  <si>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</si>
  <si>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</si>
  <si>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</si>
  <si>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</si>
  <si>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</si>
  <si>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</si>
  <si>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</si>
  <si>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</si>
  <si>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</si>
  <si>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</si>
  <si>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</si>
  <si>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</si>
  <si>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</si>
  <si>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</si>
  <si>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</si>
  <si>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</si>
  <si>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</si>
  <si>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</si>
  <si>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</si>
  <si>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</si>
  <si>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</si>
  <si>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</si>
  <si>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</si>
  <si>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</si>
  <si>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</si>
  <si>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</si>
  <si>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</si>
  <si>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</si>
  <si>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</si>
  <si>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</si>
  <si>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</si>
  <si>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</si>
  <si>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</si>
  <si>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</si>
  <si>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</si>
  <si>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</si>
  <si>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</si>
  <si>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</si>
  <si>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</si>
  <si>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</si>
  <si>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</si>
  <si>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</si>
  <si>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</si>
  <si>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</si>
  <si>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</si>
  <si>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</si>
  <si>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</si>
  <si>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</si>
  <si>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</si>
  <si>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</si>
  <si>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</si>
  <si>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</si>
  <si>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</si>
  <si>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</si>
  <si>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</si>
  <si>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</si>
  <si>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</si>
  <si>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</si>
  <si>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</si>
  <si>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</si>
  <si>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</si>
  <si>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</si>
  <si>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</si>
  <si>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</si>
  <si>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</si>
  <si>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</si>
  <si>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</si>
  <si>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</si>
  <si>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</si>
  <si>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</si>
  <si>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</si>
  <si>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</si>
  <si>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</si>
  <si>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</si>
  <si>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</si>
  <si>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</si>
  <si>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</si>
  <si>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</si>
  <si>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</si>
  <si>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</si>
  <si>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</si>
  <si>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</si>
  <si>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</si>
  <si>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</si>
  <si>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</si>
  <si>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</si>
  <si>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</si>
  <si>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</si>
  <si>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</si>
  <si>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</si>
  <si>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</si>
  <si>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</si>
  <si>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</si>
  <si>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</si>
  <si>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</si>
  <si>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</si>
  <si>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</si>
  <si>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</si>
  <si>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</si>
  <si>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</si>
  <si>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</si>
  <si>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</si>
  <si>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</si>
  <si>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</si>
  <si>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</si>
  <si>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</si>
  <si>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</si>
  <si>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</si>
  <si>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</si>
  <si>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</si>
  <si>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</si>
  <si>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</si>
  <si>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</si>
  <si>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</si>
  <si>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</si>
  <si>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</si>
  <si>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</si>
  <si>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</si>
  <si>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</si>
  <si>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</si>
  <si>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</si>
  <si>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</si>
  <si>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</si>
  <si>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</si>
  <si>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</si>
  <si>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</si>
  <si>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</si>
  <si>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</si>
  <si>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</si>
  <si>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</si>
  <si>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</si>
  <si>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</si>
  <si>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</si>
  <si>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</si>
  <si>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</si>
  <si>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</si>
  <si>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</si>
  <si>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</si>
  <si>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</si>
  <si>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</si>
  <si>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</si>
  <si>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</si>
  <si>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</si>
  <si>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</si>
  <si>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</si>
  <si>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</si>
  <si>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</si>
  <si>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</si>
  <si>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</si>
  <si>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</si>
  <si>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</si>
  <si>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</si>
  <si>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</si>
  <si>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</si>
  <si>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</si>
  <si>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</si>
  <si>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</si>
  <si>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</si>
  <si>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</si>
  <si>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</si>
  <si>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</si>
  <si>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</si>
  <si>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</si>
  <si>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</si>
  <si>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</si>
  <si>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</si>
  <si>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</si>
  <si>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</si>
  <si>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</si>
  <si>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</si>
  <si>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</si>
  <si>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</si>
  <si>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</si>
  <si>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</si>
  <si>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</si>
  <si>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</si>
  <si>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</si>
  <si>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</si>
  <si>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</si>
  <si>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</si>
  <si>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</si>
  <si>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</si>
  <si>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</si>
  <si>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</si>
  <si>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</si>
  <si>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</si>
  <si>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</si>
  <si>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</si>
  <si>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</si>
  <si>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</si>
  <si>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</si>
  <si>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</si>
  <si>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</si>
  <si>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</si>
  <si>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</si>
  <si>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</si>
  <si>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</si>
  <si>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</si>
  <si>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</si>
  <si>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</si>
  <si>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</si>
  <si>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</si>
  <si>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</si>
  <si>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</si>
  <si>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</si>
  <si>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</si>
  <si>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</si>
  <si>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</si>
  <si>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</si>
  <si>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</si>
  <si>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</si>
  <si>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</si>
  <si>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</si>
  <si>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</si>
  <si>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</si>
  <si>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</si>
  <si>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</si>
  <si>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</si>
  <si>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</si>
  <si>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</si>
  <si>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</si>
  <si>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</si>
  <si>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</si>
  <si>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</si>
  <si>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</si>
  <si>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</si>
  <si>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</si>
  <si>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</si>
  <si>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</si>
  <si>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</si>
  <si>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</si>
  <si>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</si>
  <si>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</si>
  <si>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</si>
  <si>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</si>
  <si>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</si>
  <si>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</si>
  <si>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</si>
  <si>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</si>
  <si>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</si>
  <si>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</si>
  <si>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</si>
  <si>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</si>
  <si>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</si>
  <si>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</si>
  <si>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</si>
  <si>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</si>
  <si>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</si>
  <si>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</si>
  <si>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</si>
  <si>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</si>
  <si>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</si>
  <si>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</si>
  <si>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</si>
  <si>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</si>
  <si>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</si>
  <si>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</si>
  <si>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</si>
  <si>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</si>
  <si>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</si>
  <si>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</si>
  <si>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</si>
  <si>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</si>
  <si>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</si>
  <si>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</si>
  <si>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</si>
  <si>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</si>
  <si>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</si>
  <si>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</si>
  <si>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</si>
  <si>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</si>
  <si>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</si>
  <si>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</si>
  <si>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</si>
  <si>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</si>
  <si>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</si>
  <si>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</si>
  <si>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</si>
  <si>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</si>
  <si>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</si>
  <si>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</si>
  <si>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</si>
  <si>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</si>
  <si>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</si>
  <si>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</si>
  <si>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</si>
  <si>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</si>
  <si>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</si>
  <si>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</si>
  <si>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</si>
  <si>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</si>
  <si>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</si>
  <si>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</si>
  <si>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</si>
  <si>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</si>
  <si>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</si>
  <si>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</si>
  <si>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</si>
  <si>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</si>
  <si>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</si>
  <si>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</si>
  <si>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</si>
  <si>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</si>
  <si>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</si>
  <si>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</si>
  <si>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</si>
  <si>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</si>
  <si>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</si>
  <si>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</si>
  <si>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</si>
  <si>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</si>
  <si>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</si>
  <si>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</si>
  <si>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</si>
  <si>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</si>
  <si>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</si>
  <si>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</si>
  <si>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</si>
  <si>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</si>
  <si>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</si>
  <si>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</si>
  <si>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</si>
  <si>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</si>
  <si>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</si>
  <si>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</si>
  <si>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</si>
  <si>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</si>
  <si>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</si>
  <si>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</si>
  <si>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</si>
  <si>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</si>
  <si>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</si>
  <si>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</si>
  <si>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</si>
  <si>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</si>
  <si>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</si>
  <si>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</si>
  <si>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</si>
  <si>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</si>
  <si>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</si>
  <si>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</si>
  <si>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</si>
  <si>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</si>
  <si>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</si>
  <si>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</si>
  <si>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</si>
  <si>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</si>
  <si>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</si>
  <si>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</si>
  <si>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</si>
  <si>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</si>
  <si>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</si>
  <si>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</si>
  <si>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</si>
  <si>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</si>
  <si>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</si>
  <si>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</si>
  <si>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</si>
  <si>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</si>
  <si>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</si>
  <si>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</si>
  <si>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</si>
  <si>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</si>
  <si>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</si>
  <si>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</si>
  <si>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</si>
  <si>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</si>
  <si>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</si>
  <si>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</si>
  <si>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</si>
  <si>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</si>
  <si>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</si>
  <si>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</si>
  <si>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</si>
  <si>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</si>
  <si>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</si>
  <si>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</si>
  <si>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</si>
  <si>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</si>
  <si>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</si>
  <si>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</si>
  <si>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</si>
  <si>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</si>
  <si>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</si>
  <si>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</si>
  <si>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</si>
  <si>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</si>
  <si>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</si>
  <si>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</si>
  <si>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</si>
  <si>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</si>
  <si>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</si>
  <si>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</si>
  <si>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</si>
  <si>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</si>
  <si>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</si>
  <si>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</si>
  <si>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</si>
  <si>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</si>
  <si>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</si>
  <si>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</si>
  <si>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</si>
  <si>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</si>
  <si>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</si>
  <si>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</si>
  <si>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</si>
  <si>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</si>
  <si>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</si>
  <si>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</si>
  <si>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</si>
  <si>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</si>
  <si>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</si>
  <si>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</si>
  <si>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</si>
  <si>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</si>
  <si>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</si>
  <si>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</si>
  <si>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</si>
  <si>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</si>
  <si>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</si>
  <si>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</si>
  <si>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</si>
  <si>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</si>
  <si>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</si>
  <si>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</si>
  <si>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</si>
  <si>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</si>
  <si>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</si>
  <si>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</si>
  <si>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</si>
  <si>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</si>
  <si>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</si>
  <si>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</si>
  <si>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</si>
  <si>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</si>
  <si>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</si>
  <si>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</si>
  <si>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</si>
  <si>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</si>
  <si>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</si>
  <si>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</si>
  <si>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</si>
  <si>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</si>
  <si>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</si>
  <si>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</si>
  <si>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</si>
  <si>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</si>
  <si>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</si>
  <si>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</si>
  <si>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</si>
  <si>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</si>
  <si>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</si>
  <si>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</si>
  <si>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</si>
  <si>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</si>
  <si>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</si>
  <si>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</si>
  <si>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</si>
  <si>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</si>
  <si>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</si>
  <si>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</si>
  <si>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</si>
  <si>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</si>
  <si>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</si>
  <si>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</si>
  <si>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</si>
  <si>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</si>
  <si>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</si>
  <si>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</si>
  <si>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</si>
  <si>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</si>
  <si>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</si>
  <si>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</si>
  <si>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</si>
  <si>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</si>
  <si>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</si>
  <si>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</si>
  <si>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</si>
  <si>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</si>
  <si>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</si>
  <si>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</si>
  <si>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</si>
  <si>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</si>
  <si>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</si>
  <si>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</si>
  <si>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</si>
  <si>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</si>
  <si>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</si>
  <si>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</si>
  <si>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</si>
  <si>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</si>
  <si>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</si>
  <si>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</si>
  <si>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</si>
  <si>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</si>
  <si>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</si>
  <si>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</si>
  <si>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</si>
  <si>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</si>
  <si>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</si>
  <si>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</si>
  <si>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</si>
  <si>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</si>
  <si>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</si>
  <si>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</si>
  <si>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</si>
  <si>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</si>
  <si>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</si>
  <si>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</si>
  <si>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</si>
  <si>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</si>
  <si>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</si>
  <si>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</si>
  <si>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</si>
  <si>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</si>
  <si>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</si>
  <si>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</si>
  <si>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</si>
  <si>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</si>
  <si>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</si>
  <si>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</si>
  <si>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</si>
  <si>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</si>
  <si>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</si>
  <si>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</si>
  <si>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</si>
  <si>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</si>
  <si>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</si>
  <si>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</si>
  <si>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</si>
  <si>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</si>
  <si>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</si>
  <si>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</si>
  <si>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</si>
  <si>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</si>
  <si>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</si>
  <si>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</si>
  <si>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</si>
  <si>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</si>
  <si>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</si>
  <si>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</si>
  <si>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</si>
  <si>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</si>
  <si>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</si>
  <si>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</si>
  <si>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</si>
  <si>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</si>
  <si>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</si>
  <si>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</si>
  <si>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</si>
  <si>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</si>
  <si>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</si>
  <si>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</si>
  <si>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</si>
  <si>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</si>
  <si>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</si>
  <si>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</si>
  <si>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</si>
  <si>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</si>
  <si>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</si>
  <si>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</si>
  <si>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</si>
  <si>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</si>
  <si>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</si>
  <si>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</si>
  <si>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</si>
  <si>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</si>
  <si>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</si>
  <si>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</si>
  <si>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</si>
  <si>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</si>
  <si>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</si>
  <si>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</si>
  <si>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</si>
  <si>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</si>
  <si>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</si>
  <si>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</si>
  <si>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</si>
  <si>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</si>
  <si>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</si>
  <si>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</si>
  <si>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</si>
  <si>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</si>
  <si>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</si>
  <si>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</si>
  <si>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</si>
  <si>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</si>
  <si>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</si>
  <si>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</si>
  <si>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</si>
  <si>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</si>
  <si>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</si>
  <si>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</si>
  <si>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</si>
  <si>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</si>
  <si>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</si>
  <si>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</si>
  <si>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</si>
  <si>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</si>
  <si>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</si>
  <si>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</si>
  <si>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</si>
  <si>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</si>
  <si>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</si>
  <si>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</si>
  <si>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</si>
  <si>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</si>
  <si>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</si>
  <si>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</si>
  <si>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</si>
  <si>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</si>
  <si>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</si>
  <si>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</si>
  <si>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</si>
  <si>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</si>
  <si>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</si>
  <si>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</si>
  <si>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</si>
  <si>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</si>
  <si>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</si>
  <si>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</si>
  <si>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</si>
  <si>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</si>
  <si>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</si>
  <si>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</si>
  <si>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</si>
  <si>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</si>
  <si>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</si>
  <si>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</si>
  <si>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</si>
  <si>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</si>
  <si>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</si>
  <si>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</si>
  <si>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</si>
  <si>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</si>
  <si>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</si>
  <si>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</si>
  <si>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</si>
  <si>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</si>
  <si>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</si>
  <si>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</si>
  <si>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</si>
  <si>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</si>
  <si>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</si>
  <si>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</si>
  <si>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</si>
  <si>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</si>
  <si>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</si>
  <si>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</si>
  <si>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</si>
  <si>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</si>
  <si>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</si>
  <si>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</si>
  <si>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</si>
  <si>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</si>
  <si>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</si>
  <si>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</si>
  <si>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</si>
  <si>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</si>
  <si>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</si>
  <si>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</si>
  <si>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</si>
  <si>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</si>
  <si>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</si>
  <si>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</si>
  <si>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</si>
  <si>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</si>
  <si>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</si>
  <si>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</si>
  <si>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</si>
  <si>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</si>
  <si>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</si>
  <si>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</si>
  <si>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</si>
  <si>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</si>
  <si>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</si>
  <si>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</si>
  <si>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</si>
  <si>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</si>
  <si>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</si>
  <si>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</si>
  <si>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</si>
  <si>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</si>
  <si>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</si>
  <si>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</si>
  <si>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</si>
  <si>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</si>
  <si>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</si>
  <si>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</si>
  <si>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</si>
  <si>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</si>
  <si>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</si>
  <si>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</si>
  <si>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</si>
  <si>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</si>
  <si>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</si>
  <si>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</si>
  <si>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</si>
  <si>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</si>
  <si>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</si>
  <si>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</si>
  <si>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</si>
  <si>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</si>
  <si>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</si>
  <si>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</si>
  <si>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</si>
  <si>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</si>
  <si>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</si>
  <si>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</si>
  <si>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</si>
  <si>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</si>
  <si>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</si>
  <si>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</si>
  <si>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</si>
  <si>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</si>
  <si>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</si>
  <si>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</si>
  <si>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</si>
  <si>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</si>
  <si>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</si>
  <si>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</si>
  <si>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</si>
  <si>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</si>
  <si>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</si>
  <si>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</si>
  <si>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</si>
  <si>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</si>
  <si>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</si>
  <si>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</si>
  <si>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</si>
  <si>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</si>
  <si>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</si>
  <si>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</si>
  <si>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</si>
  <si>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</si>
  <si>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</si>
  <si>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</si>
  <si>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</si>
  <si>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</si>
  <si>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</si>
  <si>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</si>
  <si>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</si>
  <si>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</si>
  <si>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</si>
  <si>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</si>
  <si>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</si>
  <si>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</si>
  <si>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</si>
  <si>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</si>
  <si>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</si>
  <si>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</si>
  <si>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</si>
  <si>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</si>
  <si>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</si>
  <si>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</si>
  <si>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</si>
  <si>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</si>
  <si>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</si>
  <si>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</si>
  <si>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</si>
  <si>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</si>
  <si>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</si>
  <si>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</si>
  <si>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</si>
  <si>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</si>
  <si>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</si>
  <si>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</si>
  <si>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</si>
  <si>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</si>
  <si>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</si>
  <si>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</si>
  <si>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</si>
  <si>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</si>
  <si>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</si>
  <si>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</si>
  <si>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</si>
  <si>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</si>
  <si>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</si>
  <si>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</si>
  <si>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</si>
  <si>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</si>
  <si>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</si>
  <si>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</si>
  <si>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</si>
  <si>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</si>
  <si>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</si>
  <si>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</si>
  <si>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</si>
  <si>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</si>
  <si>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</si>
  <si>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</si>
  <si>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</si>
  <si>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</si>
  <si>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</si>
  <si>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</si>
  <si>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</si>
  <si>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</si>
  <si>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</si>
  <si>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</si>
  <si>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</si>
  <si>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</si>
  <si>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</si>
  <si>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</si>
  <si>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</si>
  <si>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</si>
  <si>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</si>
  <si>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</si>
  <si>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</si>
  <si>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</si>
  <si>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</si>
  <si>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</si>
  <si>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</si>
  <si>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</si>
  <si>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</si>
  <si>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</si>
  <si>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</si>
  <si>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</si>
  <si>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</si>
  <si>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</si>
  <si>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</si>
  <si>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</si>
  <si>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</si>
  <si>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</si>
  <si>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</si>
  <si>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</si>
  <si>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</si>
  <si>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</si>
  <si>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</si>
  <si>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</si>
  <si>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</si>
  <si>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</si>
  <si>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</si>
  <si>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</si>
  <si>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</si>
  <si>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</si>
  <si>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</si>
  <si>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</si>
  <si>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</si>
  <si>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</si>
  <si>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</si>
  <si>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</si>
  <si>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</si>
  <si>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</si>
  <si>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</si>
  <si>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</si>
  <si>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</si>
  <si>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</si>
  <si>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</si>
  <si>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</si>
  <si>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</si>
  <si>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</si>
  <si>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</si>
  <si>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</si>
  <si>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</si>
  <si>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</si>
  <si>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</si>
  <si>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</si>
  <si>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</si>
  <si>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</si>
  <si>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</si>
  <si>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</si>
  <si>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</si>
  <si>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</si>
  <si>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</si>
  <si>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</si>
  <si>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</si>
  <si>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</si>
  <si>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</si>
  <si>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</si>
  <si>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</si>
  <si>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</si>
  <si>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</si>
  <si>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</si>
  <si>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</si>
  <si>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</si>
  <si>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</si>
  <si>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</si>
  <si>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</si>
  <si>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</si>
  <si>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</si>
  <si>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</si>
  <si>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</si>
  <si>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</si>
  <si>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</si>
  <si>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</si>
  <si>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</si>
  <si>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</si>
  <si>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</si>
  <si>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</si>
  <si>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</si>
  <si>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</si>
  <si>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</si>
  <si>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</si>
  <si>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</si>
  <si>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</si>
  <si>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</si>
  <si>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</si>
  <si>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</si>
  <si>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</si>
  <si>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</si>
  <si>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</si>
  <si>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</si>
  <si>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</si>
  <si>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</si>
  <si>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</si>
  <si>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</si>
  <si>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</si>
  <si>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</si>
  <si>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</si>
  <si>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</si>
  <si>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</si>
  <si>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</si>
  <si>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</si>
  <si>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</si>
  <si>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</si>
  <si>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</si>
  <si>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</si>
  <si>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</si>
  <si>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</si>
  <si>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</si>
  <si>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</si>
  <si>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</si>
  <si>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</si>
  <si>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</si>
  <si>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</si>
  <si>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</si>
  <si>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</si>
  <si>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</si>
  <si>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</si>
  <si>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</si>
  <si>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</si>
  <si>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</si>
  <si>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</si>
  <si>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</si>
  <si>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</si>
  <si>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</si>
  <si>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</si>
  <si>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</si>
  <si>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</si>
  <si>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</si>
  <si>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</si>
  <si>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</si>
  <si>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</si>
  <si>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</si>
  <si>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</si>
  <si>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</si>
  <si>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</si>
  <si>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</si>
  <si>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</si>
  <si>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</si>
  <si>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</si>
  <si>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</si>
  <si>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</si>
  <si>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</si>
  <si>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</si>
  <si>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</si>
  <si>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</si>
  <si>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</si>
  <si>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</si>
  <si>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</si>
  <si>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</si>
  <si>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</si>
  <si>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</si>
  <si>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</si>
  <si>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</si>
  <si>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</si>
  <si>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</si>
  <si>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</si>
  <si>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</si>
  <si>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</si>
  <si>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</si>
  <si>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</si>
  <si>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</si>
  <si>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</si>
  <si>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</si>
  <si>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</si>
  <si>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</si>
  <si>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</si>
  <si>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</si>
  <si>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</si>
  <si>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</si>
  <si>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</si>
  <si>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</si>
  <si>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</si>
  <si>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</si>
  <si>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</si>
  <si>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</si>
  <si>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</si>
  <si>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</si>
  <si>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</si>
  <si>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</si>
  <si>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</si>
  <si>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</si>
  <si>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</si>
  <si>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</si>
  <si>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</si>
  <si>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</si>
  <si>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</si>
  <si>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</si>
  <si>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</si>
  <si>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</si>
  <si>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</si>
  <si>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</si>
  <si>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</si>
  <si>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</si>
  <si>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</si>
  <si>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</si>
  <si>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</si>
  <si>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</si>
  <si>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</si>
  <si>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</si>
  <si>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</si>
  <si>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</si>
  <si>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</si>
  <si>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</si>
  <si>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</si>
  <si>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</si>
  <si>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</si>
  <si>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</si>
  <si>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</si>
  <si>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</si>
  <si>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</si>
  <si>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</si>
  <si>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</si>
  <si>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</si>
  <si>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</si>
  <si>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</si>
  <si>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</si>
  <si>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</si>
  <si>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</si>
  <si>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</si>
  <si>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</si>
  <si>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</si>
  <si>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</si>
  <si>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</si>
  <si>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</si>
  <si>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</si>
  <si>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</si>
  <si>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</si>
  <si>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</si>
  <si>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</si>
  <si>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</si>
  <si>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</si>
  <si>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</si>
  <si>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</si>
  <si>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</si>
  <si>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</si>
  <si>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</si>
  <si>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</si>
  <si>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</si>
  <si>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</si>
  <si>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</si>
  <si>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</si>
  <si>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</si>
  <si>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</si>
  <si>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</si>
  <si>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</si>
  <si>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</si>
  <si>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</si>
  <si>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</si>
  <si>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</si>
  <si>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</si>
  <si>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</si>
  <si>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</si>
  <si>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</si>
  <si>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</si>
  <si>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</si>
  <si>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</si>
  <si>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</si>
  <si>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</si>
  <si>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</si>
  <si>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</si>
  <si>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</si>
  <si>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</si>
  <si>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</si>
  <si>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</si>
  <si>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</si>
  <si>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</si>
  <si>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</si>
  <si>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</si>
  <si>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</si>
  <si>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</si>
  <si>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</si>
  <si>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</si>
  <si>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</si>
  <si>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</si>
  <si>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</si>
  <si>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</si>
  <si>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</si>
  <si>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</si>
  <si>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</si>
  <si>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</si>
  <si>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</si>
  <si>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</si>
  <si>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</si>
  <si>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</si>
  <si>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</si>
  <si>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</si>
  <si>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</si>
  <si>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</si>
  <si>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</si>
  <si>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</si>
  <si>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</si>
  <si>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</si>
  <si>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</si>
  <si>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</si>
  <si>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</si>
  <si>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</si>
  <si>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</si>
  <si>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</si>
  <si>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</si>
  <si>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</si>
  <si>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</si>
  <si>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</si>
  <si>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</si>
  <si>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</si>
  <si>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</si>
  <si>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</si>
  <si>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</si>
  <si>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</si>
  <si>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</si>
  <si>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</si>
  <si>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</si>
  <si>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</si>
  <si>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</si>
  <si>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</si>
  <si>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</si>
  <si>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</si>
  <si>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</si>
  <si>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</si>
  <si>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</si>
  <si>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</si>
  <si>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</si>
  <si>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</si>
  <si>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</si>
  <si>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</si>
  <si>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</si>
  <si>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</si>
  <si>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</si>
  <si>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</si>
  <si>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</si>
  <si>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</si>
  <si>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</si>
  <si>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</si>
  <si>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</si>
  <si>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</si>
  <si>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</si>
  <si>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</si>
  <si>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</si>
  <si>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</si>
  <si>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</si>
  <si>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</si>
  <si>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</si>
  <si>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</si>
  <si>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</si>
  <si>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</si>
  <si>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</si>
  <si>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</si>
  <si>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</si>
  <si>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</si>
  <si>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</si>
  <si>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</si>
  <si>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</si>
  <si>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</si>
  <si>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</si>
  <si>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</si>
  <si>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</si>
  <si>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</si>
  <si>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</si>
  <si>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</si>
  <si>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</si>
  <si>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</si>
  <si>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</si>
  <si>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</si>
  <si>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</si>
  <si>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</si>
  <si>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</si>
  <si>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</si>
  <si>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</si>
  <si>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</si>
  <si>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</si>
  <si>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</si>
  <si>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</si>
  <si>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</si>
  <si>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</si>
  <si>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</si>
  <si>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</si>
  <si>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</si>
  <si>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</si>
  <si>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</si>
  <si>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</si>
  <si>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</si>
  <si>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</si>
  <si>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</si>
  <si>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</si>
  <si>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</si>
  <si>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</si>
  <si>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</si>
  <si>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</si>
  <si>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</si>
  <si>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</si>
  <si>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</si>
  <si>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</si>
  <si>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</si>
  <si>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</si>
  <si>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</si>
  <si>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</si>
  <si>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</si>
  <si>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</si>
  <si>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</si>
  <si>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</si>
  <si>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</si>
  <si>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</si>
  <si>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</si>
  <si>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</si>
  <si>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</si>
  <si>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</si>
  <si>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</si>
  <si>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</si>
  <si>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</si>
  <si>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</si>
  <si>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</si>
  <si>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</si>
  <si>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</si>
  <si>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</si>
  <si>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</si>
  <si>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</si>
  <si>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</si>
  <si>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</si>
  <si>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</si>
  <si>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</si>
  <si>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</si>
  <si>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</si>
  <si>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</si>
  <si>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</si>
  <si>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</si>
  <si>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</si>
  <si>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</si>
  <si>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</si>
  <si>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</si>
  <si>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</si>
  <si>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</si>
  <si>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</si>
  <si>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</si>
  <si>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</si>
  <si>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</si>
  <si>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</si>
  <si>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</si>
  <si>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</si>
  <si>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</si>
  <si>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</si>
  <si>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</si>
  <si>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</si>
  <si>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</si>
  <si>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</si>
  <si>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</si>
  <si>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</si>
  <si>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</si>
  <si>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</si>
  <si>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</si>
  <si>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</si>
  <si>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</si>
  <si>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</si>
  <si>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</si>
  <si>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</si>
  <si>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</si>
  <si>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</si>
  <si>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</si>
  <si>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</si>
  <si>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</si>
  <si>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</si>
  <si>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</si>
  <si>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</si>
  <si>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</si>
  <si>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</si>
  <si>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</si>
  <si>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</si>
  <si>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</si>
  <si>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</si>
  <si>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</si>
  <si>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</si>
  <si>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</si>
  <si>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</si>
  <si>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</si>
  <si>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</si>
  <si>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</si>
  <si>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</si>
  <si>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</si>
  <si>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</si>
  <si>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</si>
  <si>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</si>
  <si>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</si>
  <si>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</si>
  <si>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</si>
  <si>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</si>
  <si>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</si>
  <si>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</si>
  <si>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</si>
  <si>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</si>
  <si>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</si>
  <si>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</si>
  <si>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</si>
  <si>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</si>
  <si>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</si>
  <si>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</si>
  <si>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</si>
  <si>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</si>
  <si>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</si>
  <si>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</si>
  <si>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</si>
  <si>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</si>
  <si>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</si>
  <si>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</si>
  <si>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</si>
  <si>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</si>
  <si>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</si>
  <si>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</si>
  <si>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</si>
  <si>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</si>
  <si>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</si>
  <si>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</si>
  <si>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</si>
  <si>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</si>
  <si>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</si>
  <si>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</si>
  <si>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</si>
  <si>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</si>
  <si>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</si>
  <si>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</si>
  <si>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</si>
  <si>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</si>
  <si>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</si>
  <si>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</si>
  <si>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</si>
  <si>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</si>
  <si>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</si>
  <si>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</si>
  <si>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</si>
  <si>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</si>
  <si>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</si>
  <si>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</si>
  <si>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</si>
  <si>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</si>
  <si>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</si>
  <si>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</si>
  <si>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</si>
  <si>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</si>
  <si>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</si>
  <si>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</si>
  <si>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</si>
  <si>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</si>
  <si>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</si>
  <si>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</si>
  <si>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</si>
  <si>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</si>
  <si>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</si>
  <si>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</si>
  <si>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</si>
  <si>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</si>
  <si>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</si>
  <si>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</si>
  <si>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</si>
  <si>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</si>
  <si>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</si>
  <si>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</si>
  <si>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</si>
  <si>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</si>
  <si>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</si>
  <si>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</si>
  <si>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</si>
  <si>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</si>
  <si>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</si>
  <si>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</si>
  <si>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</si>
  <si>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</si>
  <si>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</si>
  <si>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</si>
  <si>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</si>
  <si>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</si>
  <si>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</si>
  <si>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</si>
  <si>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</si>
  <si>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</si>
  <si>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</si>
  <si>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</si>
  <si>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</si>
  <si>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</si>
  <si>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</si>
  <si>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</si>
  <si>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</si>
  <si>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</si>
  <si>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</si>
  <si>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</si>
  <si>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</si>
  <si>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</si>
  <si>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</si>
  <si>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</si>
  <si>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</si>
  <si>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</si>
  <si>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</si>
  <si>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</si>
  <si>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</si>
  <si>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</si>
  <si>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</si>
  <si>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</si>
  <si>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</si>
  <si>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</si>
  <si>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</si>
  <si>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</si>
  <si>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</si>
  <si>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</si>
  <si>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</si>
  <si>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</si>
  <si>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</si>
  <si>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</si>
  <si>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</si>
  <si>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</si>
  <si>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</si>
  <si>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</si>
  <si>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</si>
  <si>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</si>
  <si>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</si>
  <si>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</si>
  <si>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</si>
  <si>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</si>
  <si>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</si>
  <si>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</si>
  <si>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</si>
  <si>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</si>
  <si>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</si>
  <si>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</si>
  <si>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</si>
  <si>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</si>
  <si>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</si>
  <si>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</si>
  <si>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</si>
  <si>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</si>
  <si>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</si>
  <si>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</si>
  <si>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</si>
  <si>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</si>
  <si>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</si>
  <si>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</si>
  <si>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</si>
  <si>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</si>
  <si>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</si>
  <si>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</si>
  <si>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</si>
  <si>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</si>
  <si>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506 E DOVER</t>
  </si>
  <si>
    <t xml:space="preserve">PRINCETON   </t>
  </si>
  <si>
    <t>TSMITH@PES115.ORG</t>
  </si>
  <si>
    <t>TIMOTHY SMITH</t>
  </si>
  <si>
    <t>815-875-3162</t>
  </si>
  <si>
    <t>HOPKINS &amp; ASSOCIATES, CPAS</t>
  </si>
  <si>
    <t>JOEL HOPKINS</t>
  </si>
  <si>
    <t>314 S MCCOY STREET</t>
  </si>
  <si>
    <t>GRANVILLE</t>
  </si>
  <si>
    <t>IL</t>
  </si>
  <si>
    <t>815-339-6630</t>
  </si>
  <si>
    <t>815-339-6643</t>
  </si>
  <si>
    <t>066-004501</t>
  </si>
  <si>
    <t>JOEL@HOPKINSOFFICE.COM</t>
  </si>
  <si>
    <t>Hopkins &amp; Associates, CPAs</t>
  </si>
  <si>
    <t>BMP Special Ed Coop</t>
  </si>
  <si>
    <t>Princeton High School</t>
  </si>
  <si>
    <t>1993 - Ed Fund - Other Local Fees - PE and Towel Fees</t>
  </si>
  <si>
    <t>1999 - Ed Fund - Other Local Revenue - Claim Refund and Health Ins Reimb</t>
  </si>
  <si>
    <t xml:space="preserve">1999 - O&amp;M Fund - Other Local Revenue - Erate Reimb </t>
  </si>
  <si>
    <t>3999 - Ed Fund - Other State Revenue - Per Capita Grant Library</t>
  </si>
  <si>
    <t>10-2190-200 - Ed Fund - Benefits - Supervision Benefits</t>
  </si>
  <si>
    <t>10-2190-100 - Ed Fund - Instruction - Supevision Salary</t>
  </si>
  <si>
    <t>O&amp;M - Sup Services - Business - O&amp;M Plant Svcs - Purch Svc</t>
  </si>
  <si>
    <t>Oberlander Alarm Systems</t>
  </si>
  <si>
    <t>Orkin</t>
  </si>
  <si>
    <t>Mike Gibson Farm Drainage</t>
  </si>
  <si>
    <t>Williams Mowing Service</t>
  </si>
  <si>
    <t>Princeton Elem 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</si>
</sst>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904875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28006115002</v>
      </c>
      <c r="B13" s="2087"/>
      <c r="C13" s="2087"/>
      <c r="D13" s="2087"/>
      <c r="E13" s="2087"/>
      <c r="F13" s="2087"/>
      <c r="G13" s="2087"/>
      <c r="H13" s="2088"/>
      <c r="I13" s="31"/>
      <c r="J13" s="30"/>
      <c r="K13" s="28"/>
      <c r="L13" s="30"/>
      <c r="M13" s="30"/>
      <c r="N13" s="30"/>
      <c r="O13" s="30"/>
      <c r="P13" s="30"/>
      <c r="Q13" s="30"/>
      <c r="R13" s="30"/>
      <c r="S13" s="30"/>
      <c r="T13" s="2091" t="s">
        <v>2058</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2081</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2061</v>
      </c>
      <c r="U19" s="2082"/>
      <c r="V19" s="2082"/>
      <c r="W19" s="2083"/>
      <c r="X19" s="2099" t="s">
        <v>2062</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2063</v>
      </c>
      <c r="U21" s="2050"/>
      <c r="V21" s="2050"/>
      <c r="W21" s="2050"/>
      <c r="X21" s="2063" t="s">
        <v>2064</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2065</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61356</v>
      </c>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5165733</v>
      </c>
      <c r="C4" s="1722"/>
      <c r="D4" s="1723">
        <f>B4-C4</f>
        <v>5165733</v>
      </c>
      <c r="E4" s="1722">
        <f>255348742*0.021</f>
        <v>5362323.5820000004</v>
      </c>
      <c r="F4" s="1723">
        <f>E4-C4</f>
        <v>5362323.5820000004</v>
      </c>
    </row>
    <row r="5" spans="1:8" ht="13.7" customHeight="1" x14ac:dyDescent="0.2">
      <c r="A5" s="579" t="s">
        <v>865</v>
      </c>
      <c r="B5" s="1724">
        <f>'Revenues 9-14'!D5</f>
        <v>614968</v>
      </c>
      <c r="C5" s="1664"/>
      <c r="D5" s="1725">
        <f t="shared" ref="D5:D18" si="0">B5-C5</f>
        <v>614968</v>
      </c>
      <c r="E5" s="1664">
        <f>255348742*0.0025</f>
        <v>638371.85499999998</v>
      </c>
      <c r="F5" s="1725">
        <f>E5-C5</f>
        <v>638371.85499999998</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295185</v>
      </c>
      <c r="C7" s="1664"/>
      <c r="D7" s="1725">
        <f t="shared" si="0"/>
        <v>295185</v>
      </c>
      <c r="E7" s="1664">
        <f>255348742*0.0012</f>
        <v>306418.49039999995</v>
      </c>
      <c r="F7" s="1725">
        <f t="shared" si="1"/>
        <v>306418.49039999995</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122993</v>
      </c>
      <c r="C10" s="1664"/>
      <c r="D10" s="1725">
        <f t="shared" si="0"/>
        <v>122993</v>
      </c>
      <c r="E10" s="1664">
        <f>255348742*0.0005</f>
        <v>127674.371</v>
      </c>
      <c r="F10" s="1725">
        <f t="shared" si="1"/>
        <v>127674.371</v>
      </c>
    </row>
    <row r="11" spans="1:8" x14ac:dyDescent="0.2">
      <c r="A11" s="579" t="s">
        <v>406</v>
      </c>
      <c r="B11" s="1724">
        <f>'Revenues 9-14'!J5</f>
        <v>792737</v>
      </c>
      <c r="C11" s="1664"/>
      <c r="D11" s="1725">
        <f t="shared" si="0"/>
        <v>792737</v>
      </c>
      <c r="E11" s="1664">
        <f>255348742*0.0031722</f>
        <v>810017.27937240002</v>
      </c>
      <c r="F11" s="1725">
        <f t="shared" si="1"/>
        <v>810017.27937240002</v>
      </c>
    </row>
    <row r="12" spans="1:8" ht="13.7" customHeight="1" x14ac:dyDescent="0.2">
      <c r="A12" s="579" t="s">
        <v>156</v>
      </c>
      <c r="B12" s="1724">
        <f>'Revenues 9-14'!K5</f>
        <v>122993</v>
      </c>
      <c r="C12" s="1664"/>
      <c r="D12" s="1725">
        <f t="shared" si="0"/>
        <v>122993</v>
      </c>
      <c r="E12" s="1664">
        <f>255348742*0.0005</f>
        <v>127674.371</v>
      </c>
      <c r="F12" s="1725">
        <f t="shared" si="1"/>
        <v>127674.371</v>
      </c>
    </row>
    <row r="13" spans="1:8" ht="13.7" customHeight="1" x14ac:dyDescent="0.2">
      <c r="A13" s="579" t="s">
        <v>930</v>
      </c>
      <c r="B13" s="1724">
        <f>SUM('Revenues 9-14'!C6:D6)</f>
        <v>122993</v>
      </c>
      <c r="C13" s="1664"/>
      <c r="D13" s="1725">
        <f t="shared" si="0"/>
        <v>122993</v>
      </c>
      <c r="E13" s="1664">
        <f>255348742*0.0005</f>
        <v>127674.371</v>
      </c>
      <c r="F13" s="1725">
        <f t="shared" si="1"/>
        <v>127674.371</v>
      </c>
    </row>
    <row r="14" spans="1:8" ht="13.7" customHeight="1" x14ac:dyDescent="0.2">
      <c r="A14" s="579" t="s">
        <v>407</v>
      </c>
      <c r="B14" s="1724">
        <f>SUM('Revenues 9-14'!C7:D7,'Revenues 9-14'!F7:H7)</f>
        <v>49197</v>
      </c>
      <c r="C14" s="1664"/>
      <c r="D14" s="1725">
        <f t="shared" si="0"/>
        <v>49197</v>
      </c>
      <c r="E14" s="1664">
        <f>255348742*0.0002</f>
        <v>51069.748400000004</v>
      </c>
      <c r="F14" s="1725">
        <f t="shared" si="1"/>
        <v>51069.748400000004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473094</v>
      </c>
      <c r="C16" s="1664"/>
      <c r="D16" s="1725">
        <f t="shared" si="0"/>
        <v>473094</v>
      </c>
      <c r="E16" s="1664">
        <f>255348742*0.0018647</f>
        <v>476148.79920740001</v>
      </c>
      <c r="F16" s="1725">
        <f t="shared" si="1"/>
        <v>476148.79920740001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7759893</v>
      </c>
      <c r="C19" s="1726">
        <f>SUM(C4:C18)</f>
        <v>0</v>
      </c>
      <c r="D19" s="1726">
        <f>SUM(D4:D18)</f>
        <v>7759893</v>
      </c>
      <c r="E19" s="1726">
        <f>SUM(E4:E18)</f>
        <v>8027372.8673798004</v>
      </c>
      <c r="F19" s="1726">
        <f>SUM(F4:F18)</f>
        <v>8027372.8673798004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49197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49197</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49197</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49197</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144067</v>
      </c>
      <c r="D5" s="1770"/>
      <c r="E5" s="1770"/>
      <c r="F5" s="1765">
        <f>(C5+D5)-E5</f>
        <v>144067</v>
      </c>
      <c r="G5" s="676"/>
      <c r="H5" s="680"/>
      <c r="I5" s="680"/>
      <c r="J5" s="680"/>
      <c r="K5" s="637"/>
      <c r="L5" s="1442">
        <f>F5-K5</f>
        <v>144067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8893634</v>
      </c>
      <c r="D8" s="1771">
        <v>173556</v>
      </c>
      <c r="E8" s="1771"/>
      <c r="F8" s="1765">
        <f>(C8+D8)-E8</f>
        <v>9067190</v>
      </c>
      <c r="G8" s="681">
        <v>50</v>
      </c>
      <c r="H8" s="619">
        <v>4721861</v>
      </c>
      <c r="I8" s="619">
        <v>179608</v>
      </c>
      <c r="J8" s="619"/>
      <c r="K8" s="1442">
        <f>(H8+I8)-J8</f>
        <v>4901469</v>
      </c>
      <c r="L8" s="1442">
        <f>F8-K8</f>
        <v>4165721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174406</v>
      </c>
      <c r="D10" s="1772"/>
      <c r="E10" s="1772"/>
      <c r="F10" s="1773">
        <f>(C10+D10)-E10</f>
        <v>174406</v>
      </c>
      <c r="G10" s="681">
        <v>20</v>
      </c>
      <c r="H10" s="683">
        <v>166000</v>
      </c>
      <c r="I10" s="683">
        <v>3187</v>
      </c>
      <c r="J10" s="683"/>
      <c r="K10" s="1442">
        <f>(H10+I10)-J10</f>
        <v>169187</v>
      </c>
      <c r="L10" s="1442">
        <f>F10-K10</f>
        <v>5219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2370516</v>
      </c>
      <c r="D12" s="1771"/>
      <c r="E12" s="1771"/>
      <c r="F12" s="1765">
        <f>(C12+D12)-E12</f>
        <v>2370516</v>
      </c>
      <c r="G12" s="681">
        <v>10</v>
      </c>
      <c r="H12" s="619">
        <v>2212562</v>
      </c>
      <c r="I12" s="619">
        <v>13430</v>
      </c>
      <c r="J12" s="619"/>
      <c r="K12" s="1442">
        <f>(H12+I12)-J12</f>
        <v>2225992</v>
      </c>
      <c r="L12" s="1442">
        <f>F12-K12</f>
        <v>144524</v>
      </c>
    </row>
    <row r="13" spans="1:14" ht="14.25" thickTop="1" thickBot="1" x14ac:dyDescent="0.25">
      <c r="A13" s="684" t="s">
        <v>1112</v>
      </c>
      <c r="B13" s="679">
        <v>252</v>
      </c>
      <c r="C13" s="1771">
        <v>3224989</v>
      </c>
      <c r="D13" s="1771">
        <f>3456+132672+11712+142917</f>
        <v>290757</v>
      </c>
      <c r="E13" s="1771"/>
      <c r="F13" s="1765">
        <f>(C13+D13)-E13</f>
        <v>3515746</v>
      </c>
      <c r="G13" s="681">
        <v>5</v>
      </c>
      <c r="H13" s="619">
        <v>2868845</v>
      </c>
      <c r="I13" s="619">
        <v>264522</v>
      </c>
      <c r="J13" s="619"/>
      <c r="K13" s="1442">
        <f>(H13+I13)-J13</f>
        <v>3133367</v>
      </c>
      <c r="L13" s="1442">
        <f>F13-K13</f>
        <v>382379</v>
      </c>
    </row>
    <row r="14" spans="1:14" ht="14.25" thickTop="1" thickBot="1" x14ac:dyDescent="0.25">
      <c r="A14" s="684" t="s">
        <v>1113</v>
      </c>
      <c r="B14" s="679">
        <v>253</v>
      </c>
      <c r="C14" s="1745">
        <v>160019</v>
      </c>
      <c r="D14" s="1745"/>
      <c r="E14" s="1745"/>
      <c r="F14" s="1765">
        <f>(C14+D14)-E14</f>
        <v>160019</v>
      </c>
      <c r="G14" s="681">
        <v>3</v>
      </c>
      <c r="H14" s="619">
        <v>160019</v>
      </c>
      <c r="I14" s="619"/>
      <c r="J14" s="619"/>
      <c r="K14" s="1442">
        <f>(H14+I14)-J14</f>
        <v>160019</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14967631</v>
      </c>
      <c r="D16" s="1765">
        <f>SUM(D3,D5:D6,D8:D10,D12:D15)</f>
        <v>464313</v>
      </c>
      <c r="E16" s="1765">
        <f>SUM(E3,E5:E6,E8:E10,E12:E15)</f>
        <v>0</v>
      </c>
      <c r="F16" s="1765">
        <f>SUM(F3,F5:F6,F8:F10,F12:F15)</f>
        <v>15431944</v>
      </c>
      <c r="G16" s="681"/>
      <c r="H16" s="1435">
        <f>SUM(H3,H6,H8:H10,H12:H14,)</f>
        <v>10129287</v>
      </c>
      <c r="I16" s="1435">
        <f>SUM(I3,I6,I8:I10,I12:I14,)</f>
        <v>460747</v>
      </c>
      <c r="J16" s="1435">
        <f>SUM(J3,J6,J8:J10,J12:J14,)</f>
        <v>0</v>
      </c>
      <c r="K16" s="1435">
        <f>(H16+I16)-J16</f>
        <v>10590034</v>
      </c>
      <c r="L16" s="1435">
        <f>F16-K16</f>
        <v>4841910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460747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8834530</v>
      </c>
      <c r="G8" s="701"/>
    </row>
    <row r="9" spans="1:9" x14ac:dyDescent="0.2">
      <c r="A9" s="705" t="s">
        <v>457</v>
      </c>
      <c r="B9" s="706" t="s">
        <v>1848</v>
      </c>
      <c r="C9" s="707"/>
      <c r="D9" s="705" t="s">
        <v>498</v>
      </c>
      <c r="E9" s="704"/>
      <c r="F9" s="1775">
        <f>'Expenditures 15-22'!K151</f>
        <v>741346</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746004</v>
      </c>
      <c r="G11" s="708"/>
    </row>
    <row r="12" spans="1:9" x14ac:dyDescent="0.2">
      <c r="A12" s="705" t="s">
        <v>459</v>
      </c>
      <c r="B12" s="706" t="s">
        <v>1851</v>
      </c>
      <c r="C12" s="707"/>
      <c r="D12" s="705" t="s">
        <v>498</v>
      </c>
      <c r="E12" s="704"/>
      <c r="F12" s="1775">
        <f>'Expenditures 15-22'!K295</f>
        <v>439634</v>
      </c>
      <c r="G12" s="708"/>
    </row>
    <row r="13" spans="1:9" x14ac:dyDescent="0.2">
      <c r="A13" s="705" t="s">
        <v>106</v>
      </c>
      <c r="B13" s="706" t="s">
        <v>1852</v>
      </c>
      <c r="C13" s="707"/>
      <c r="D13" s="705" t="s">
        <v>498</v>
      </c>
      <c r="E13" s="704"/>
      <c r="F13" s="1775">
        <f>'Expenditures 15-22'!K342</f>
        <v>859074</v>
      </c>
      <c r="G13" s="709"/>
    </row>
    <row r="14" spans="1:9" ht="12" customHeight="1" thickBot="1" x14ac:dyDescent="0.25">
      <c r="A14" s="1443"/>
      <c r="B14" s="1444"/>
      <c r="C14" s="1445"/>
      <c r="D14" s="1446" t="s">
        <v>498</v>
      </c>
      <c r="E14" s="1447" t="s">
        <v>952</v>
      </c>
      <c r="F14" s="1776">
        <f>SUM(F8:F13)</f>
        <v>11620588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700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79511</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698876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58873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12420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7775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253375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352504</v>
      </c>
      <c r="G53" s="701"/>
    </row>
    <row r="54" spans="1:7" x14ac:dyDescent="0.2">
      <c r="A54" s="705" t="s">
        <v>456</v>
      </c>
      <c r="B54" s="705" t="s">
        <v>1459</v>
      </c>
      <c r="C54" s="724" t="s">
        <v>975</v>
      </c>
      <c r="D54" s="720" t="s">
        <v>1086</v>
      </c>
      <c r="E54" s="704"/>
      <c r="F54" s="1782">
        <f>'Expenditures 15-22'!G114</f>
        <v>136128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11712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142917</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62204</v>
      </c>
      <c r="G67" s="701"/>
    </row>
    <row r="68" spans="1:9" x14ac:dyDescent="0.2">
      <c r="A68" s="705" t="s">
        <v>459</v>
      </c>
      <c r="B68" s="705" t="s">
        <v>1462</v>
      </c>
      <c r="C68" s="721" t="str">
        <f>'Expenditures 15-22'!B218</f>
        <v>1225</v>
      </c>
      <c r="D68" s="727" t="str">
        <f>'Expenditures 15-22'!A218</f>
        <v>Special Education Programs - Pre-K</v>
      </c>
      <c r="E68" s="704"/>
      <c r="F68" s="1782">
        <f>'Expenditures 15-22'!K218</f>
        <v>2861</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99</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1819955</v>
      </c>
      <c r="G77" s="701"/>
    </row>
    <row r="78" spans="1:9" s="728" customFormat="1" ht="12" customHeight="1" thickTop="1" thickBot="1" x14ac:dyDescent="0.25">
      <c r="A78" s="1450"/>
      <c r="B78" s="1448"/>
      <c r="C78" s="1445"/>
      <c r="D78" s="1449" t="s">
        <v>2012</v>
      </c>
      <c r="E78" s="1447"/>
      <c r="F78" s="1788">
        <f>(F14-F77)</f>
        <v>9800633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1124.7</v>
      </c>
      <c r="G79" s="733"/>
      <c r="H79" s="705"/>
      <c r="I79" s="705"/>
    </row>
    <row r="80" spans="1:9" s="728" customFormat="1" ht="12" customHeight="1" thickBot="1" x14ac:dyDescent="0.25">
      <c r="A80" s="1452"/>
      <c r="B80" s="1448"/>
      <c r="C80" s="1445"/>
      <c r="D80" s="1449" t="s">
        <v>2013</v>
      </c>
      <c r="E80" s="1447" t="s">
        <v>952</v>
      </c>
      <c r="F80" s="1790">
        <f>IF(F79&gt;0,F78/F79," Complete Line 79")</f>
        <v>8713.9975104472305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400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188027</v>
      </c>
      <c r="G95" s="745"/>
    </row>
    <row r="96" spans="1:7" x14ac:dyDescent="0.2">
      <c r="A96" s="741" t="s">
        <v>139</v>
      </c>
      <c r="B96" s="741" t="s">
        <v>174</v>
      </c>
      <c r="C96" s="743">
        <v>1700</v>
      </c>
      <c r="D96" s="751" t="str">
        <f>'Revenues 9-14'!A82</f>
        <v>Total District/School Activity Income</v>
      </c>
      <c r="E96" s="739"/>
      <c r="F96" s="1793">
        <f>SUM('Revenues 9-14'!C82,'Revenues 9-14'!D82)</f>
        <v>35646</v>
      </c>
      <c r="G96" s="745"/>
    </row>
    <row r="97" spans="1:7" x14ac:dyDescent="0.2">
      <c r="A97" s="741" t="s">
        <v>456</v>
      </c>
      <c r="B97" s="741" t="s">
        <v>175</v>
      </c>
      <c r="C97" s="743">
        <f>'Revenues 9-14'!B84</f>
        <v>1811</v>
      </c>
      <c r="D97" s="744" t="str">
        <f>'Revenues 9-14'!A84</f>
        <v>Rentals - Regular Textbooks</v>
      </c>
      <c r="E97" s="739"/>
      <c r="F97" s="1793">
        <f>'Revenues 9-14'!C84</f>
        <v>24635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80116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10649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560</v>
      </c>
      <c r="G104" s="745"/>
    </row>
    <row r="105" spans="1:7" x14ac:dyDescent="0.2">
      <c r="A105" s="741" t="s">
        <v>456</v>
      </c>
      <c r="B105" s="741" t="s">
        <v>803</v>
      </c>
      <c r="C105" s="743">
        <f>'Revenues 9-14'!B106</f>
        <v>1993</v>
      </c>
      <c r="D105" s="744" t="str">
        <f>'Revenues 9-14'!A106</f>
        <v>Other Local Fees (Describe &amp; Itemize)</v>
      </c>
      <c r="E105" s="739"/>
      <c r="F105" s="1793">
        <f>('Revenues 9-14'!C106)</f>
        <v>3099</v>
      </c>
      <c r="G105" s="745"/>
    </row>
    <row r="106" spans="1:7" x14ac:dyDescent="0.2">
      <c r="A106" s="741" t="s">
        <v>500</v>
      </c>
      <c r="B106" s="741" t="s">
        <v>1910</v>
      </c>
      <c r="C106" s="746">
        <v>3100</v>
      </c>
      <c r="D106" s="752" t="str">
        <f>'Revenues 9-14'!A132</f>
        <v>Total Special Education</v>
      </c>
      <c r="E106" s="739"/>
      <c r="F106" s="1793">
        <f>SUM('Revenues 9-14'!C132:D132,'Revenues 9-14'!F132)</f>
        <v>173869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3101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210661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10000</v>
      </c>
      <c r="G125" s="763"/>
    </row>
    <row r="126" spans="1:7" x14ac:dyDescent="0.2">
      <c r="A126" s="760" t="s">
        <v>659</v>
      </c>
      <c r="B126" s="760" t="s">
        <v>1930</v>
      </c>
      <c r="C126" s="765">
        <v>4200</v>
      </c>
      <c r="D126" s="762" t="str">
        <f>'Revenues 9-14'!A198</f>
        <v>Total Food Service</v>
      </c>
      <c r="E126" s="739"/>
      <c r="F126" s="1793">
        <f>SUM('Revenues 9-14'!C198,'Revenues 9-14'!G198)</f>
        <v>240145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277914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32816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11496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849</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36653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17433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99925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512862</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2020856</v>
      </c>
    </row>
    <row r="176" spans="1:7" ht="12" customHeight="1" x14ac:dyDescent="0.2">
      <c r="A176" s="1443"/>
      <c r="B176" s="1453"/>
      <c r="C176" s="1454"/>
      <c r="D176" s="1455" t="s">
        <v>2014</v>
      </c>
      <c r="E176" s="1456"/>
      <c r="F176" s="1793">
        <f>'PCTC-OEPP 27-28'!F78-F175</f>
        <v>7779777</v>
      </c>
    </row>
    <row r="177" spans="1:9" ht="12" customHeight="1" x14ac:dyDescent="0.2">
      <c r="A177" s="1443"/>
      <c r="B177" s="1453"/>
      <c r="C177" s="1454"/>
      <c r="D177" s="1455" t="s">
        <v>1794</v>
      </c>
      <c r="E177" s="1456"/>
      <c r="F177" s="1793">
        <f>'Cap Outlay Deprec 26'!I18</f>
        <v>460747</v>
      </c>
    </row>
    <row r="178" spans="1:9" ht="12" customHeight="1" x14ac:dyDescent="0.2">
      <c r="A178" s="1443"/>
      <c r="B178" s="1453"/>
      <c r="C178" s="1454"/>
      <c r="D178" s="1455" t="s">
        <v>2015</v>
      </c>
      <c r="E178" s="1456"/>
      <c r="F178" s="1793">
        <f>F176+F177</f>
        <v>8240524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1124.7</v>
      </c>
      <c r="G179" s="763"/>
      <c r="I179" s="701"/>
    </row>
    <row r="180" spans="1:9" ht="12" customHeight="1" thickBot="1" x14ac:dyDescent="0.25">
      <c r="A180" s="1443"/>
      <c r="B180" s="1457"/>
      <c r="C180" s="1454"/>
      <c r="D180" s="1455" t="s">
        <v>2017</v>
      </c>
      <c r="E180" s="1456" t="s">
        <v>1528</v>
      </c>
      <c r="F180" s="1798">
        <f>F178/F179</f>
        <v>7326.8640526362578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40" sqref="A14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2076</v>
      </c>
      <c r="B18" s="1908">
        <v>202540300</v>
      </c>
      <c r="C18" s="2036" t="s">
        <v>2077</v>
      </c>
      <c r="D18" s="1886">
        <v>1440</v>
      </c>
      <c r="E18" s="1906">
        <f t="shared" ref="E18:E81" si="0">IF(D18&lt;25000,D18,"25,000")</f>
        <v>1440</v>
      </c>
      <c r="F18" s="1906" t="str">
        <f t="shared" ref="F18:F81" si="1">IF(D18&gt;=25000,(D18-E18),"0")</f>
        <v>0</v>
      </c>
      <c r="G18" s="1887"/>
    </row>
    <row r="19" spans="1:7" ht="30" x14ac:dyDescent="0.25">
      <c r="A19" s="2035" t="s">
        <v>2076</v>
      </c>
      <c r="B19" s="1908">
        <v>202540300</v>
      </c>
      <c r="C19" s="2036" t="s">
        <v>2078</v>
      </c>
      <c r="D19" s="1886">
        <v>869</v>
      </c>
      <c r="E19" s="1906">
        <f t="shared" si="0"/>
        <v>869</v>
      </c>
      <c r="F19" s="1906" t="str">
        <f t="shared" si="1"/>
        <v>0</v>
      </c>
    </row>
    <row r="20" spans="1:7" ht="30" x14ac:dyDescent="0.25">
      <c r="A20" s="2035" t="s">
        <v>2076</v>
      </c>
      <c r="B20" s="1908">
        <v>202540300</v>
      </c>
      <c r="C20" s="2036" t="s">
        <v>2079</v>
      </c>
      <c r="D20" s="1886">
        <v>7350</v>
      </c>
      <c r="E20" s="1906">
        <f t="shared" si="0"/>
        <v>7350</v>
      </c>
      <c r="F20" s="1906" t="str">
        <f t="shared" si="1"/>
        <v>0</v>
      </c>
    </row>
    <row r="21" spans="1:7" ht="30" x14ac:dyDescent="0.25">
      <c r="A21" s="2035" t="s">
        <v>2076</v>
      </c>
      <c r="B21" s="1908">
        <v>202540300</v>
      </c>
      <c r="C21" s="2036" t="s">
        <v>2080</v>
      </c>
      <c r="D21" s="1886">
        <v>4575</v>
      </c>
      <c r="E21" s="1906">
        <f t="shared" si="0"/>
        <v>4575</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14234</v>
      </c>
      <c r="E142" s="1893">
        <f>SUM(E18:E141)</f>
        <v>14234</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37903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6480266</v>
      </c>
      <c r="F19" s="1802"/>
      <c r="G19" s="1804">
        <f>'Expenditures 15-22'!K33-SUM('Expenditures 15-22'!G33,'Expenditures 15-22'!I33)+'Expenditures 15-22'!D229</f>
        <v>6480266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482827</v>
      </c>
      <c r="F21" s="1805"/>
      <c r="G21" s="1808">
        <f>'Expenditures 15-22'!K42-SUM('Expenditures 15-22'!G42,'Expenditures 15-22'!I42)+'Expenditures 15-22'!K120-SUM('Expenditures 15-22'!G120,'Expenditures 15-22'!I120)+'Expenditures 15-22'!K180-SUM('Expenditures 15-22'!G180,'Expenditures 15-22'!I180)+'Expenditures 15-22'!D238</f>
        <v>482827</v>
      </c>
      <c r="H21" s="817"/>
      <c r="I21" s="157"/>
    </row>
    <row r="22" spans="1:9" s="542" customFormat="1" ht="12" customHeight="1" x14ac:dyDescent="0.2">
      <c r="A22" s="824" t="s">
        <v>560</v>
      </c>
      <c r="B22" s="825"/>
      <c r="C22" s="823">
        <v>2200</v>
      </c>
      <c r="D22" s="1805"/>
      <c r="E22" s="1807">
        <f>'Expenditures 15-22'!K47-SUM('Expenditures 15-22'!G47,'Expenditures 15-22'!I47)+'Expenditures 15-22'!D243</f>
        <v>311149</v>
      </c>
      <c r="F22" s="1805"/>
      <c r="G22" s="1808">
        <f>'Expenditures 15-22'!K47-SUM('Expenditures 15-22'!G47,'Expenditures 15-22'!I47)+'Expenditures 15-22'!D243</f>
        <v>311149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1205950</v>
      </c>
      <c r="F23" s="1805"/>
      <c r="G23" s="1807">
        <f>'Expenditures 15-22'!K53-SUM('Expenditures 15-22'!G53,'Expenditures 15-22'!I53)+'Expenditures 15-22'!D257+'Expenditures 15-22'!K330-SUM('Expenditures 15-22'!G330,'Expenditures 15-22'!I330)</f>
        <v>1205950</v>
      </c>
      <c r="H23" s="817"/>
      <c r="I23" s="157"/>
    </row>
    <row r="24" spans="1:9" s="542" customFormat="1" ht="12" customHeight="1" x14ac:dyDescent="0.2">
      <c r="A24" s="824" t="s">
        <v>562</v>
      </c>
      <c r="B24" s="825"/>
      <c r="C24" s="823">
        <v>2400</v>
      </c>
      <c r="D24" s="1805"/>
      <c r="E24" s="1807">
        <f>'Expenditures 15-22'!K57-SUM('Expenditures 15-22'!G57,'Expenditures 15-22'!I57)+'Expenditures 15-22'!D261</f>
        <v>553836</v>
      </c>
      <c r="F24" s="1805"/>
      <c r="G24" s="1808">
        <f>'Expenditures 15-22'!K57-SUM('Expenditures 15-22'!G57,'Expenditures 15-22'!I57)+'Expenditures 15-22'!D261</f>
        <v>553836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112038</v>
      </c>
      <c r="E27" s="1807">
        <f>E8</f>
        <v>0</v>
      </c>
      <c r="F27" s="1807">
        <f>'Expenditures 15-22'!K60-SUM('Expenditures 15-22'!G60,'Expenditures 15-22'!I60)+'Expenditures 15-22'!D264-E8</f>
        <v>112038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774731</v>
      </c>
      <c r="F28" s="1809">
        <f>'Expenditures 15-22'!K61-SUM('Expenditures 15-22'!G61,'Expenditures 15-22'!I61)+'Expenditures 15-22'!K124-SUM('Expenditures 15-22'!G124,'Expenditures 15-22'!I124)+'Expenditures 15-22'!D266-E9</f>
        <v>774731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658882</v>
      </c>
      <c r="F29" s="1805"/>
      <c r="G29" s="1808">
        <f>'Expenditures 15-22'!K62-SUM('Expenditures 15-22'!G62,'Expenditures 15-22'!I62)+'Expenditures 15-22'!K125-SUM('Expenditures 15-22'!G125,'Expenditures 15-22'!I125)+'Expenditures 15-22'!K182-SUM('Expenditures 15-22'!G182,'Expenditures 15-22'!I182)+'Expenditures 15-22'!D267</f>
        <v>658882</v>
      </c>
      <c r="H29" s="815"/>
    </row>
    <row r="30" spans="1:9" ht="12" customHeight="1" x14ac:dyDescent="0.2">
      <c r="A30" s="824" t="s">
        <v>100</v>
      </c>
      <c r="B30" s="827"/>
      <c r="C30" s="823">
        <v>2560</v>
      </c>
      <c r="D30" s="1805"/>
      <c r="E30" s="1807">
        <f>'Expenditures 15-22'!K63-SUM('Expenditures 15-22'!G63,'Expenditures 15-22'!I63)+'Expenditures 15-22'!D268-E10</f>
        <v>397648</v>
      </c>
      <c r="F30" s="1805"/>
      <c r="G30" s="1807">
        <f>'Expenditures 15-22'!K63-SUM('Expenditures 15-22'!G63,'Expenditures 15-22'!I63)+'Expenditures 15-22'!D268-E10</f>
        <v>397648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112038</v>
      </c>
      <c r="E41" s="1809">
        <f>SUM(E19:E40)</f>
        <v>10865289</v>
      </c>
      <c r="F41" s="1809">
        <f>SUM(F19:F39)</f>
        <v>886769</v>
      </c>
      <c r="G41" s="1809">
        <f>SUM(G19:G40)</f>
        <v>10090558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112038</v>
      </c>
      <c r="F43" s="1458" t="s">
        <v>470</v>
      </c>
      <c r="G43" s="1810">
        <f>F41</f>
        <v>886769</v>
      </c>
    </row>
    <row r="44" spans="1:7" ht="12" customHeight="1" x14ac:dyDescent="0.2">
      <c r="A44" s="817"/>
      <c r="B44" s="157"/>
      <c r="C44" s="831"/>
      <c r="D44" s="1458" t="s">
        <v>471</v>
      </c>
      <c r="E44" s="1810">
        <f>E41</f>
        <v>10865289</v>
      </c>
      <c r="F44" s="1458" t="s">
        <v>471</v>
      </c>
      <c r="G44" s="1810">
        <f>G41</f>
        <v>10090558</v>
      </c>
    </row>
    <row r="45" spans="1:7" ht="12" customHeight="1" x14ac:dyDescent="0.2">
      <c r="A45" s="817"/>
      <c r="B45" s="157"/>
      <c r="C45" s="157"/>
      <c r="D45" s="1459" t="s">
        <v>999</v>
      </c>
      <c r="E45" s="1811">
        <f>(E43/E44)</f>
        <v>1.0311552688566315E-2</v>
      </c>
      <c r="F45" s="1459" t="s">
        <v>999</v>
      </c>
      <c r="G45" s="1811">
        <f>(G43/G44)</f>
        <v>8.788106663675091E-2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32" sqref="C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Princeton Elem SD 115</v>
      </c>
      <c r="D6" s="2404"/>
      <c r="E6" s="2404"/>
      <c r="F6" s="1482"/>
      <c r="G6" s="1507"/>
      <c r="L6" s="1507"/>
      <c r="M6" s="1855"/>
      <c r="N6" s="1855"/>
      <c r="O6" s="1855"/>
    </row>
    <row r="7" spans="1:15" ht="11.25" customHeight="1" thickBot="1" x14ac:dyDescent="0.3">
      <c r="A7" s="1480"/>
      <c r="B7" s="1481"/>
      <c r="C7" s="2405">
        <f>COVER!A13</f>
        <v>28006115002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2068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2069</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Princeton Elem SD 115</v>
      </c>
      <c r="K6" s="2420"/>
      <c r="L6" s="2421"/>
      <c r="M6" s="838"/>
      <c r="N6" s="1998"/>
    </row>
    <row r="7" spans="1:14" x14ac:dyDescent="0.2">
      <c r="A7" s="2422" t="s">
        <v>864</v>
      </c>
      <c r="B7" s="2423"/>
      <c r="C7" s="2423"/>
      <c r="D7" s="2423"/>
      <c r="E7" s="2424"/>
      <c r="F7" s="839"/>
      <c r="G7" s="838"/>
      <c r="H7" s="838"/>
      <c r="I7" s="1924" t="s">
        <v>369</v>
      </c>
      <c r="J7" s="2425">
        <f>COVER!A13</f>
        <v>28006115002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223235</v>
      </c>
      <c r="F12" s="1942"/>
      <c r="G12" s="1968">
        <f>G68</f>
        <v>41614</v>
      </c>
      <c r="H12" s="1944">
        <f t="shared" ref="H12:H18" si="0">SUM(E12:G12)</f>
        <v>264849</v>
      </c>
      <c r="I12" s="1943">
        <v>230222</v>
      </c>
      <c r="J12" s="1942"/>
      <c r="K12" s="1943">
        <v>42862</v>
      </c>
      <c r="L12" s="1944">
        <f t="shared" ref="L12:L18" si="1">SUM(I12:K12)</f>
        <v>273084</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223235</v>
      </c>
      <c r="F19" s="1950">
        <f t="shared" si="2"/>
        <v>0</v>
      </c>
      <c r="G19" s="1950">
        <f t="shared" ref="G19" si="3">SUM(G12:G17)-G18</f>
        <v>41614</v>
      </c>
      <c r="H19" s="1950">
        <f t="shared" si="2"/>
        <v>264849</v>
      </c>
      <c r="I19" s="1950">
        <f t="shared" si="2"/>
        <v>230222</v>
      </c>
      <c r="J19" s="1950">
        <f t="shared" si="2"/>
        <v>0</v>
      </c>
      <c r="K19" s="1950">
        <f t="shared" si="2"/>
        <v>42862</v>
      </c>
      <c r="L19" s="1950">
        <f t="shared" si="2"/>
        <v>273084</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3.1093188949174812E-2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Princeton Elem SD 115</v>
      </c>
      <c r="M52" s="2420"/>
      <c r="N52" s="2450"/>
    </row>
    <row r="53" spans="1:14" x14ac:dyDescent="0.2">
      <c r="A53" s="1982"/>
      <c r="B53" s="1983"/>
      <c r="C53" s="1983"/>
      <c r="D53" s="1983"/>
      <c r="E53" s="1983"/>
      <c r="F53" s="1983"/>
      <c r="G53" s="1983"/>
      <c r="H53" s="1983"/>
      <c r="I53" s="1983"/>
      <c r="J53" s="1983"/>
      <c r="K53" s="1924" t="s">
        <v>369</v>
      </c>
      <c r="L53" s="2425">
        <f>J7</f>
        <v>28006115002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75073</v>
      </c>
      <c r="F58" s="1972"/>
      <c r="G58" s="2031"/>
      <c r="H58" s="2032"/>
      <c r="I58" s="2032"/>
      <c r="J58" s="2032"/>
      <c r="K58" s="2032"/>
      <c r="L58" s="2032"/>
      <c r="M58" s="2032">
        <v>75073</v>
      </c>
      <c r="N58" s="1975">
        <f>IF((SUM(G58:M58))=E58,SUM(G58:M58),"Column N does not agree with Column E")</f>
        <v>75073</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80286</v>
      </c>
      <c r="F60" s="1972"/>
      <c r="G60" s="2031"/>
      <c r="H60" s="2032"/>
      <c r="I60" s="2032"/>
      <c r="J60" s="2032"/>
      <c r="K60" s="2032"/>
      <c r="L60" s="2032"/>
      <c r="M60" s="2032">
        <v>80286</v>
      </c>
      <c r="N60" s="1975">
        <f t="shared" ref="N60:N67" si="4">IF((SUM(G60:M60))=E60,SUM(G60:M60),"Column N does not agree with Column E")</f>
        <v>80286</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699203</v>
      </c>
      <c r="F63" s="1972"/>
      <c r="G63" s="2031">
        <v>41614</v>
      </c>
      <c r="H63" s="2032"/>
      <c r="I63" s="2032"/>
      <c r="J63" s="2032"/>
      <c r="K63" s="2032"/>
      <c r="L63" s="2032"/>
      <c r="M63" s="2032">
        <v>657589</v>
      </c>
      <c r="N63" s="1975">
        <f t="shared" si="4"/>
        <v>699203</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4512</v>
      </c>
      <c r="F65" s="1972"/>
      <c r="G65" s="2031"/>
      <c r="H65" s="2032"/>
      <c r="I65" s="2032"/>
      <c r="J65" s="2032"/>
      <c r="K65" s="2032"/>
      <c r="L65" s="2032"/>
      <c r="M65" s="2032">
        <v>4512</v>
      </c>
      <c r="N65" s="1975">
        <f t="shared" si="4"/>
        <v>4512</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859074</v>
      </c>
      <c r="F68" s="1973"/>
      <c r="G68" s="1974">
        <f t="shared" ref="G68:N68" si="5">SUM(G57:G67)</f>
        <v>41614</v>
      </c>
      <c r="H68" s="1974">
        <f t="shared" si="5"/>
        <v>0</v>
      </c>
      <c r="I68" s="1974">
        <f t="shared" si="5"/>
        <v>0</v>
      </c>
      <c r="J68" s="1974">
        <f t="shared" si="5"/>
        <v>0</v>
      </c>
      <c r="K68" s="1974">
        <f t="shared" si="5"/>
        <v>0</v>
      </c>
      <c r="L68" s="1974">
        <f t="shared" si="5"/>
        <v>0</v>
      </c>
      <c r="M68" s="1974">
        <f t="shared" si="5"/>
        <v>817460</v>
      </c>
      <c r="N68" s="1988">
        <f t="shared" si="5"/>
        <v>859074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9" sqref="C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v>2</v>
      </c>
      <c r="B6" s="307" t="s">
        <v>2071</v>
      </c>
    </row>
    <row r="7" spans="1:2" x14ac:dyDescent="0.2">
      <c r="A7" s="847">
        <v>3</v>
      </c>
      <c r="B7" s="307" t="s">
        <v>2072</v>
      </c>
    </row>
    <row r="8" spans="1:2" x14ac:dyDescent="0.2">
      <c r="A8" s="847">
        <v>4</v>
      </c>
      <c r="B8" s="307" t="s">
        <v>2073</v>
      </c>
    </row>
    <row r="9" spans="1:2" x14ac:dyDescent="0.2">
      <c r="A9" s="848">
        <v>5</v>
      </c>
      <c r="B9" s="307" t="s">
        <v>2075</v>
      </c>
    </row>
    <row r="10" spans="1:2" x14ac:dyDescent="0.2">
      <c r="A10" s="848" t="s">
        <v>1159</v>
      </c>
      <c r="B10" s="307" t="s">
        <v>2074</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Princeton Elem SD 115</v>
      </c>
    </row>
    <row r="65" spans="2:2" x14ac:dyDescent="0.2">
      <c r="B65" s="849">
        <f>COVER!A13</f>
        <v>28006115002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5" sqref="G1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904875</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9531183</v>
      </c>
      <c r="C8" s="1813">
        <f>'Acct Summary 7-8'!D8</f>
        <v>755782</v>
      </c>
      <c r="D8" s="1813">
        <f>'Acct Summary 7-8'!F8</f>
        <v>605510</v>
      </c>
      <c r="E8" s="1813">
        <f>'Acct Summary 7-8'!I8</f>
        <v>126065</v>
      </c>
      <c r="F8" s="1813">
        <f>SUM(B8:E8)</f>
        <v>11018540</v>
      </c>
    </row>
    <row r="9" spans="1:8" s="858" customFormat="1" ht="14.25" customHeight="1" thickBot="1" x14ac:dyDescent="0.25">
      <c r="A9" s="857" t="s">
        <v>1353</v>
      </c>
      <c r="B9" s="1814">
        <f>'Acct Summary 7-8'!C17</f>
        <v>8834530</v>
      </c>
      <c r="C9" s="1814">
        <f>'Acct Summary 7-8'!D17</f>
        <v>741346</v>
      </c>
      <c r="D9" s="1814">
        <f>'Acct Summary 7-8'!F17</f>
        <v>746004</v>
      </c>
      <c r="E9" s="1813"/>
      <c r="F9" s="1813">
        <f>SUM(B9:E9)</f>
        <v>10321880</v>
      </c>
    </row>
    <row r="10" spans="1:8" s="858" customFormat="1" ht="14.25" thickTop="1" thickBot="1" x14ac:dyDescent="0.25">
      <c r="A10" s="859" t="s">
        <v>1354</v>
      </c>
      <c r="B10" s="1815">
        <f>(B8-B9)</f>
        <v>696653</v>
      </c>
      <c r="C10" s="1815">
        <f>(C8-C9)</f>
        <v>14436</v>
      </c>
      <c r="D10" s="1815">
        <f>(D8-D9)</f>
        <v>-140494</v>
      </c>
      <c r="E10" s="1814">
        <f>(E8-E9)</f>
        <v>126065</v>
      </c>
      <c r="F10" s="1816">
        <f>SUM(F8-F9)</f>
        <v>696660</v>
      </c>
    </row>
    <row r="11" spans="1:8" s="858" customFormat="1" ht="14.25" thickTop="1" thickBot="1" x14ac:dyDescent="0.25">
      <c r="A11" s="860" t="s">
        <v>1903</v>
      </c>
      <c r="B11" s="1817">
        <f>'Acct Summary 7-8'!C81</f>
        <v>2369194</v>
      </c>
      <c r="C11" s="1817">
        <f>'Acct Summary 7-8'!D81</f>
        <v>113220</v>
      </c>
      <c r="D11" s="1817">
        <f>'Acct Summary 7-8'!F81</f>
        <v>305612</v>
      </c>
      <c r="E11" s="1817">
        <f>'Acct Summary 7-8'!I81</f>
        <v>407592</v>
      </c>
      <c r="F11" s="1818">
        <f>SUM(B11:E11)</f>
        <v>3195618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28006115002</v>
      </c>
      <c r="E2" s="1542">
        <v>2020</v>
      </c>
      <c r="F2" s="1542">
        <v>1</v>
      </c>
      <c r="G2" s="1899">
        <v>101000300</v>
      </c>
    </row>
    <row r="3" spans="1:7" ht="15" x14ac:dyDescent="0.25">
      <c r="A3" t="s">
        <v>950</v>
      </c>
      <c r="B3" s="135" t="str">
        <f>COVER!A15</f>
        <v>BUREAU</v>
      </c>
      <c r="E3" s="1830" t="s">
        <v>1971</v>
      </c>
      <c r="F3" s="1830" t="s">
        <v>1970</v>
      </c>
      <c r="G3" s="1899">
        <v>101000400</v>
      </c>
    </row>
    <row r="4" spans="1:7" ht="15" x14ac:dyDescent="0.25">
      <c r="A4" t="s">
        <v>1000</v>
      </c>
      <c r="B4" s="135" t="str">
        <f>COVER!A17</f>
        <v>Princeton Elem SD 115</v>
      </c>
      <c r="E4" s="1828">
        <v>44119</v>
      </c>
      <c r="F4" s="1829">
        <v>44151</v>
      </c>
      <c r="G4" s="1899">
        <v>101000600</v>
      </c>
    </row>
    <row r="5" spans="1:7" ht="15" x14ac:dyDescent="0.25">
      <c r="A5" t="s">
        <v>699</v>
      </c>
      <c r="B5" s="135" t="str">
        <f>COVER!A38</f>
        <v>TIMOTHY SMITH</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2369194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2369194</v>
      </c>
      <c r="D92" s="2" t="str">
        <f t="shared" si="0"/>
        <v>Error?</v>
      </c>
      <c r="G92" s="1899">
        <v>102640600</v>
      </c>
    </row>
    <row r="93" spans="1:7" ht="15" x14ac:dyDescent="0.25">
      <c r="A93" s="5">
        <v>32</v>
      </c>
      <c r="B93" s="1832">
        <f>'Assets-Liab 5-6'!C41</f>
        <v>2369194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113220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113220</v>
      </c>
      <c r="D123" s="2" t="str">
        <f t="shared" si="0"/>
        <v>Error?</v>
      </c>
      <c r="G123" s="1899">
        <v>203000400</v>
      </c>
    </row>
    <row r="124" spans="1:7" ht="15" x14ac:dyDescent="0.25">
      <c r="A124" s="5">
        <v>63</v>
      </c>
      <c r="B124" s="1832">
        <f>'Assets-Liab 5-6'!D41</f>
        <v>113220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66400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66400</v>
      </c>
      <c r="D140" s="2" t="str">
        <f t="shared" si="1"/>
        <v>Error?</v>
      </c>
    </row>
    <row r="141" spans="1:7" x14ac:dyDescent="0.2">
      <c r="A141" s="5">
        <v>80</v>
      </c>
      <c r="B141" s="1832">
        <f>'Assets-Liab 5-6'!E41</f>
        <v>66400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305612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305612</v>
      </c>
      <c r="D170" s="2" t="str">
        <f t="shared" si="1"/>
        <v>Error?</v>
      </c>
    </row>
    <row r="171" spans="1:4" x14ac:dyDescent="0.2">
      <c r="A171" s="5">
        <v>110</v>
      </c>
      <c r="B171" s="1832">
        <f>'Assets-Liab 5-6'!F41</f>
        <v>305612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301200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301200</v>
      </c>
      <c r="D189" s="2" t="str">
        <f t="shared" si="1"/>
        <v>Error?</v>
      </c>
    </row>
    <row r="190" spans="1:4" x14ac:dyDescent="0.2">
      <c r="A190" s="5">
        <v>129</v>
      </c>
      <c r="B190" s="1832">
        <f>'Assets-Liab 5-6'!G41</f>
        <v>301200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144067</v>
      </c>
      <c r="D273" s="2" t="str">
        <f t="shared" si="3"/>
        <v>Error?</v>
      </c>
    </row>
    <row r="274" spans="1:4" x14ac:dyDescent="0.2">
      <c r="A274" s="5">
        <v>213</v>
      </c>
      <c r="B274" s="1832">
        <f>'Assets-Liab 5-6'!M17</f>
        <v>9067190</v>
      </c>
      <c r="D274" s="2" t="str">
        <f t="shared" si="3"/>
        <v>Error?</v>
      </c>
    </row>
    <row r="275" spans="1:4" x14ac:dyDescent="0.2">
      <c r="A275" s="5">
        <v>214</v>
      </c>
      <c r="B275" s="1832">
        <f>'Assets-Liab 5-6'!M18</f>
        <v>174406</v>
      </c>
      <c r="D275" s="2" t="str">
        <f t="shared" si="3"/>
        <v>Error?</v>
      </c>
    </row>
    <row r="276" spans="1:4" x14ac:dyDescent="0.2">
      <c r="A276" s="5">
        <v>215</v>
      </c>
      <c r="B276" s="1832">
        <f>'Assets-Liab 5-6'!M19</f>
        <v>6046281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15431944</v>
      </c>
      <c r="C279" s="2" t="s">
        <v>569</v>
      </c>
      <c r="D279" s="2" t="str">
        <f t="shared" si="3"/>
        <v>Error?</v>
      </c>
    </row>
    <row r="280" spans="1:4" x14ac:dyDescent="0.2">
      <c r="A280" s="5">
        <v>219</v>
      </c>
      <c r="B280" s="1832">
        <f>'Assets-Liab 5-6'!M40</f>
        <v>15431944</v>
      </c>
      <c r="D280" s="2" t="str">
        <f t="shared" si="3"/>
        <v>Error?</v>
      </c>
    </row>
    <row r="281" spans="1:4" x14ac:dyDescent="0.2">
      <c r="A281" s="5">
        <v>220</v>
      </c>
      <c r="B281" s="1832">
        <f>'Assets-Liab 5-6'!M41</f>
        <v>15431944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2402330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245133</v>
      </c>
      <c r="D718" s="2" t="str">
        <f t="shared" si="10"/>
        <v>Error?</v>
      </c>
    </row>
    <row r="719" spans="1:4" x14ac:dyDescent="0.2">
      <c r="A719" s="5">
        <v>658</v>
      </c>
      <c r="B719" s="1832">
        <f>'Expenditures 15-22'!C15</f>
        <v>7124</v>
      </c>
      <c r="D719" s="2" t="str">
        <f t="shared" si="10"/>
        <v>Error?</v>
      </c>
    </row>
    <row r="720" spans="1:4" x14ac:dyDescent="0.2">
      <c r="A720" s="5">
        <v>659</v>
      </c>
      <c r="B720" s="1832">
        <f>'Expenditures 15-22'!C33</f>
        <v>4457632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124650</v>
      </c>
      <c r="D722" s="2" t="str">
        <f t="shared" si="10"/>
        <v>Error?</v>
      </c>
    </row>
    <row r="723" spans="1:4" x14ac:dyDescent="0.2">
      <c r="A723" s="5">
        <v>662</v>
      </c>
      <c r="B723" s="1832">
        <f>'Expenditures 15-22'!C38</f>
        <v>33689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142501</v>
      </c>
      <c r="D725" s="2" t="str">
        <f t="shared" si="10"/>
        <v>Error?</v>
      </c>
    </row>
    <row r="726" spans="1:4" x14ac:dyDescent="0.2">
      <c r="A726" s="5">
        <v>665</v>
      </c>
      <c r="B726" s="1832">
        <f>'Expenditures 15-22'!C41</f>
        <v>15479</v>
      </c>
      <c r="D726" s="2" t="str">
        <f t="shared" si="10"/>
        <v>Error?</v>
      </c>
    </row>
    <row r="727" spans="1:4" x14ac:dyDescent="0.2">
      <c r="A727" s="5">
        <v>666</v>
      </c>
      <c r="B727" s="1832">
        <f>'Expenditures 15-22'!C42</f>
        <v>316319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179743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179743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167269</v>
      </c>
      <c r="D733" s="2" t="str">
        <f t="shared" si="10"/>
        <v>Error?</v>
      </c>
    </row>
    <row r="734" spans="1:4" x14ac:dyDescent="0.2">
      <c r="A734" s="5">
        <v>673</v>
      </c>
      <c r="B734" s="1832">
        <f>'Expenditures 15-22'!C53</f>
        <v>167269</v>
      </c>
      <c r="C734" s="2" t="s">
        <v>569</v>
      </c>
      <c r="D734" s="2" t="str">
        <f t="shared" si="10"/>
        <v>Error?</v>
      </c>
    </row>
    <row r="735" spans="1:4" x14ac:dyDescent="0.2">
      <c r="A735" s="5">
        <v>674</v>
      </c>
      <c r="B735" s="1832">
        <f>'Expenditures 15-22'!C55</f>
        <v>419447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419447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72070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151644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223714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1306492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5764124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764790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58050</v>
      </c>
      <c r="D776" s="2" t="str">
        <f t="shared" si="11"/>
        <v>Error?</v>
      </c>
    </row>
    <row r="777" spans="1:4" x14ac:dyDescent="0.2">
      <c r="A777" s="5">
        <v>716</v>
      </c>
      <c r="B777" s="1832">
        <f>'Expenditures 15-22'!D15</f>
        <v>651</v>
      </c>
      <c r="D777" s="2" t="str">
        <f t="shared" si="11"/>
        <v>Error?</v>
      </c>
    </row>
    <row r="778" spans="1:4" x14ac:dyDescent="0.2">
      <c r="A778" s="5">
        <v>717</v>
      </c>
      <c r="B778" s="1832">
        <f>'Expenditures 15-22'!D33</f>
        <v>1219568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11102</v>
      </c>
      <c r="D780" s="2" t="str">
        <f t="shared" si="11"/>
        <v>Error?</v>
      </c>
    </row>
    <row r="781" spans="1:4" x14ac:dyDescent="0.2">
      <c r="A781" s="5">
        <v>720</v>
      </c>
      <c r="B781" s="1832">
        <f>'Expenditures 15-22'!D38</f>
        <v>13256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47935</v>
      </c>
      <c r="D783" s="2" t="str">
        <f t="shared" si="11"/>
        <v>Error?</v>
      </c>
    </row>
    <row r="784" spans="1:4" x14ac:dyDescent="0.2">
      <c r="A784" s="5">
        <v>723</v>
      </c>
      <c r="B784" s="1832">
        <f>'Expenditures 15-22'!D41</f>
        <v>828</v>
      </c>
      <c r="D784" s="2" t="str">
        <f t="shared" si="11"/>
        <v>Error?</v>
      </c>
    </row>
    <row r="785" spans="1:4" x14ac:dyDescent="0.2">
      <c r="A785" s="5">
        <v>724</v>
      </c>
      <c r="B785" s="1832">
        <f>'Expenditures 15-22'!D42</f>
        <v>73121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14962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14962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48580</v>
      </c>
      <c r="D791" s="2" t="str">
        <f t="shared" si="11"/>
        <v>Error?</v>
      </c>
    </row>
    <row r="792" spans="1:4" x14ac:dyDescent="0.2">
      <c r="A792" s="5">
        <v>731</v>
      </c>
      <c r="B792" s="1832">
        <f>'Expenditures 15-22'!D53</f>
        <v>48580</v>
      </c>
      <c r="C792" s="2" t="s">
        <v>569</v>
      </c>
      <c r="D792" s="2" t="str">
        <f t="shared" si="11"/>
        <v>Error?</v>
      </c>
    </row>
    <row r="793" spans="1:4" x14ac:dyDescent="0.2">
      <c r="A793" s="5">
        <v>732</v>
      </c>
      <c r="B793" s="1832">
        <f>'Expenditures 15-22'!D55</f>
        <v>98252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98252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17138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1728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18866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253781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1473349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50217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25</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5245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133362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21376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62959</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84335</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41995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41995</v>
      </c>
      <c r="C847" s="2" t="s">
        <v>569</v>
      </c>
      <c r="D847" s="2" t="str">
        <f t="shared" si="12"/>
        <v>Error?</v>
      </c>
    </row>
    <row r="848" spans="1:4" x14ac:dyDescent="0.2">
      <c r="A848" s="5">
        <v>787</v>
      </c>
      <c r="B848" s="1832">
        <f>'Expenditures 15-22'!E49</f>
        <v>63326</v>
      </c>
      <c r="D848" s="2" t="str">
        <f t="shared" si="12"/>
        <v>Error?</v>
      </c>
    </row>
    <row r="849" spans="1:4" x14ac:dyDescent="0.2">
      <c r="A849" s="5">
        <v>788</v>
      </c>
      <c r="B849" s="1832">
        <f>'Expenditures 15-22'!E50</f>
        <v>1937</v>
      </c>
      <c r="D849" s="2" t="str">
        <f t="shared" si="12"/>
        <v>Error?</v>
      </c>
    </row>
    <row r="850" spans="1:4" x14ac:dyDescent="0.2">
      <c r="A850" s="5">
        <v>789</v>
      </c>
      <c r="B850" s="1832">
        <f>'Expenditures 15-22'!E53</f>
        <v>65263</v>
      </c>
      <c r="C850" s="2" t="s">
        <v>569</v>
      </c>
      <c r="D850" s="2" t="str">
        <f t="shared" si="12"/>
        <v>Error?</v>
      </c>
    </row>
    <row r="851" spans="1:4" x14ac:dyDescent="0.2">
      <c r="A851" s="5">
        <v>790</v>
      </c>
      <c r="B851" s="1832">
        <f>'Expenditures 15-22'!E55</f>
        <v>5938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5938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7848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2839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10687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208218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361699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138777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12395</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14667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219215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526</v>
      </c>
      <c r="D896" s="2" t="str">
        <f t="shared" si="13"/>
        <v>Error?</v>
      </c>
    </row>
    <row r="897" spans="1:4" x14ac:dyDescent="0.2">
      <c r="A897" s="5">
        <v>836</v>
      </c>
      <c r="B897" s="1832">
        <f>'Expenditures 15-22'!F38</f>
        <v>200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160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886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51222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51222</v>
      </c>
      <c r="C905" s="2" t="s">
        <v>569</v>
      </c>
      <c r="D905" s="2" t="str">
        <f t="shared" si="13"/>
        <v>Error?</v>
      </c>
    </row>
    <row r="906" spans="1:4" x14ac:dyDescent="0.2">
      <c r="A906" s="5">
        <v>845</v>
      </c>
      <c r="B906" s="1832">
        <f>'Expenditures 15-22'!F49</f>
        <v>1613</v>
      </c>
      <c r="D906" s="2" t="str">
        <f t="shared" si="13"/>
        <v>Error?</v>
      </c>
    </row>
    <row r="907" spans="1:4" x14ac:dyDescent="0.2">
      <c r="A907" s="5">
        <v>846</v>
      </c>
      <c r="B907" s="1832">
        <f>'Expenditures 15-22'!F50</f>
        <v>3656</v>
      </c>
      <c r="D907" s="2" t="str">
        <f t="shared" si="13"/>
        <v>Error?</v>
      </c>
    </row>
    <row r="908" spans="1:4" x14ac:dyDescent="0.2">
      <c r="A908" s="5">
        <v>847</v>
      </c>
      <c r="B908" s="1832">
        <f>'Expenditures 15-22'!F53</f>
        <v>5269</v>
      </c>
      <c r="C908" s="2" t="s">
        <v>569</v>
      </c>
      <c r="D908" s="2" t="str">
        <f t="shared" si="13"/>
        <v>Error?</v>
      </c>
    </row>
    <row r="909" spans="1:4" x14ac:dyDescent="0.2">
      <c r="A909" s="5">
        <v>848</v>
      </c>
      <c r="B909" s="1832">
        <f>'Expenditures 15-22'!F55</f>
        <v>5650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5650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2002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217780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219782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282809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502024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3456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3456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132672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132672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132672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136128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2693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256068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4678</v>
      </c>
      <c r="D1022" s="2" t="str">
        <f t="shared" si="14"/>
        <v>Error?</v>
      </c>
    </row>
    <row r="1023" spans="1:4" x14ac:dyDescent="0.2">
      <c r="A1023" s="5">
        <v>962</v>
      </c>
      <c r="B1023" s="1832">
        <f>'Expenditures 15-22'!H50</f>
        <v>1793</v>
      </c>
      <c r="D1023" s="2" t="str">
        <f t="shared" ref="D1023:D1086" si="15">IF(ISBLANK(B1023),"OK",IF(A1023-B1023=0,"OK","Error?"))</f>
        <v>Error?</v>
      </c>
    </row>
    <row r="1024" spans="1:4" x14ac:dyDescent="0.2">
      <c r="A1024" s="5">
        <v>963</v>
      </c>
      <c r="B1024" s="1832">
        <f>'Expenditures 15-22'!H53</f>
        <v>6471</v>
      </c>
      <c r="C1024" s="2" t="s">
        <v>569</v>
      </c>
      <c r="D1024" s="2" t="str">
        <f t="shared" si="15"/>
        <v>Error?</v>
      </c>
    </row>
    <row r="1025" spans="1:4" x14ac:dyDescent="0.2">
      <c r="A1025" s="5">
        <v>964</v>
      </c>
      <c r="B1025" s="1832">
        <f>'Expenditures 15-22'!H55</f>
        <v>1874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1874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408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408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8753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332385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597206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3356114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12420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329244</v>
      </c>
      <c r="C1106" s="2" t="s">
        <v>569</v>
      </c>
      <c r="D1106" s="2" t="str">
        <f t="shared" si="16"/>
        <v>Error?</v>
      </c>
    </row>
    <row r="1107" spans="1:4" x14ac:dyDescent="0.2">
      <c r="A1107" s="5">
        <v>1046</v>
      </c>
      <c r="B1107" s="1832">
        <f>'Expenditures 15-22'!K15</f>
        <v>7775</v>
      </c>
      <c r="C1107" s="2" t="s">
        <v>569</v>
      </c>
      <c r="D1107" s="2" t="str">
        <f t="shared" si="16"/>
        <v>Error?</v>
      </c>
    </row>
    <row r="1108" spans="1:4" x14ac:dyDescent="0.2">
      <c r="A1108" s="5">
        <v>1047</v>
      </c>
      <c r="B1108" s="1832">
        <f>'Expenditures 15-22'!K33</f>
        <v>6289301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136278</v>
      </c>
      <c r="C1110" s="2" t="s">
        <v>569</v>
      </c>
      <c r="D1110" s="2" t="str">
        <f t="shared" si="16"/>
        <v>Error?</v>
      </c>
    </row>
    <row r="1111" spans="1:4" x14ac:dyDescent="0.2">
      <c r="A1111" s="5">
        <v>1050</v>
      </c>
      <c r="B1111" s="1832">
        <f>'Expenditures 15-22'!K38</f>
        <v>68521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253555</v>
      </c>
      <c r="C1113" s="2" t="s">
        <v>569</v>
      </c>
      <c r="D1113" s="2" t="str">
        <f t="shared" si="16"/>
        <v>Error?</v>
      </c>
    </row>
    <row r="1114" spans="1:4" x14ac:dyDescent="0.2">
      <c r="A1114" s="5">
        <v>1053</v>
      </c>
      <c r="B1114" s="1832">
        <f>'Expenditures 15-22'!K41</f>
        <v>16307</v>
      </c>
      <c r="C1114" s="2" t="s">
        <v>569</v>
      </c>
      <c r="D1114" s="2" t="str">
        <f t="shared" si="16"/>
        <v>Error?</v>
      </c>
    </row>
    <row r="1115" spans="1:4" x14ac:dyDescent="0.2">
      <c r="A1115" s="5">
        <v>1054</v>
      </c>
      <c r="B1115" s="1832">
        <f>'Expenditures 15-22'!K42</f>
        <v>474661</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420594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420594</v>
      </c>
      <c r="C1119" s="2" t="s">
        <v>569</v>
      </c>
      <c r="D1119" s="2" t="str">
        <f t="shared" si="16"/>
        <v>Error?</v>
      </c>
    </row>
    <row r="1120" spans="1:4" x14ac:dyDescent="0.2">
      <c r="A1120" s="5">
        <v>1059</v>
      </c>
      <c r="B1120" s="1832">
        <f>'Expenditures 15-22'!K49</f>
        <v>69617</v>
      </c>
      <c r="C1120" s="2" t="s">
        <v>569</v>
      </c>
      <c r="D1120" s="2" t="str">
        <f t="shared" si="16"/>
        <v>Error?</v>
      </c>
    </row>
    <row r="1121" spans="1:4" x14ac:dyDescent="0.2">
      <c r="A1121" s="5">
        <v>1060</v>
      </c>
      <c r="B1121" s="1832">
        <f>'Expenditures 15-22'!K50</f>
        <v>223235</v>
      </c>
      <c r="C1121" s="2" t="s">
        <v>569</v>
      </c>
      <c r="D1121" s="2" t="str">
        <f t="shared" si="16"/>
        <v>Error?</v>
      </c>
    </row>
    <row r="1122" spans="1:4" x14ac:dyDescent="0.2">
      <c r="A1122" s="5">
        <v>1061</v>
      </c>
      <c r="B1122" s="1832">
        <f>'Expenditures 15-22'!K53</f>
        <v>292852</v>
      </c>
      <c r="C1122" s="2" t="s">
        <v>569</v>
      </c>
      <c r="D1122" s="2" t="str">
        <f t="shared" si="16"/>
        <v>Error?</v>
      </c>
    </row>
    <row r="1123" spans="1:4" x14ac:dyDescent="0.2">
      <c r="A1123" s="5">
        <v>1062</v>
      </c>
      <c r="B1123" s="1832">
        <f>'Expenditures 15-22'!K55</f>
        <v>531161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531161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99058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374399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473457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2192725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352504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8834530</v>
      </c>
      <c r="C1152" s="2" t="s">
        <v>569</v>
      </c>
      <c r="D1152" s="2" t="str">
        <f t="shared" si="17"/>
        <v>Error?</v>
      </c>
    </row>
    <row r="1153" spans="1:4" x14ac:dyDescent="0.2">
      <c r="A1153" s="5">
        <v>1092</v>
      </c>
      <c r="B1153" s="1832">
        <f>'Expenditures 15-22'!K115</f>
        <v>696653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286114</v>
      </c>
      <c r="D1221" s="2" t="str">
        <f t="shared" si="18"/>
        <v>Error?</v>
      </c>
    </row>
    <row r="1222" spans="1:4" x14ac:dyDescent="0.2">
      <c r="A1222" s="10">
        <v>1161</v>
      </c>
      <c r="B1222" s="1832"/>
      <c r="D1222" s="2" t="str">
        <f t="shared" si="18"/>
        <v>OK</v>
      </c>
    </row>
    <row r="1223" spans="1:4" x14ac:dyDescent="0.2">
      <c r="A1223" s="5">
        <v>1162</v>
      </c>
      <c r="B1223" s="1832">
        <f>'Expenditures 15-22'!C127</f>
        <v>286114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286114</v>
      </c>
      <c r="C1225" s="2" t="s">
        <v>569</v>
      </c>
      <c r="D1225" s="2" t="str">
        <f t="shared" si="18"/>
        <v>Error?</v>
      </c>
    </row>
    <row r="1226" spans="1:4" x14ac:dyDescent="0.2">
      <c r="A1226" s="5">
        <v>1165</v>
      </c>
      <c r="B1226" s="1832">
        <f>'Expenditures 15-22'!C151</f>
        <v>286114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60151</v>
      </c>
      <c r="D1229" s="2" t="str">
        <f t="shared" si="18"/>
        <v>Error?</v>
      </c>
    </row>
    <row r="1230" spans="1:4" x14ac:dyDescent="0.2">
      <c r="A1230" s="10">
        <v>1169</v>
      </c>
      <c r="B1230" s="1832"/>
      <c r="D1230" s="2" t="str">
        <f t="shared" si="18"/>
        <v>OK</v>
      </c>
    </row>
    <row r="1231" spans="1:4" x14ac:dyDescent="0.2">
      <c r="A1231" s="5">
        <v>1170</v>
      </c>
      <c r="B1231" s="1832">
        <f>'Expenditures 15-22'!D127</f>
        <v>60151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60151</v>
      </c>
      <c r="C1233" s="2" t="s">
        <v>569</v>
      </c>
      <c r="D1233" s="2" t="str">
        <f t="shared" si="18"/>
        <v>Error?</v>
      </c>
    </row>
    <row r="1234" spans="1:4" x14ac:dyDescent="0.2">
      <c r="A1234" s="5">
        <v>1173</v>
      </c>
      <c r="B1234" s="1832">
        <f>'Expenditures 15-22'!D151</f>
        <v>60151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166272</v>
      </c>
      <c r="D1237" s="2" t="str">
        <f t="shared" si="18"/>
        <v>Error?</v>
      </c>
    </row>
    <row r="1238" spans="1:4" x14ac:dyDescent="0.2">
      <c r="A1238" s="10">
        <v>1177</v>
      </c>
      <c r="B1238" s="1832"/>
      <c r="D1238" s="2" t="str">
        <f t="shared" si="18"/>
        <v>OK</v>
      </c>
    </row>
    <row r="1239" spans="1:4" x14ac:dyDescent="0.2">
      <c r="A1239" s="5">
        <v>1178</v>
      </c>
      <c r="B1239" s="1832">
        <f>'Expenditures 15-22'!E127</f>
        <v>166272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166272</v>
      </c>
      <c r="C1241" s="2" t="s">
        <v>569</v>
      </c>
      <c r="D1241" s="2" t="str">
        <f t="shared" si="18"/>
        <v>Error?</v>
      </c>
    </row>
    <row r="1242" spans="1:4" x14ac:dyDescent="0.2">
      <c r="A1242" s="5">
        <v>1181</v>
      </c>
      <c r="B1242" s="1832">
        <f>'Expenditures 15-22'!E151</f>
        <v>166272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217097</v>
      </c>
      <c r="D1245" s="2" t="str">
        <f t="shared" si="18"/>
        <v>Error?</v>
      </c>
    </row>
    <row r="1246" spans="1:4" x14ac:dyDescent="0.2">
      <c r="A1246" s="10">
        <v>1185</v>
      </c>
      <c r="B1246" s="1832"/>
      <c r="D1246" s="2" t="str">
        <f t="shared" si="18"/>
        <v>OK</v>
      </c>
    </row>
    <row r="1247" spans="1:4" x14ac:dyDescent="0.2">
      <c r="A1247" s="5">
        <v>1186</v>
      </c>
      <c r="B1247" s="1832">
        <f>'Expenditures 15-22'!F127</f>
        <v>217097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217097</v>
      </c>
      <c r="C1249" s="2" t="s">
        <v>569</v>
      </c>
      <c r="D1249" s="2" t="str">
        <f t="shared" si="18"/>
        <v>Error?</v>
      </c>
    </row>
    <row r="1250" spans="1:4" x14ac:dyDescent="0.2">
      <c r="A1250" s="5">
        <v>1189</v>
      </c>
      <c r="B1250" s="1832">
        <f>'Expenditures 15-22'!F151</f>
        <v>217097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11712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11712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11712</v>
      </c>
      <c r="C1258" s="2" t="s">
        <v>569</v>
      </c>
      <c r="D1258" s="2" t="str">
        <f t="shared" si="18"/>
        <v>Error?</v>
      </c>
    </row>
    <row r="1259" spans="1:4" x14ac:dyDescent="0.2">
      <c r="A1259" s="5">
        <v>1198</v>
      </c>
      <c r="B1259" s="1832">
        <f>'Expenditures 15-22'!G151</f>
        <v>11712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741346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741346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741346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741346</v>
      </c>
      <c r="C1288" s="2" t="s">
        <v>569</v>
      </c>
      <c r="D1288" s="2" t="str">
        <f t="shared" si="19"/>
        <v>Error?</v>
      </c>
    </row>
    <row r="1289" spans="1:4" x14ac:dyDescent="0.2">
      <c r="A1289" s="5">
        <v>1228</v>
      </c>
      <c r="B1289" s="1832">
        <f>'Expenditures 15-22'!K152</f>
        <v>14436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621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402410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402410</v>
      </c>
      <c r="C1339" s="2" t="s">
        <v>569</v>
      </c>
      <c r="D1339" s="2" t="str">
        <f t="shared" si="19"/>
        <v>Error?</v>
      </c>
    </row>
    <row r="1340" spans="1:4" x14ac:dyDescent="0.2">
      <c r="A1340" s="5">
        <v>1279</v>
      </c>
      <c r="B1340" s="1832">
        <f>'Expenditures 15-22'!C210</f>
        <v>402410</v>
      </c>
      <c r="C1340" s="2" t="s">
        <v>569</v>
      </c>
      <c r="D1340" s="2" t="str">
        <f t="shared" si="19"/>
        <v>Error?</v>
      </c>
    </row>
    <row r="1341" spans="1:4" x14ac:dyDescent="0.2">
      <c r="A1341" s="5">
        <v>1280</v>
      </c>
      <c r="B1341" s="1832">
        <f>'Expenditures 15-22'!D182</f>
        <v>28310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28310</v>
      </c>
      <c r="C1345" s="2" t="s">
        <v>569</v>
      </c>
      <c r="D1345" s="2" t="str">
        <f t="shared" si="20"/>
        <v>Error?</v>
      </c>
    </row>
    <row r="1346" spans="1:4" x14ac:dyDescent="0.2">
      <c r="A1346" s="5">
        <v>1285</v>
      </c>
      <c r="B1346" s="1832">
        <f>'Expenditures 15-22'!D210</f>
        <v>28310</v>
      </c>
      <c r="C1346" s="2" t="s">
        <v>569</v>
      </c>
      <c r="D1346" s="2" t="str">
        <f t="shared" si="20"/>
        <v>Error?</v>
      </c>
    </row>
    <row r="1347" spans="1:4" x14ac:dyDescent="0.2">
      <c r="A1347" s="5">
        <v>1286</v>
      </c>
      <c r="B1347" s="1832">
        <f>'Expenditures 15-22'!E182</f>
        <v>104218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104218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104218</v>
      </c>
      <c r="C1353" s="2" t="s">
        <v>569</v>
      </c>
      <c r="D1353" s="2" t="str">
        <f t="shared" si="20"/>
        <v>Error?</v>
      </c>
    </row>
    <row r="1354" spans="1:4" x14ac:dyDescent="0.2">
      <c r="A1354" s="5">
        <v>1293</v>
      </c>
      <c r="B1354" s="1832">
        <f>'Expenditures 15-22'!F182</f>
        <v>67294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67294</v>
      </c>
      <c r="C1358" s="2" t="s">
        <v>569</v>
      </c>
      <c r="D1358" s="2" t="str">
        <f t="shared" si="20"/>
        <v>Error?</v>
      </c>
    </row>
    <row r="1359" spans="1:4" x14ac:dyDescent="0.2">
      <c r="A1359" s="5">
        <v>1298</v>
      </c>
      <c r="B1359" s="1832">
        <f>'Expenditures 15-22'!F210</f>
        <v>67294</v>
      </c>
      <c r="C1359" s="2" t="s">
        <v>569</v>
      </c>
      <c r="D1359" s="2" t="str">
        <f t="shared" si="20"/>
        <v>Error?</v>
      </c>
    </row>
    <row r="1360" spans="1:4" x14ac:dyDescent="0.2">
      <c r="A1360" s="5">
        <v>1299</v>
      </c>
      <c r="B1360" s="1832">
        <f>'Expenditures 15-22'!G182</f>
        <v>142917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142917</v>
      </c>
      <c r="C1364" s="2" t="s">
        <v>569</v>
      </c>
      <c r="D1364" s="2" t="str">
        <f t="shared" si="20"/>
        <v>Error?</v>
      </c>
    </row>
    <row r="1365" spans="1:4" x14ac:dyDescent="0.2">
      <c r="A1365" s="5">
        <v>1304</v>
      </c>
      <c r="B1365" s="1832">
        <f>'Expenditures 15-22'!G210</f>
        <v>142917</v>
      </c>
      <c r="C1365" s="2" t="s">
        <v>569</v>
      </c>
      <c r="D1365" s="2" t="str">
        <f t="shared" si="20"/>
        <v>Error?</v>
      </c>
    </row>
    <row r="1366" spans="1:4" x14ac:dyDescent="0.2">
      <c r="A1366" s="5">
        <v>1305</v>
      </c>
      <c r="B1366" s="1832">
        <f>'Expenditures 15-22'!H182</f>
        <v>855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855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855</v>
      </c>
      <c r="C1376" s="2" t="s">
        <v>569</v>
      </c>
      <c r="D1376" s="2" t="str">
        <f t="shared" si="20"/>
        <v>Error?</v>
      </c>
    </row>
    <row r="1377" spans="1:4" x14ac:dyDescent="0.2">
      <c r="A1377" s="5">
        <v>1316</v>
      </c>
      <c r="B1377" s="1832">
        <f>'Expenditures 15-22'!K182</f>
        <v>746004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746004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746004</v>
      </c>
      <c r="C1388" s="2" t="s">
        <v>569</v>
      </c>
      <c r="D1388" s="2" t="str">
        <f t="shared" si="20"/>
        <v>Error?</v>
      </c>
    </row>
    <row r="1389" spans="1:4" x14ac:dyDescent="0.2">
      <c r="A1389" s="5">
        <v>1328</v>
      </c>
      <c r="B1389" s="1832">
        <f>'Expenditures 15-22'!K211</f>
        <v>-140494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5323</v>
      </c>
      <c r="D1408" s="2" t="str">
        <f t="shared" si="21"/>
        <v>Error?</v>
      </c>
    </row>
    <row r="1409" spans="1:4" x14ac:dyDescent="0.2">
      <c r="A1409" s="5">
        <v>1348</v>
      </c>
      <c r="B1409" s="1832">
        <f>'Expenditures 15-22'!D224</f>
        <v>99</v>
      </c>
      <c r="D1409" s="2" t="str">
        <f t="shared" si="21"/>
        <v>Error?</v>
      </c>
    </row>
    <row r="1410" spans="1:4" x14ac:dyDescent="0.2">
      <c r="A1410" s="5">
        <v>1349</v>
      </c>
      <c r="B1410" s="1832">
        <f>'Expenditures 15-22'!D229</f>
        <v>194421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1807</v>
      </c>
      <c r="D1412" s="2" t="str">
        <f t="shared" si="21"/>
        <v>Error?</v>
      </c>
    </row>
    <row r="1413" spans="1:4" x14ac:dyDescent="0.2">
      <c r="A1413" s="5">
        <v>1352</v>
      </c>
      <c r="B1413" s="1832">
        <f>'Expenditures 15-22'!D234</f>
        <v>2577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2030</v>
      </c>
      <c r="D1415" s="2" t="str">
        <f t="shared" si="21"/>
        <v>Error?</v>
      </c>
    </row>
    <row r="1416" spans="1:4" x14ac:dyDescent="0.2">
      <c r="A1416" s="5">
        <v>1355</v>
      </c>
      <c r="B1416" s="1832">
        <f>'Expenditures 15-22'!D237</f>
        <v>1752</v>
      </c>
      <c r="D1416" s="2" t="str">
        <f t="shared" si="21"/>
        <v>Error?</v>
      </c>
    </row>
    <row r="1417" spans="1:4" x14ac:dyDescent="0.2">
      <c r="A1417" s="5">
        <v>1356</v>
      </c>
      <c r="B1417" s="1832">
        <f>'Expenditures 15-22'!D238</f>
        <v>8166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23227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23227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8958</v>
      </c>
      <c r="D1423" s="2" t="str">
        <f t="shared" si="21"/>
        <v>Error?</v>
      </c>
    </row>
    <row r="1424" spans="1:4" x14ac:dyDescent="0.2">
      <c r="A1424" s="5">
        <v>1363</v>
      </c>
      <c r="B1424" s="1832">
        <f>'Expenditures 15-22'!D257</f>
        <v>54024</v>
      </c>
      <c r="C1424" s="2" t="s">
        <v>569</v>
      </c>
      <c r="D1424" s="2" t="str">
        <f t="shared" si="21"/>
        <v>Error?</v>
      </c>
    </row>
    <row r="1425" spans="1:4" x14ac:dyDescent="0.2">
      <c r="A1425" s="5">
        <v>1364</v>
      </c>
      <c r="B1425" s="1832">
        <f>'Expenditures 15-22'!D259</f>
        <v>22675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22675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12980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45097</v>
      </c>
      <c r="D1431" s="2" t="str">
        <f t="shared" si="21"/>
        <v>Error?</v>
      </c>
    </row>
    <row r="1432" spans="1:4" x14ac:dyDescent="0.2">
      <c r="A1432" s="5">
        <v>1371</v>
      </c>
      <c r="B1432" s="1832">
        <f>'Expenditures 15-22'!D267</f>
        <v>55795</v>
      </c>
      <c r="D1432" s="2" t="str">
        <f t="shared" si="21"/>
        <v>Error?</v>
      </c>
    </row>
    <row r="1433" spans="1:4" x14ac:dyDescent="0.2">
      <c r="A1433" s="5">
        <v>1372</v>
      </c>
      <c r="B1433" s="1832">
        <f>'Expenditures 15-22'!D268</f>
        <v>23249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137121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245213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439634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5323</v>
      </c>
      <c r="C1472" s="2" t="s">
        <v>569</v>
      </c>
      <c r="D1472" s="2" t="str">
        <f t="shared" si="22"/>
        <v>Error?</v>
      </c>
    </row>
    <row r="1473" spans="1:4" x14ac:dyDescent="0.2">
      <c r="A1473" s="5">
        <v>1412</v>
      </c>
      <c r="B1473" s="1832">
        <f>'Expenditures 15-22'!K224</f>
        <v>99</v>
      </c>
      <c r="C1473" s="2" t="s">
        <v>569</v>
      </c>
      <c r="D1473" s="2" t="str">
        <f t="shared" si="22"/>
        <v>Error?</v>
      </c>
    </row>
    <row r="1474" spans="1:4" x14ac:dyDescent="0.2">
      <c r="A1474" s="5">
        <v>1413</v>
      </c>
      <c r="B1474" s="1832">
        <f>'Expenditures 15-22'!K229</f>
        <v>194421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1807</v>
      </c>
      <c r="C1476" s="2" t="s">
        <v>569</v>
      </c>
      <c r="D1476" s="2" t="str">
        <f t="shared" si="22"/>
        <v>Error?</v>
      </c>
    </row>
    <row r="1477" spans="1:4" x14ac:dyDescent="0.2">
      <c r="A1477" s="5">
        <v>1416</v>
      </c>
      <c r="B1477" s="1832">
        <f>'Expenditures 15-22'!K234</f>
        <v>2577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2030</v>
      </c>
      <c r="C1479" s="2" t="s">
        <v>569</v>
      </c>
      <c r="D1479" s="2" t="str">
        <f t="shared" si="22"/>
        <v>Error?</v>
      </c>
    </row>
    <row r="1480" spans="1:4" x14ac:dyDescent="0.2">
      <c r="A1480" s="5">
        <v>1419</v>
      </c>
      <c r="B1480" s="1832">
        <f>'Expenditures 15-22'!K237</f>
        <v>1752</v>
      </c>
      <c r="C1480" s="2" t="s">
        <v>569</v>
      </c>
      <c r="D1480" s="2" t="str">
        <f t="shared" si="22"/>
        <v>Error?</v>
      </c>
    </row>
    <row r="1481" spans="1:4" x14ac:dyDescent="0.2">
      <c r="A1481" s="5">
        <v>1420</v>
      </c>
      <c r="B1481" s="1832">
        <f>'Expenditures 15-22'!K238</f>
        <v>8166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23227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23227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8958</v>
      </c>
      <c r="C1487" s="2" t="s">
        <v>569</v>
      </c>
      <c r="D1487" s="2" t="str">
        <f t="shared" si="22"/>
        <v>Error?</v>
      </c>
    </row>
    <row r="1488" spans="1:4" x14ac:dyDescent="0.2">
      <c r="A1488" s="5">
        <v>1427</v>
      </c>
      <c r="B1488" s="1832">
        <f>'Expenditures 15-22'!K257</f>
        <v>54024</v>
      </c>
      <c r="C1488" s="2" t="s">
        <v>569</v>
      </c>
      <c r="D1488" s="2" t="str">
        <f t="shared" si="22"/>
        <v>Error?</v>
      </c>
    </row>
    <row r="1489" spans="1:4" x14ac:dyDescent="0.2">
      <c r="A1489" s="5">
        <v>1428</v>
      </c>
      <c r="B1489" s="1832">
        <f>'Expenditures 15-22'!K259</f>
        <v>22675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22675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12980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45097</v>
      </c>
      <c r="C1495" s="2" t="s">
        <v>569</v>
      </c>
      <c r="D1495" s="2" t="str">
        <f t="shared" si="22"/>
        <v>Error?</v>
      </c>
    </row>
    <row r="1496" spans="1:4" x14ac:dyDescent="0.2">
      <c r="A1496" s="5">
        <v>1435</v>
      </c>
      <c r="B1496" s="1832">
        <f>'Expenditures 15-22'!K267</f>
        <v>55795</v>
      </c>
      <c r="C1496" s="2" t="s">
        <v>569</v>
      </c>
      <c r="D1496" s="2" t="str">
        <f t="shared" si="22"/>
        <v>Error?</v>
      </c>
    </row>
    <row r="1497" spans="1:4" x14ac:dyDescent="0.2">
      <c r="A1497" s="5">
        <v>1436</v>
      </c>
      <c r="B1497" s="1832">
        <f>'Expenditures 15-22'!K268</f>
        <v>23249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137121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245213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439634</v>
      </c>
      <c r="C1517" s="2" t="s">
        <v>569</v>
      </c>
      <c r="D1517" s="2" t="str">
        <f t="shared" si="22"/>
        <v>Error?</v>
      </c>
    </row>
    <row r="1518" spans="1:4" x14ac:dyDescent="0.2">
      <c r="A1518" s="5">
        <v>1457</v>
      </c>
      <c r="B1518" s="1832">
        <f>'Expenditures 15-22'!K296</f>
        <v>49204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1672541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2369194</v>
      </c>
      <c r="C1630" s="2" t="s">
        <v>569</v>
      </c>
      <c r="D1630" s="2" t="str">
        <f t="shared" si="24"/>
        <v>Error?</v>
      </c>
    </row>
    <row r="1631" spans="1:4" x14ac:dyDescent="0.2">
      <c r="A1631" s="5">
        <v>1570</v>
      </c>
      <c r="B1631" s="1832">
        <f>'Acct Summary 7-8'!D79</f>
        <v>98784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113220</v>
      </c>
      <c r="C1644" s="2" t="s">
        <v>569</v>
      </c>
      <c r="D1644" s="2" t="str">
        <f t="shared" si="24"/>
        <v>Error?</v>
      </c>
    </row>
    <row r="1645" spans="1:4" x14ac:dyDescent="0.2">
      <c r="A1645" s="5">
        <v>1584</v>
      </c>
      <c r="B1645" s="1832">
        <f>'Acct Summary 7-8'!E79</f>
        <v>65779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66400</v>
      </c>
      <c r="C1658" s="2" t="s">
        <v>569</v>
      </c>
      <c r="D1658" s="2" t="str">
        <f t="shared" si="24"/>
        <v>Error?</v>
      </c>
    </row>
    <row r="1659" spans="1:4" x14ac:dyDescent="0.2">
      <c r="A1659" s="5">
        <v>1598</v>
      </c>
      <c r="B1659" s="1832">
        <f>'Acct Summary 7-8'!F79</f>
        <v>446106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305612</v>
      </c>
      <c r="C1672" s="2" t="s">
        <v>569</v>
      </c>
      <c r="D1672" s="2" t="str">
        <f t="shared" si="25"/>
        <v>Error?</v>
      </c>
    </row>
    <row r="1673" spans="1:4" x14ac:dyDescent="0.2">
      <c r="A1673" s="5">
        <v>1612</v>
      </c>
      <c r="B1673" s="1832">
        <f>'Acct Summary 7-8'!G79</f>
        <v>251996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301200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5165733</v>
      </c>
      <c r="C1744" s="2" t="s">
        <v>569</v>
      </c>
      <c r="D1744" s="2" t="str">
        <f t="shared" si="26"/>
        <v>Error?</v>
      </c>
    </row>
    <row r="1745" spans="1:5" x14ac:dyDescent="0.2">
      <c r="A1745" s="5">
        <v>1684</v>
      </c>
      <c r="B1745" s="1832">
        <f>'Tax Sched 23'!B5</f>
        <v>614968</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295185</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122993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792737</v>
      </c>
      <c r="C1752" s="2" t="s">
        <v>569</v>
      </c>
      <c r="D1752" s="2" t="str">
        <f t="shared" si="26"/>
        <v>Error?</v>
      </c>
    </row>
    <row r="1753" spans="1:5" x14ac:dyDescent="0.2">
      <c r="A1753" s="5">
        <v>1692</v>
      </c>
      <c r="B1753" s="1832">
        <f>'Tax Sched 23'!B12</f>
        <v>122993</v>
      </c>
      <c r="C1753" s="2" t="s">
        <v>569</v>
      </c>
      <c r="D1753" s="2" t="str">
        <f t="shared" si="26"/>
        <v>Error?</v>
      </c>
    </row>
    <row r="1754" spans="1:5" x14ac:dyDescent="0.2">
      <c r="A1754" s="5">
        <v>1693</v>
      </c>
      <c r="B1754" s="1832">
        <f>'Tax Sched 23'!B14</f>
        <v>49197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7759893</v>
      </c>
      <c r="C1759" s="2" t="s">
        <v>569</v>
      </c>
      <c r="D1759" s="2" t="str">
        <f t="shared" si="26"/>
        <v>Error?</v>
      </c>
    </row>
    <row r="1760" spans="1:5" x14ac:dyDescent="0.2">
      <c r="A1760" s="5">
        <v>1699</v>
      </c>
      <c r="B1760" s="1832">
        <f>'Tax Sched 23'!D4</f>
        <v>5165733</v>
      </c>
      <c r="C1760" s="2" t="s">
        <v>569</v>
      </c>
      <c r="D1760" s="2" t="str">
        <f t="shared" si="26"/>
        <v>Error?</v>
      </c>
    </row>
    <row r="1761" spans="1:7" x14ac:dyDescent="0.2">
      <c r="A1761" s="5">
        <v>1700</v>
      </c>
      <c r="B1761" s="1832">
        <f>'Tax Sched 23'!D5</f>
        <v>614968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295185</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122993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792737</v>
      </c>
      <c r="C1768" s="2" t="s">
        <v>569</v>
      </c>
      <c r="D1768" s="2" t="str">
        <f t="shared" si="26"/>
        <v>Error?</v>
      </c>
    </row>
    <row r="1769" spans="1:7" x14ac:dyDescent="0.2">
      <c r="A1769" s="5">
        <v>1708</v>
      </c>
      <c r="B1769" s="1832">
        <f>'Tax Sched 23'!D12</f>
        <v>122993</v>
      </c>
      <c r="C1769" s="2" t="s">
        <v>569</v>
      </c>
      <c r="D1769" s="2" t="str">
        <f t="shared" si="26"/>
        <v>Error?</v>
      </c>
    </row>
    <row r="1770" spans="1:7" x14ac:dyDescent="0.2">
      <c r="A1770" s="5">
        <v>1709</v>
      </c>
      <c r="B1770" s="1832">
        <f>'Tax Sched 23'!D14</f>
        <v>49197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7759893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5362323.5820000004</v>
      </c>
      <c r="C1792" s="2" t="s">
        <v>569</v>
      </c>
      <c r="D1792" s="2" t="str">
        <f t="shared" si="27"/>
        <v>Error?</v>
      </c>
    </row>
    <row r="1793" spans="1:4" x14ac:dyDescent="0.2">
      <c r="A1793" s="5">
        <v>1732</v>
      </c>
      <c r="B1793" s="1832">
        <f>'Tax Sched 23'!F5</f>
        <v>638371.85499999998</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306418.49039999995</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127674.371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810017.27937240002</v>
      </c>
      <c r="C1800" s="2" t="s">
        <v>569</v>
      </c>
      <c r="D1800" s="2" t="str">
        <f t="shared" si="27"/>
        <v>Error?</v>
      </c>
    </row>
    <row r="1801" spans="1:4" x14ac:dyDescent="0.2">
      <c r="A1801" s="5">
        <v>1740</v>
      </c>
      <c r="B1801" s="1832">
        <f>'Tax Sched 23'!F12</f>
        <v>127674.371</v>
      </c>
      <c r="C1801" s="2" t="s">
        <v>569</v>
      </c>
      <c r="D1801" s="2" t="str">
        <f t="shared" si="27"/>
        <v>Error?</v>
      </c>
    </row>
    <row r="1802" spans="1:4" x14ac:dyDescent="0.2">
      <c r="A1802" s="5">
        <v>1741</v>
      </c>
      <c r="B1802" s="1832">
        <f>'Tax Sched 23'!F14</f>
        <v>51069.748400000004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8027372.8673798004</v>
      </c>
      <c r="C1807" s="2" t="s">
        <v>569</v>
      </c>
      <c r="D1807" s="2" t="str">
        <f t="shared" si="27"/>
        <v>Error?</v>
      </c>
    </row>
    <row r="1808" spans="1:4" x14ac:dyDescent="0.2">
      <c r="A1808" s="5">
        <v>1747</v>
      </c>
      <c r="B1808" s="1832">
        <f>'Tax Sched 23'!E4</f>
        <v>5362323.5820000004</v>
      </c>
      <c r="D1808" s="2" t="str">
        <f t="shared" si="27"/>
        <v>Error?</v>
      </c>
    </row>
    <row r="1809" spans="1:4" x14ac:dyDescent="0.2">
      <c r="A1809" s="5">
        <v>1748</v>
      </c>
      <c r="B1809" s="1832">
        <f>'Tax Sched 23'!E5</f>
        <v>638371.85499999998</v>
      </c>
      <c r="D1809" s="2" t="str">
        <f t="shared" si="27"/>
        <v>Error?</v>
      </c>
    </row>
    <row r="1810" spans="1:4" x14ac:dyDescent="0.2">
      <c r="A1810" s="5">
        <v>1749</v>
      </c>
      <c r="B1810" s="1832">
        <f>'Tax Sched 23'!E6</f>
        <v>0</v>
      </c>
      <c r="D1810" s="2" t="str">
        <f t="shared" si="27"/>
        <v>Error?</v>
      </c>
    </row>
    <row r="1811" spans="1:4" x14ac:dyDescent="0.2">
      <c r="A1811" s="5">
        <v>1750</v>
      </c>
      <c r="B1811" s="1832">
        <f>'Tax Sched 23'!E7</f>
        <v>306418.49039999995</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127674.371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810017.27937240002</v>
      </c>
      <c r="D1816" s="2" t="str">
        <f t="shared" si="27"/>
        <v>Error?</v>
      </c>
    </row>
    <row r="1817" spans="1:4" x14ac:dyDescent="0.2">
      <c r="A1817" s="5">
        <v>1756</v>
      </c>
      <c r="B1817" s="1832">
        <f>'Tax Sched 23'!E12</f>
        <v>127674.371</v>
      </c>
      <c r="D1817" s="2" t="str">
        <f t="shared" si="27"/>
        <v>Error?</v>
      </c>
    </row>
    <row r="1818" spans="1:4" x14ac:dyDescent="0.2">
      <c r="A1818" s="5">
        <v>1757</v>
      </c>
      <c r="B1818" s="1832">
        <f>'Tax Sched 23'!E14</f>
        <v>51069.748400000004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8027372.8673798004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49197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49197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49197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144067</v>
      </c>
      <c r="D2008" s="2" t="str">
        <f t="shared" si="30"/>
        <v>Error?</v>
      </c>
    </row>
    <row r="2009" spans="1:4" x14ac:dyDescent="0.2">
      <c r="A2009" s="5">
        <v>1948</v>
      </c>
      <c r="B2009" s="1832">
        <f>'Cap Outlay Deprec 26'!C8</f>
        <v>8893634</v>
      </c>
      <c r="D2009" s="2" t="str">
        <f t="shared" si="30"/>
        <v>Error?</v>
      </c>
    </row>
    <row r="2010" spans="1:4" x14ac:dyDescent="0.2">
      <c r="A2010" s="5">
        <v>1949</v>
      </c>
      <c r="B2010" s="1832">
        <f>'Cap Outlay Deprec 26'!C10</f>
        <v>174406</v>
      </c>
      <c r="D2010" s="2" t="str">
        <f t="shared" si="30"/>
        <v>Error?</v>
      </c>
    </row>
    <row r="2011" spans="1:4" x14ac:dyDescent="0.2">
      <c r="A2011" s="5">
        <v>1950</v>
      </c>
      <c r="B2011" s="1832">
        <f>'Cap Outlay Deprec 26'!C12</f>
        <v>2370516</v>
      </c>
      <c r="D2011" s="2" t="str">
        <f t="shared" si="30"/>
        <v>Error?</v>
      </c>
    </row>
    <row r="2012" spans="1:4" x14ac:dyDescent="0.2">
      <c r="A2012" s="5">
        <v>1951</v>
      </c>
      <c r="B2012" s="1832">
        <f>'Cap Outlay Deprec 26'!C13</f>
        <v>3224989</v>
      </c>
      <c r="D2012" s="2" t="str">
        <f t="shared" si="30"/>
        <v>Error?</v>
      </c>
    </row>
    <row r="2013" spans="1:4" x14ac:dyDescent="0.2">
      <c r="A2013" s="5">
        <v>1952</v>
      </c>
      <c r="B2013" s="1832">
        <f>'Cap Outlay Deprec 26'!C16</f>
        <v>14967631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173556</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290757</v>
      </c>
      <c r="D2018" s="2" t="str">
        <f t="shared" si="30"/>
        <v>Error?</v>
      </c>
    </row>
    <row r="2019" spans="1:4" x14ac:dyDescent="0.2">
      <c r="A2019" s="5">
        <v>1958</v>
      </c>
      <c r="B2019" s="1832">
        <f>'Cap Outlay Deprec 26'!D16</f>
        <v>464313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144067</v>
      </c>
      <c r="C2026" s="2" t="s">
        <v>569</v>
      </c>
      <c r="D2026" s="2" t="str">
        <f t="shared" si="30"/>
        <v>Error?</v>
      </c>
    </row>
    <row r="2027" spans="1:4" x14ac:dyDescent="0.2">
      <c r="A2027" s="5">
        <v>1966</v>
      </c>
      <c r="B2027" s="1832">
        <f>'Cap Outlay Deprec 26'!F8</f>
        <v>9067190</v>
      </c>
      <c r="C2027" s="2" t="s">
        <v>569</v>
      </c>
      <c r="D2027" s="2" t="str">
        <f t="shared" si="30"/>
        <v>Error?</v>
      </c>
    </row>
    <row r="2028" spans="1:4" x14ac:dyDescent="0.2">
      <c r="A2028" s="5">
        <v>1967</v>
      </c>
      <c r="B2028" s="1832">
        <f>'Cap Outlay Deprec 26'!F10</f>
        <v>174406</v>
      </c>
      <c r="C2028" s="2" t="s">
        <v>569</v>
      </c>
      <c r="D2028" s="2" t="str">
        <f t="shared" si="30"/>
        <v>Error?</v>
      </c>
    </row>
    <row r="2029" spans="1:4" x14ac:dyDescent="0.2">
      <c r="A2029" s="5">
        <v>1968</v>
      </c>
      <c r="B2029" s="1832">
        <f>'Cap Outlay Deprec 26'!F12</f>
        <v>2370516</v>
      </c>
      <c r="C2029" s="2" t="s">
        <v>569</v>
      </c>
      <c r="D2029" s="2" t="str">
        <f t="shared" si="30"/>
        <v>Error?</v>
      </c>
    </row>
    <row r="2030" spans="1:4" x14ac:dyDescent="0.2">
      <c r="A2030" s="5">
        <v>1969</v>
      </c>
      <c r="B2030" s="1832">
        <f>'Cap Outlay Deprec 26'!F13</f>
        <v>3515746</v>
      </c>
      <c r="C2030" s="2" t="s">
        <v>569</v>
      </c>
      <c r="D2030" s="2" t="str">
        <f t="shared" si="30"/>
        <v>Error?</v>
      </c>
    </row>
    <row r="2031" spans="1:4" x14ac:dyDescent="0.2">
      <c r="A2031" s="5">
        <v>1970</v>
      </c>
      <c r="B2031" s="1832">
        <f>'Cap Outlay Deprec 26'!F16</f>
        <v>15431944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4721861</v>
      </c>
      <c r="D2033" s="2" t="str">
        <f t="shared" si="30"/>
        <v>Error?</v>
      </c>
    </row>
    <row r="2034" spans="1:4" x14ac:dyDescent="0.2">
      <c r="A2034" s="5">
        <v>1973</v>
      </c>
      <c r="B2034" s="1832">
        <f>'Cap Outlay Deprec 26'!H10</f>
        <v>166000</v>
      </c>
      <c r="D2034" s="2" t="str">
        <f t="shared" si="30"/>
        <v>Error?</v>
      </c>
    </row>
    <row r="2035" spans="1:4" x14ac:dyDescent="0.2">
      <c r="A2035" s="5">
        <v>1974</v>
      </c>
      <c r="B2035" s="1832">
        <f>'Cap Outlay Deprec 26'!H12</f>
        <v>2212562</v>
      </c>
      <c r="D2035" s="2" t="str">
        <f t="shared" si="30"/>
        <v>Error?</v>
      </c>
    </row>
    <row r="2036" spans="1:4" x14ac:dyDescent="0.2">
      <c r="A2036" s="5">
        <v>1975</v>
      </c>
      <c r="B2036" s="1832">
        <f>'Cap Outlay Deprec 26'!H13</f>
        <v>2868845</v>
      </c>
      <c r="D2036" s="2" t="str">
        <f t="shared" si="30"/>
        <v>Error?</v>
      </c>
    </row>
    <row r="2037" spans="1:4" x14ac:dyDescent="0.2">
      <c r="A2037" s="5">
        <v>1976</v>
      </c>
      <c r="B2037" s="1832">
        <f>'Cap Outlay Deprec 26'!H16</f>
        <v>10129287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179608</v>
      </c>
      <c r="D2039" s="2" t="str">
        <f t="shared" si="30"/>
        <v>Error?</v>
      </c>
    </row>
    <row r="2040" spans="1:4" x14ac:dyDescent="0.2">
      <c r="A2040" s="5">
        <v>1979</v>
      </c>
      <c r="B2040" s="1832">
        <f>'Cap Outlay Deprec 26'!I10</f>
        <v>3187</v>
      </c>
      <c r="D2040" s="2" t="str">
        <f t="shared" si="30"/>
        <v>Error?</v>
      </c>
    </row>
    <row r="2041" spans="1:4" x14ac:dyDescent="0.2">
      <c r="A2041" s="5">
        <v>1980</v>
      </c>
      <c r="B2041" s="1832">
        <f>'Cap Outlay Deprec 26'!I12</f>
        <v>13430</v>
      </c>
      <c r="D2041" s="2" t="str">
        <f t="shared" si="30"/>
        <v>Error?</v>
      </c>
    </row>
    <row r="2042" spans="1:4" x14ac:dyDescent="0.2">
      <c r="A2042" s="5">
        <v>1981</v>
      </c>
      <c r="B2042" s="1832">
        <f>'Cap Outlay Deprec 26'!I13</f>
        <v>264522</v>
      </c>
      <c r="D2042" s="2" t="str">
        <f t="shared" si="30"/>
        <v>Error?</v>
      </c>
    </row>
    <row r="2043" spans="1:4" x14ac:dyDescent="0.2">
      <c r="A2043" s="5">
        <v>1982</v>
      </c>
      <c r="B2043" s="1832">
        <f>'Cap Outlay Deprec 26'!I16</f>
        <v>460747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4901469</v>
      </c>
      <c r="C2051" s="2" t="s">
        <v>569</v>
      </c>
      <c r="D2051" s="2" t="str">
        <f t="shared" si="31"/>
        <v>Error?</v>
      </c>
    </row>
    <row r="2052" spans="1:4" x14ac:dyDescent="0.2">
      <c r="A2052" s="5">
        <v>1991</v>
      </c>
      <c r="B2052" s="1832">
        <f>'Cap Outlay Deprec 26'!K10</f>
        <v>169187</v>
      </c>
      <c r="C2052" s="2" t="s">
        <v>569</v>
      </c>
      <c r="D2052" s="2" t="str">
        <f t="shared" si="31"/>
        <v>Error?</v>
      </c>
    </row>
    <row r="2053" spans="1:4" x14ac:dyDescent="0.2">
      <c r="A2053" s="5">
        <v>1992</v>
      </c>
      <c r="B2053" s="1832">
        <f>'Cap Outlay Deprec 26'!K12</f>
        <v>2225992</v>
      </c>
      <c r="C2053" s="2" t="s">
        <v>569</v>
      </c>
      <c r="D2053" s="2" t="str">
        <f t="shared" si="31"/>
        <v>Error?</v>
      </c>
    </row>
    <row r="2054" spans="1:4" x14ac:dyDescent="0.2">
      <c r="A2054" s="5">
        <v>1993</v>
      </c>
      <c r="B2054" s="1832">
        <f>'Cap Outlay Deprec 26'!K13</f>
        <v>3133367</v>
      </c>
      <c r="C2054" s="2" t="s">
        <v>569</v>
      </c>
      <c r="D2054" s="2" t="str">
        <f t="shared" si="31"/>
        <v>Error?</v>
      </c>
    </row>
    <row r="2055" spans="1:4" x14ac:dyDescent="0.2">
      <c r="A2055" s="5">
        <v>1994</v>
      </c>
      <c r="B2055" s="1832">
        <f>'Cap Outlay Deprec 26'!K16</f>
        <v>10590034</v>
      </c>
      <c r="C2055" s="2" t="s">
        <v>569</v>
      </c>
      <c r="D2055" s="2" t="str">
        <f t="shared" si="31"/>
        <v>Error?</v>
      </c>
    </row>
    <row r="2056" spans="1:4" x14ac:dyDescent="0.2">
      <c r="A2056" s="5">
        <v>1995</v>
      </c>
      <c r="B2056" s="1832">
        <f>'Cap Outlay Deprec 26'!L5</f>
        <v>144067</v>
      </c>
      <c r="C2056" s="2" t="s">
        <v>569</v>
      </c>
      <c r="D2056" s="2" t="str">
        <f t="shared" si="31"/>
        <v>Error?</v>
      </c>
    </row>
    <row r="2057" spans="1:4" x14ac:dyDescent="0.2">
      <c r="A2057" s="5">
        <v>1996</v>
      </c>
      <c r="B2057" s="1832">
        <f>'Cap Outlay Deprec 26'!L8</f>
        <v>4165721</v>
      </c>
      <c r="C2057" s="2" t="s">
        <v>569</v>
      </c>
      <c r="D2057" s="2" t="str">
        <f t="shared" si="31"/>
        <v>Error?</v>
      </c>
    </row>
    <row r="2058" spans="1:4" x14ac:dyDescent="0.2">
      <c r="A2058" s="5">
        <v>1997</v>
      </c>
      <c r="B2058" s="1832">
        <f>'Cap Outlay Deprec 26'!L10</f>
        <v>5219</v>
      </c>
      <c r="C2058" s="2" t="s">
        <v>569</v>
      </c>
      <c r="D2058" s="2" t="str">
        <f t="shared" si="31"/>
        <v>Error?</v>
      </c>
    </row>
    <row r="2059" spans="1:4" x14ac:dyDescent="0.2">
      <c r="A2059" s="5">
        <v>1998</v>
      </c>
      <c r="B2059" s="1832">
        <f>'Cap Outlay Deprec 26'!L12</f>
        <v>144524</v>
      </c>
      <c r="C2059" s="2" t="s">
        <v>569</v>
      </c>
      <c r="D2059" s="2" t="str">
        <f t="shared" si="31"/>
        <v>Error?</v>
      </c>
    </row>
    <row r="2060" spans="1:4" x14ac:dyDescent="0.2">
      <c r="A2060" s="5">
        <v>1999</v>
      </c>
      <c r="B2060" s="1832">
        <f>'Cap Outlay Deprec 26'!L13</f>
        <v>382379</v>
      </c>
      <c r="C2060" s="2" t="s">
        <v>569</v>
      </c>
      <c r="D2060" s="2" t="str">
        <f t="shared" si="31"/>
        <v>Error?</v>
      </c>
    </row>
    <row r="2061" spans="1:4" x14ac:dyDescent="0.2">
      <c r="A2061" s="5">
        <v>2000</v>
      </c>
      <c r="B2061" s="1832">
        <f>'Cap Outlay Deprec 26'!L16</f>
        <v>4841910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113801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133920</v>
      </c>
      <c r="C2088" s="2" t="s">
        <v>569</v>
      </c>
      <c r="D2088" s="2" t="str">
        <f t="shared" si="31"/>
        <v>Error?</v>
      </c>
    </row>
    <row r="2089" spans="1:4" x14ac:dyDescent="0.2">
      <c r="A2089" s="5">
        <v>2028</v>
      </c>
      <c r="B2089" s="1832">
        <f>'Expenditures 15-22'!K92</f>
        <v>131372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6052488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2722387</v>
      </c>
      <c r="C2553" s="2" t="s">
        <v>569</v>
      </c>
      <c r="D2553" s="2" t="str">
        <f t="shared" si="38"/>
        <v>Error?</v>
      </c>
    </row>
    <row r="2554" spans="1:4" x14ac:dyDescent="0.2">
      <c r="A2554" s="5">
        <v>2493</v>
      </c>
      <c r="B2554" s="1832">
        <f>'Acct Summary 7-8'!C7</f>
        <v>727231</v>
      </c>
      <c r="C2554" s="2" t="s">
        <v>569</v>
      </c>
      <c r="D2554" s="2" t="str">
        <f t="shared" si="38"/>
        <v>Error?</v>
      </c>
    </row>
    <row r="2555" spans="1:4" x14ac:dyDescent="0.2">
      <c r="A2555" s="5">
        <v>2494</v>
      </c>
      <c r="B2555" s="1832">
        <f>'Acct Summary 7-8'!C8</f>
        <v>9531183</v>
      </c>
      <c r="C2555" s="2" t="s">
        <v>569</v>
      </c>
      <c r="D2555" s="2" t="str">
        <f t="shared" si="38"/>
        <v>Error?</v>
      </c>
    </row>
    <row r="2556" spans="1:4" x14ac:dyDescent="0.2">
      <c r="A2556" s="5">
        <v>2495</v>
      </c>
      <c r="B2556" s="1832">
        <f>'Acct Summary 7-8'!C12</f>
        <v>6289301</v>
      </c>
      <c r="C2556" s="2" t="s">
        <v>569</v>
      </c>
      <c r="D2556" s="2" t="str">
        <f t="shared" si="38"/>
        <v>Error?</v>
      </c>
    </row>
    <row r="2557" spans="1:4" x14ac:dyDescent="0.2">
      <c r="A2557" s="5">
        <v>2496</v>
      </c>
      <c r="B2557" s="1832">
        <f>'Acct Summary 7-8'!C13</f>
        <v>2192725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352504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8834530</v>
      </c>
      <c r="C2561" s="2" t="s">
        <v>569</v>
      </c>
      <c r="D2561" s="2" t="str">
        <f t="shared" si="39"/>
        <v>Error?</v>
      </c>
    </row>
    <row r="2562" spans="1:4" x14ac:dyDescent="0.2">
      <c r="A2562" s="5">
        <v>2501</v>
      </c>
      <c r="B2562" s="1832">
        <f>'Acct Summary 7-8'!C20</f>
        <v>696653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705782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755782</v>
      </c>
      <c r="C2568" s="2" t="s">
        <v>569</v>
      </c>
      <c r="D2568" s="2" t="str">
        <f t="shared" si="39"/>
        <v>Error?</v>
      </c>
    </row>
    <row r="2569" spans="1:4" x14ac:dyDescent="0.2">
      <c r="A2569" s="5">
        <v>2508</v>
      </c>
      <c r="B2569" s="1832">
        <f>'Acct Summary 7-8'!D13</f>
        <v>741346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741346</v>
      </c>
      <c r="C2573" s="2" t="s">
        <v>569</v>
      </c>
      <c r="D2573" s="2" t="str">
        <f t="shared" si="39"/>
        <v>Error?</v>
      </c>
    </row>
    <row r="2574" spans="1:4" x14ac:dyDescent="0.2">
      <c r="A2574" s="5">
        <v>2513</v>
      </c>
      <c r="B2574" s="1832">
        <f>'Acct Summary 7-8'!D20</f>
        <v>14436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394849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210661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605510</v>
      </c>
      <c r="C2595" s="2" t="s">
        <v>569</v>
      </c>
      <c r="D2595" s="2" t="str">
        <f t="shared" si="39"/>
        <v>Error?</v>
      </c>
    </row>
    <row r="2596" spans="1:4" x14ac:dyDescent="0.2">
      <c r="A2596" s="5">
        <v>2535</v>
      </c>
      <c r="B2596" s="1832">
        <f>'Acct Summary 7-8'!F13</f>
        <v>746004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746004</v>
      </c>
      <c r="C2600" s="2" t="s">
        <v>569</v>
      </c>
      <c r="D2600" s="2" t="str">
        <f t="shared" si="39"/>
        <v>Error?</v>
      </c>
    </row>
    <row r="2601" spans="1:4" x14ac:dyDescent="0.2">
      <c r="A2601" s="5">
        <v>2540</v>
      </c>
      <c r="B2601" s="1832">
        <f>'Acct Summary 7-8'!F20</f>
        <v>-140494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488838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488838</v>
      </c>
      <c r="C2606" s="2" t="s">
        <v>569</v>
      </c>
      <c r="D2606" s="2" t="str">
        <f t="shared" si="39"/>
        <v>Error?</v>
      </c>
    </row>
    <row r="2607" spans="1:4" x14ac:dyDescent="0.2">
      <c r="A2607" s="5">
        <v>2546</v>
      </c>
      <c r="B2607" s="1832">
        <f>'Acct Summary 7-8'!G12</f>
        <v>194421</v>
      </c>
      <c r="C2607" s="2" t="s">
        <v>569</v>
      </c>
      <c r="D2607" s="2" t="str">
        <f t="shared" si="39"/>
        <v>Error?</v>
      </c>
    </row>
    <row r="2608" spans="1:4" x14ac:dyDescent="0.2">
      <c r="A2608" s="5">
        <v>2547</v>
      </c>
      <c r="B2608" s="1832">
        <f>'Acct Summary 7-8'!G13</f>
        <v>245213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439634</v>
      </c>
      <c r="C2612" s="2" t="s">
        <v>569</v>
      </c>
      <c r="D2612" s="2" t="str">
        <f t="shared" si="39"/>
        <v>Error?</v>
      </c>
    </row>
    <row r="2613" spans="1:4" x14ac:dyDescent="0.2">
      <c r="A2613" s="5">
        <v>2552</v>
      </c>
      <c r="B2613" s="1832">
        <f>'Acct Summary 7-8'!G20</f>
        <v>49204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621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621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621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20119</v>
      </c>
      <c r="C2789" s="2" t="s">
        <v>569</v>
      </c>
      <c r="D2789" s="2" t="str">
        <f t="shared" si="42"/>
        <v>Error?</v>
      </c>
    </row>
    <row r="2790" spans="1:4" x14ac:dyDescent="0.2">
      <c r="A2790" s="5">
        <v>2729</v>
      </c>
      <c r="B2790" s="1832">
        <f>'Expenditures 15-22'!E102</f>
        <v>20119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407592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192688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407592</v>
      </c>
      <c r="D2912" s="2" t="str">
        <f t="shared" si="44"/>
        <v>Error?</v>
      </c>
    </row>
    <row r="2913" spans="1:4" x14ac:dyDescent="0.2">
      <c r="A2913" s="5">
        <v>2852</v>
      </c>
      <c r="B2913" s="1832">
        <f>'Assets-Liab 5-6'!I41</f>
        <v>407592</v>
      </c>
      <c r="C2913" s="2" t="s">
        <v>569</v>
      </c>
      <c r="D2913" s="2" t="str">
        <f t="shared" si="44"/>
        <v>Error?</v>
      </c>
    </row>
    <row r="2914" spans="1:4" x14ac:dyDescent="0.2">
      <c r="A2914" s="5">
        <v>2853</v>
      </c>
      <c r="B2914" s="1832">
        <f>'Assets-Liab 5-6'!L33</f>
        <v>111869</v>
      </c>
      <c r="D2914" s="2" t="str">
        <f t="shared" si="44"/>
        <v>Error?</v>
      </c>
    </row>
    <row r="2915" spans="1:4" x14ac:dyDescent="0.2">
      <c r="A2915" s="10">
        <v>2854</v>
      </c>
      <c r="B2915" s="1832"/>
      <c r="D2915" s="2" t="str">
        <f t="shared" si="44"/>
        <v>OK</v>
      </c>
    </row>
    <row r="2916" spans="1:4" x14ac:dyDescent="0.2">
      <c r="A2916" s="5">
        <v>2855</v>
      </c>
      <c r="B2916" s="1832">
        <f>'Assets-Liab 5-6'!L34</f>
        <v>111869</v>
      </c>
      <c r="C2916" s="2" t="s">
        <v>569</v>
      </c>
      <c r="D2916" s="2" t="str">
        <f t="shared" si="44"/>
        <v>Error?</v>
      </c>
    </row>
    <row r="2917" spans="1:4" x14ac:dyDescent="0.2">
      <c r="A2917" s="5">
        <v>2856</v>
      </c>
      <c r="B2917" s="1832">
        <f>'Assets-Liab 5-6'!L41</f>
        <v>192688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20119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113801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133920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232547</v>
      </c>
      <c r="D3055" s="2" t="str">
        <f t="shared" si="46"/>
        <v>Error?</v>
      </c>
    </row>
    <row r="3056" spans="1:4" x14ac:dyDescent="0.2">
      <c r="A3056" s="5">
        <v>2995</v>
      </c>
      <c r="B3056" s="1832">
        <f>'Expenditures 15-22'!D10</f>
        <v>77257</v>
      </c>
      <c r="D3056" s="2" t="str">
        <f t="shared" si="46"/>
        <v>Error?</v>
      </c>
    </row>
    <row r="3057" spans="1:4" x14ac:dyDescent="0.2">
      <c r="A3057" s="5">
        <v>2996</v>
      </c>
      <c r="B3057" s="1832">
        <f>'Expenditures 15-22'!E10</f>
        <v>17918</v>
      </c>
      <c r="D3057" s="2" t="str">
        <f t="shared" si="46"/>
        <v>Error?</v>
      </c>
    </row>
    <row r="3058" spans="1:4" x14ac:dyDescent="0.2">
      <c r="A3058" s="5">
        <v>2997</v>
      </c>
      <c r="B3058" s="1832">
        <f>'Expenditures 15-22'!F10</f>
        <v>39380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367102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3245</v>
      </c>
      <c r="D3064" s="2" t="str">
        <f t="shared" si="46"/>
        <v>Error?</v>
      </c>
    </row>
    <row r="3065" spans="1:4" x14ac:dyDescent="0.2">
      <c r="A3065" s="5">
        <v>3004</v>
      </c>
      <c r="B3065" s="1832">
        <f>'Expenditures 15-22'!K219</f>
        <v>3245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80819</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126065</v>
      </c>
      <c r="C3225" s="2" t="s">
        <v>569</v>
      </c>
      <c r="D3225" s="2" t="str">
        <f t="shared" si="49"/>
        <v>Error?</v>
      </c>
    </row>
    <row r="3226" spans="1:4" x14ac:dyDescent="0.2">
      <c r="A3226" s="5">
        <v>3165</v>
      </c>
      <c r="B3226" s="1832">
        <f>'Acct Summary 7-8'!I8</f>
        <v>126065</v>
      </c>
      <c r="C3226" s="2" t="s">
        <v>569</v>
      </c>
      <c r="D3226" s="2" t="str">
        <f t="shared" si="49"/>
        <v>Error?</v>
      </c>
    </row>
    <row r="3227" spans="1:4" x14ac:dyDescent="0.2">
      <c r="A3227" s="5">
        <v>3166</v>
      </c>
      <c r="B3227" s="1832">
        <f>'Acct Summary 7-8'!I20</f>
        <v>126065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696653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14436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-140494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49204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621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126065</v>
      </c>
      <c r="C3320" s="2" t="s">
        <v>569</v>
      </c>
      <c r="D3320" s="2" t="str">
        <f t="shared" si="50"/>
        <v>Error?</v>
      </c>
    </row>
    <row r="3321" spans="1:4" x14ac:dyDescent="0.2">
      <c r="A3321" s="5">
        <v>3260</v>
      </c>
      <c r="B3321" s="1832">
        <f>'Acct Summary 7-8'!I79</f>
        <v>281527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407592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1003647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195228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6647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1205522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36913</v>
      </c>
      <c r="D3387" s="2" t="str">
        <f t="shared" si="51"/>
        <v>Error?</v>
      </c>
    </row>
    <row r="3388" spans="1:4" x14ac:dyDescent="0.2">
      <c r="A3388" s="5">
        <v>3327</v>
      </c>
      <c r="B3388" s="1832">
        <f>'Expenditures 15-22'!D217</f>
        <v>83776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36913</v>
      </c>
      <c r="C3390" s="2" t="s">
        <v>569</v>
      </c>
      <c r="D3390" s="2" t="str">
        <f t="shared" si="51"/>
        <v>Error?</v>
      </c>
    </row>
    <row r="3391" spans="1:4" x14ac:dyDescent="0.2">
      <c r="A3391" s="5">
        <v>3330</v>
      </c>
      <c r="B3391" s="1832">
        <f>'Expenditures 15-22'!K217</f>
        <v>83776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29077</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2369194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113220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66400</v>
      </c>
      <c r="D3417" s="2" t="str">
        <f t="shared" si="52"/>
        <v>Error?</v>
      </c>
    </row>
    <row r="3418" spans="1:4" x14ac:dyDescent="0.2">
      <c r="A3418" s="10">
        <v>3357</v>
      </c>
      <c r="B3418" s="1832"/>
      <c r="D3418" s="2" t="str">
        <f t="shared" si="52"/>
        <v>OK</v>
      </c>
    </row>
    <row r="3419" spans="1:4" x14ac:dyDescent="0.2">
      <c r="A3419" s="5">
        <v>3358</v>
      </c>
      <c r="B3419" s="1832">
        <f>'Assets-Liab 5-6'!F4</f>
        <v>305612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301200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407592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192688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473094</v>
      </c>
      <c r="C3446" s="2" t="s">
        <v>569</v>
      </c>
      <c r="D3446" s="2" t="str">
        <f t="shared" si="52"/>
        <v>Error?</v>
      </c>
    </row>
    <row r="3447" spans="1:4" x14ac:dyDescent="0.2">
      <c r="A3447" s="5">
        <v>3386</v>
      </c>
      <c r="B3447" s="1832">
        <f>'Tax Sched 23'!D16</f>
        <v>473094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476148.79920740001</v>
      </c>
      <c r="C3449" s="2" t="s">
        <v>569</v>
      </c>
      <c r="D3449" s="2" t="str">
        <f t="shared" si="52"/>
        <v>Error?</v>
      </c>
    </row>
    <row r="3450" spans="1:4" x14ac:dyDescent="0.2">
      <c r="A3450" s="5">
        <v>3389</v>
      </c>
      <c r="B3450" s="1832">
        <f>'Tax Sched 23'!E16</f>
        <v>476148.79920740001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551942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551942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551942</v>
      </c>
      <c r="D3567" s="2" t="str">
        <f t="shared" si="54"/>
        <v>Error?</v>
      </c>
    </row>
    <row r="3568" spans="1:4" x14ac:dyDescent="0.2">
      <c r="A3568" s="5">
        <v>3507</v>
      </c>
      <c r="B3568" s="1832">
        <f>'Assets-Liab 5-6'!K41</f>
        <v>551942</v>
      </c>
      <c r="C3568" s="2" t="s">
        <v>569</v>
      </c>
      <c r="D3568" s="2" t="str">
        <f t="shared" si="54"/>
        <v>Error?</v>
      </c>
    </row>
    <row r="3569" spans="1:4" x14ac:dyDescent="0.2">
      <c r="A3569" s="5">
        <v>3508</v>
      </c>
      <c r="B3569" s="1832">
        <f>'Acct Summary 7-8'!K4</f>
        <v>128254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128254</v>
      </c>
      <c r="C3571" s="2" t="s">
        <v>569</v>
      </c>
      <c r="D3571" s="2" t="str">
        <f t="shared" si="54"/>
        <v>Error?</v>
      </c>
    </row>
    <row r="3572" spans="1:4" x14ac:dyDescent="0.2">
      <c r="A3572" s="5">
        <v>3511</v>
      </c>
      <c r="B3572" s="1832">
        <f>'Acct Summary 7-8'!K13</f>
        <v>173556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173556</v>
      </c>
      <c r="C3575" s="2" t="s">
        <v>569</v>
      </c>
      <c r="D3575" s="2" t="str">
        <f t="shared" si="54"/>
        <v>Error?</v>
      </c>
    </row>
    <row r="3576" spans="1:4" x14ac:dyDescent="0.2">
      <c r="A3576" s="5">
        <v>3515</v>
      </c>
      <c r="B3576" s="1832">
        <f>'Acct Summary 7-8'!K20</f>
        <v>-45302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-45302</v>
      </c>
      <c r="C3588" s="2" t="s">
        <v>569</v>
      </c>
      <c r="D3588" s="2" t="str">
        <f t="shared" si="55"/>
        <v>Error?</v>
      </c>
    </row>
    <row r="3589" spans="1:4" x14ac:dyDescent="0.2">
      <c r="A3589" s="5">
        <v>3528</v>
      </c>
      <c r="B3589" s="1832">
        <f>'Acct Summary 7-8'!K79</f>
        <v>597244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551942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173556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173556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173556</v>
      </c>
      <c r="C3649" s="2" t="s">
        <v>569</v>
      </c>
      <c r="D3649" s="2" t="str">
        <f t="shared" si="56"/>
        <v>Error?</v>
      </c>
    </row>
    <row r="3650" spans="1:4" x14ac:dyDescent="0.2">
      <c r="A3650" s="5">
        <v>3589</v>
      </c>
      <c r="B3650" s="1832">
        <f>'Expenditures 15-22'!G367</f>
        <v>173556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173556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173556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173556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173556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-45302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122993</v>
      </c>
      <c r="C3725" s="2" t="s">
        <v>569</v>
      </c>
      <c r="D3725" s="2" t="str">
        <f t="shared" si="57"/>
        <v>Error?</v>
      </c>
    </row>
    <row r="3726" spans="1:4" x14ac:dyDescent="0.2">
      <c r="A3726" s="5">
        <v>3665</v>
      </c>
      <c r="B3726" s="1832">
        <f>'Tax Sched 23'!D13</f>
        <v>122993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127674.371</v>
      </c>
      <c r="C3728" s="2" t="s">
        <v>569</v>
      </c>
      <c r="D3728" s="2" t="str">
        <f t="shared" si="57"/>
        <v>Error?</v>
      </c>
    </row>
    <row r="3729" spans="1:4" x14ac:dyDescent="0.2">
      <c r="A3729" s="5">
        <v>3668</v>
      </c>
      <c r="B3729" s="1832">
        <f>'Tax Sched 23'!E13</f>
        <v>127674.371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4344980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13876163</v>
      </c>
      <c r="C4122" s="2" t="s">
        <v>569</v>
      </c>
      <c r="D4122" s="2" t="str">
        <f t="shared" si="63"/>
        <v>Error?</v>
      </c>
    </row>
    <row r="4123" spans="1:4" x14ac:dyDescent="0.2">
      <c r="A4123" s="5">
        <v>4062</v>
      </c>
      <c r="B4123" s="1832">
        <f>'Acct Summary 7-8'!D10</f>
        <v>755782</v>
      </c>
      <c r="C4123" s="2" t="s">
        <v>569</v>
      </c>
      <c r="D4123" s="2" t="str">
        <f t="shared" si="63"/>
        <v>Error?</v>
      </c>
    </row>
    <row r="4124" spans="1:4" x14ac:dyDescent="0.2">
      <c r="A4124" s="5">
        <v>4063</v>
      </c>
      <c r="B4124" s="1832">
        <f>'Acct Summary 7-8'!E10</f>
        <v>621</v>
      </c>
      <c r="C4124" s="2" t="s">
        <v>569</v>
      </c>
      <c r="D4124" s="2" t="str">
        <f t="shared" si="63"/>
        <v>Error?</v>
      </c>
    </row>
    <row r="4125" spans="1:4" x14ac:dyDescent="0.2">
      <c r="A4125" s="5">
        <v>4064</v>
      </c>
      <c r="B4125" s="1832">
        <f>'Acct Summary 7-8'!F10</f>
        <v>605510</v>
      </c>
      <c r="C4125" s="2" t="s">
        <v>569</v>
      </c>
      <c r="D4125" s="2" t="str">
        <f t="shared" si="63"/>
        <v>Error?</v>
      </c>
    </row>
    <row r="4126" spans="1:4" x14ac:dyDescent="0.2">
      <c r="A4126" s="5">
        <v>4065</v>
      </c>
      <c r="B4126" s="1832">
        <f>'Acct Summary 7-8'!G10</f>
        <v>488838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126065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128254</v>
      </c>
      <c r="C4130" s="2" t="s">
        <v>569</v>
      </c>
      <c r="D4130" s="2" t="str">
        <f t="shared" si="63"/>
        <v>Error?</v>
      </c>
    </row>
    <row r="4131" spans="1:4" x14ac:dyDescent="0.2">
      <c r="A4131" s="5">
        <v>4070</v>
      </c>
      <c r="B4131" s="1832">
        <f>'Acct Summary 7-8'!C18</f>
        <v>4344980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13179510</v>
      </c>
      <c r="C4136" s="2" t="s">
        <v>569</v>
      </c>
      <c r="D4136" s="2" t="str">
        <f t="shared" si="63"/>
        <v>Error?</v>
      </c>
    </row>
    <row r="4137" spans="1:4" x14ac:dyDescent="0.2">
      <c r="A4137" s="5">
        <v>4076</v>
      </c>
      <c r="B4137" s="1832">
        <f>'Acct Summary 7-8'!D19</f>
        <v>741346</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746004</v>
      </c>
      <c r="C4139" s="2" t="s">
        <v>569</v>
      </c>
      <c r="D4139" s="2" t="str">
        <f t="shared" si="63"/>
        <v>Error?</v>
      </c>
    </row>
    <row r="4140" spans="1:4" x14ac:dyDescent="0.2">
      <c r="A4140" s="5">
        <v>4079</v>
      </c>
      <c r="B4140" s="1832">
        <f>'Acct Summary 7-8'!G19</f>
        <v>439634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173556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2100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2470</v>
      </c>
      <c r="C4268" s="2" t="s">
        <v>569</v>
      </c>
      <c r="D4268" s="2" t="str">
        <f t="shared" si="65"/>
        <v>Error?</v>
      </c>
    </row>
    <row r="4269" spans="1:5" x14ac:dyDescent="0.2">
      <c r="A4269" s="12">
        <v>4208</v>
      </c>
      <c r="B4269" s="1832">
        <f>'FP Info 3'!J16</f>
        <v>3195618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17433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99925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10000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10000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32816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36653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255348742</v>
      </c>
      <c r="D4995" s="2" t="str">
        <f t="shared" si="77"/>
        <v>Error?</v>
      </c>
    </row>
    <row r="4996" spans="1:4" x14ac:dyDescent="0.2">
      <c r="A4996" s="12">
        <v>4935</v>
      </c>
      <c r="B4996" s="1832">
        <f>'FP Info 3'!H31</f>
        <v>17619063.198000003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122993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5165733</v>
      </c>
      <c r="D5061" s="2" t="str">
        <f t="shared" si="78"/>
        <v>Error?</v>
      </c>
    </row>
    <row r="5062" spans="1:4" x14ac:dyDescent="0.2">
      <c r="A5062" s="10">
        <v>5001</v>
      </c>
      <c r="B5062" s="1832"/>
      <c r="D5062" s="2" t="str">
        <f t="shared" si="78"/>
        <v>OK</v>
      </c>
    </row>
    <row r="5063" spans="1:4" x14ac:dyDescent="0.2">
      <c r="A5063" s="5">
        <v>5002</v>
      </c>
      <c r="B5063" s="1832">
        <f>'Revenues 9-14'!C7</f>
        <v>49197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5337923</v>
      </c>
      <c r="C5066" s="2" t="s">
        <v>569</v>
      </c>
      <c r="D5066" s="2" t="str">
        <f t="shared" si="78"/>
        <v>Error?</v>
      </c>
    </row>
    <row r="5067" spans="1:4" x14ac:dyDescent="0.2">
      <c r="A5067" s="5">
        <v>5006</v>
      </c>
      <c r="B5067" s="1832">
        <f>'Revenues 9-14'!C14</f>
        <v>13085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330773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343858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57708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57708</v>
      </c>
      <c r="C5087" s="2" t="s">
        <v>569</v>
      </c>
      <c r="D5087" s="2" t="str">
        <f t="shared" si="78"/>
        <v>Error?</v>
      </c>
    </row>
    <row r="5088" spans="1:4" x14ac:dyDescent="0.2">
      <c r="A5088" s="5">
        <v>5027</v>
      </c>
      <c r="B5088" s="1832">
        <f>'Revenues 9-14'!C65</f>
        <v>28067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28067</v>
      </c>
      <c r="C5090" s="2" t="s">
        <v>569</v>
      </c>
      <c r="D5090" s="2" t="str">
        <f t="shared" si="78"/>
        <v>Error?</v>
      </c>
    </row>
    <row r="5091" spans="1:4" x14ac:dyDescent="0.2">
      <c r="A5091" s="5">
        <v>5030</v>
      </c>
      <c r="B5091" s="1832">
        <f>'Revenues 9-14'!C70</f>
        <v>12723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39055</v>
      </c>
      <c r="D5095" s="2" t="str">
        <f t="shared" si="78"/>
        <v>Error?</v>
      </c>
    </row>
    <row r="5096" spans="1:4" x14ac:dyDescent="0.2">
      <c r="A5096" s="5">
        <v>5035</v>
      </c>
      <c r="B5096" s="1832">
        <f>'Revenues 9-14'!C75</f>
        <v>188027</v>
      </c>
      <c r="C5096" s="2" t="s">
        <v>569</v>
      </c>
      <c r="D5096" s="2" t="str">
        <f t="shared" si="78"/>
        <v>Error?</v>
      </c>
    </row>
    <row r="5097" spans="1:4" x14ac:dyDescent="0.2">
      <c r="A5097" s="5">
        <v>5036</v>
      </c>
      <c r="B5097" s="1832">
        <f>'Revenues 9-14'!C77</f>
        <v>11012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24634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35646</v>
      </c>
      <c r="C5102" s="2" t="s">
        <v>569</v>
      </c>
      <c r="D5102" s="2" t="str">
        <f t="shared" si="78"/>
        <v>Error?</v>
      </c>
    </row>
    <row r="5103" spans="1:4" x14ac:dyDescent="0.2">
      <c r="A5103" s="5">
        <v>5042</v>
      </c>
      <c r="B5103" s="1832">
        <f>'Revenues 9-14'!C84</f>
        <v>24635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24635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19313</v>
      </c>
      <c r="D5114" s="2" t="str">
        <f t="shared" si="78"/>
        <v>Error?</v>
      </c>
    </row>
    <row r="5115" spans="1:4" x14ac:dyDescent="0.2">
      <c r="A5115" s="5">
        <v>5054</v>
      </c>
      <c r="B5115" s="1832">
        <f>'Revenues 9-14'!C98</f>
        <v>9980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3099</v>
      </c>
      <c r="D5118" s="2" t="str">
        <f t="shared" si="78"/>
        <v>Error?</v>
      </c>
    </row>
    <row r="5119" spans="1:4" x14ac:dyDescent="0.2">
      <c r="A5119" s="5">
        <v>5058</v>
      </c>
      <c r="B5119" s="1832">
        <f>'Revenues 9-14'!C107</f>
        <v>710</v>
      </c>
      <c r="D5119" s="2" t="str">
        <f t="shared" ref="D5119:D5182" si="79">IF(ISBLANK(B5119),"OK",IF(A5119-B5119=0,"OK","Error?"))</f>
        <v>Error?</v>
      </c>
    </row>
    <row r="5120" spans="1:4" x14ac:dyDescent="0.2">
      <c r="A5120" s="5">
        <v>5059</v>
      </c>
      <c r="B5120" s="1832">
        <f>'Revenues 9-14'!C108</f>
        <v>36624</v>
      </c>
      <c r="C5120" s="2" t="s">
        <v>569</v>
      </c>
      <c r="D5120" s="2" t="str">
        <f t="shared" si="79"/>
        <v>Error?</v>
      </c>
    </row>
    <row r="5121" spans="1:4" x14ac:dyDescent="0.2">
      <c r="A5121" s="5">
        <v>5060</v>
      </c>
      <c r="B5121" s="1832">
        <f>'Revenues 9-14'!C109</f>
        <v>6052488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29077</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29077</v>
      </c>
      <c r="C5125" s="2" t="s">
        <v>569</v>
      </c>
      <c r="D5125" s="2" t="str">
        <f t="shared" si="79"/>
        <v>Error?</v>
      </c>
    </row>
    <row r="5126" spans="1:4" x14ac:dyDescent="0.2">
      <c r="A5126" s="5">
        <v>5065</v>
      </c>
      <c r="B5126" s="1832">
        <f>'Revenues 9-14'!C117</f>
        <v>1861512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1861512</v>
      </c>
      <c r="C5132" s="2" t="s">
        <v>569</v>
      </c>
      <c r="D5132" s="2" t="str">
        <f t="shared" si="79"/>
        <v>Error?</v>
      </c>
    </row>
    <row r="5133" spans="1:4" x14ac:dyDescent="0.2">
      <c r="A5133" s="5">
        <v>5072</v>
      </c>
      <c r="B5133" s="1832">
        <f>'Revenues 9-14'!C125</f>
        <v>67970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105899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173869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3101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683905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860875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2722387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164185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44419</v>
      </c>
      <c r="D5241" s="2" t="str">
        <f t="shared" si="80"/>
        <v>Error?</v>
      </c>
    </row>
    <row r="5242" spans="1:4" x14ac:dyDescent="0.2">
      <c r="A5242" s="5">
        <v>5181</v>
      </c>
      <c r="B5242" s="1832">
        <f>'Revenues 9-14'!C194</f>
        <v>31541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240145</v>
      </c>
      <c r="C5246" s="2" t="s">
        <v>569</v>
      </c>
      <c r="D5246" s="2" t="str">
        <f t="shared" si="80"/>
        <v>Error?</v>
      </c>
    </row>
    <row r="5247" spans="1:4" x14ac:dyDescent="0.2">
      <c r="A5247" s="5">
        <v>5186</v>
      </c>
      <c r="B5247" s="1832">
        <f>'Revenues 9-14'!C200</f>
        <v>277914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32816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277914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11496</v>
      </c>
      <c r="D5279" s="2" t="str">
        <f t="shared" si="81"/>
        <v>Error?</v>
      </c>
    </row>
    <row r="5280" spans="1:4" x14ac:dyDescent="0.2">
      <c r="A5280" s="5">
        <v>5219</v>
      </c>
      <c r="B5280" s="1832">
        <f>'Revenues 9-14'!C215</f>
        <v>849</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12345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727231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727231</v>
      </c>
      <c r="C5326" s="2" t="s">
        <v>569</v>
      </c>
      <c r="D5326" s="2" t="str">
        <f t="shared" si="82"/>
        <v>Error?</v>
      </c>
    </row>
    <row r="5327" spans="1:5" x14ac:dyDescent="0.2">
      <c r="A5327" s="5">
        <v>5266</v>
      </c>
      <c r="B5327" s="1832">
        <f>'Revenues 9-14'!C268</f>
        <v>9531183</v>
      </c>
      <c r="C5327" s="2" t="s">
        <v>569</v>
      </c>
      <c r="D5327" s="2" t="str">
        <f t="shared" si="82"/>
        <v>Error?</v>
      </c>
    </row>
    <row r="5328" spans="1:5" x14ac:dyDescent="0.2">
      <c r="A5328" s="5">
        <v>5267</v>
      </c>
      <c r="B5328" s="1832">
        <f>'Revenues 9-14'!D5</f>
        <v>614968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614968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2067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2067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80116</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560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88747</v>
      </c>
      <c r="C5355" s="2" t="s">
        <v>569</v>
      </c>
      <c r="D5355" s="2" t="str">
        <f t="shared" si="82"/>
        <v>Error?</v>
      </c>
    </row>
    <row r="5356" spans="1:4" x14ac:dyDescent="0.2">
      <c r="A5356" s="5">
        <v>5295</v>
      </c>
      <c r="B5356" s="1832">
        <f>'Revenues 9-14'!D109</f>
        <v>705782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755782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621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621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621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621</v>
      </c>
      <c r="C5552" s="2" t="s">
        <v>569</v>
      </c>
      <c r="D5552" s="2" t="str">
        <f t="shared" si="85"/>
        <v>Error?</v>
      </c>
    </row>
    <row r="5553" spans="1:4" x14ac:dyDescent="0.2">
      <c r="A5553" s="5">
        <v>5492</v>
      </c>
      <c r="B5553" s="1832">
        <f>'Revenues 9-14'!F5</f>
        <v>295185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295185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700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400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79511</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80611</v>
      </c>
      <c r="C5579" s="2" t="s">
        <v>569</v>
      </c>
      <c r="D5579" s="2" t="str">
        <f t="shared" si="86"/>
        <v>Error?</v>
      </c>
    </row>
    <row r="5580" spans="1:4" x14ac:dyDescent="0.2">
      <c r="A5580" s="5">
        <v>5519</v>
      </c>
      <c r="B5580" s="1832">
        <f>'Revenues 9-14'!F65</f>
        <v>3483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3483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669</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14901</v>
      </c>
      <c r="D5586" s="2" t="str">
        <f t="shared" si="86"/>
        <v>Error?</v>
      </c>
    </row>
    <row r="5587" spans="1:4" x14ac:dyDescent="0.2">
      <c r="A5587" s="5">
        <v>5526</v>
      </c>
      <c r="B5587" s="1832">
        <f>'Revenues 9-14'!F108</f>
        <v>15570</v>
      </c>
      <c r="C5587" s="2" t="s">
        <v>569</v>
      </c>
      <c r="D5587" s="2" t="str">
        <f t="shared" si="86"/>
        <v>Error?</v>
      </c>
    </row>
    <row r="5588" spans="1:4" x14ac:dyDescent="0.2">
      <c r="A5588" s="5">
        <v>5527</v>
      </c>
      <c r="B5588" s="1832">
        <f>'Revenues 9-14'!F109</f>
        <v>394849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7869</v>
      </c>
      <c r="D5615" s="2" t="str">
        <f t="shared" si="86"/>
        <v>Error?</v>
      </c>
    </row>
    <row r="5616" spans="1:4" x14ac:dyDescent="0.2">
      <c r="A5616" s="10">
        <v>5555</v>
      </c>
      <c r="B5616" s="1832"/>
      <c r="D5616" s="2" t="str">
        <f t="shared" si="86"/>
        <v>OK</v>
      </c>
    </row>
    <row r="5617" spans="1:5" x14ac:dyDescent="0.2">
      <c r="A5617" s="5">
        <v>5556</v>
      </c>
      <c r="B5617" s="1832">
        <f>'Revenues 9-14'!F153</f>
        <v>202792</v>
      </c>
      <c r="D5617" s="2" t="str">
        <f t="shared" si="86"/>
        <v>Error?</v>
      </c>
    </row>
    <row r="5618" spans="1:5" x14ac:dyDescent="0.2">
      <c r="A5618" s="5">
        <v>5557</v>
      </c>
      <c r="B5618" s="1832">
        <f>'Revenues 9-14'!F155</f>
        <v>210661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210661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210661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605510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473094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473094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12146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12146</v>
      </c>
      <c r="C5730" s="2" t="s">
        <v>569</v>
      </c>
      <c r="D5730" s="2" t="str">
        <f t="shared" si="88"/>
        <v>Error?</v>
      </c>
    </row>
    <row r="5731" spans="1:4" x14ac:dyDescent="0.2">
      <c r="A5731" s="5">
        <v>5670</v>
      </c>
      <c r="B5731" s="1832">
        <f>'Revenues 9-14'!G65</f>
        <v>3598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3598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488838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122993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122993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3072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3072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126065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122993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122993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5261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5261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128254</v>
      </c>
      <c r="C6023" s="2" t="s">
        <v>569</v>
      </c>
      <c r="D6023" s="2" t="str">
        <f t="shared" si="93"/>
        <v>Error?</v>
      </c>
    </row>
    <row r="6024" spans="1:5" x14ac:dyDescent="0.2">
      <c r="A6024" s="5">
        <v>5963</v>
      </c>
      <c r="B6024" s="1832">
        <f>'Revenues 9-14'!G109</f>
        <v>488838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126065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128254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136249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37903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1124.7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98779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98779</v>
      </c>
      <c r="D6215" s="2" t="str">
        <f t="shared" si="96"/>
        <v>Error?</v>
      </c>
      <c r="E6215" s="2" t="s">
        <v>189</v>
      </c>
    </row>
    <row r="6216" spans="1:5" x14ac:dyDescent="0.2">
      <c r="A6216">
        <v>6155</v>
      </c>
      <c r="B6216" s="1832">
        <f>'Assets-Liab 5-6'!J41</f>
        <v>98779</v>
      </c>
      <c r="D6216" s="2" t="str">
        <f t="shared" si="96"/>
        <v>Error?</v>
      </c>
      <c r="E6216" s="2" t="s">
        <v>189</v>
      </c>
    </row>
    <row r="6217" spans="1:5" x14ac:dyDescent="0.2">
      <c r="A6217">
        <v>6156</v>
      </c>
      <c r="B6217" s="1832">
        <f>'Assets-Liab 5-6'!J4</f>
        <v>98779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795717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795717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795717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859074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859074</v>
      </c>
      <c r="D6229" s="2" t="str">
        <f t="shared" si="96"/>
        <v>Error?</v>
      </c>
      <c r="E6229" s="2" t="s">
        <v>189</v>
      </c>
    </row>
    <row r="6230" spans="1:5" x14ac:dyDescent="0.2">
      <c r="A6230">
        <v>6169</v>
      </c>
      <c r="B6230" s="1832">
        <f>'Acct Summary 7-8'!J20</f>
        <v>-63357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-63357</v>
      </c>
      <c r="D6263" s="2" t="str">
        <f t="shared" si="96"/>
        <v>Error?</v>
      </c>
      <c r="E6263" s="2" t="s">
        <v>189</v>
      </c>
    </row>
    <row r="6264" spans="1:5" x14ac:dyDescent="0.2">
      <c r="A6264">
        <v>6203</v>
      </c>
      <c r="B6264" s="1832">
        <f>'Acct Summary 7-8'!J79</f>
        <v>162136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98779</v>
      </c>
      <c r="D6266" s="2" t="str">
        <f t="shared" si="96"/>
        <v>Error?</v>
      </c>
      <c r="E6266" s="2" t="s">
        <v>189</v>
      </c>
    </row>
    <row r="6267" spans="1:5" x14ac:dyDescent="0.2">
      <c r="A6267">
        <v>6206</v>
      </c>
      <c r="B6267" s="1832">
        <f>'Acct Summary 7-8'!C82</f>
        <v>696653</v>
      </c>
      <c r="D6267" s="2" t="str">
        <f t="shared" si="96"/>
        <v>Error?</v>
      </c>
      <c r="E6267" s="2" t="s">
        <v>189</v>
      </c>
    </row>
    <row r="6268" spans="1:5" x14ac:dyDescent="0.2">
      <c r="A6268">
        <v>6207</v>
      </c>
      <c r="B6268" s="1832">
        <f>'Acct Summary 7-8'!D82</f>
        <v>14436</v>
      </c>
      <c r="D6268" s="2" t="str">
        <f t="shared" si="96"/>
        <v>Error?</v>
      </c>
      <c r="E6268" s="2" t="s">
        <v>189</v>
      </c>
    </row>
    <row r="6269" spans="1:5" x14ac:dyDescent="0.2">
      <c r="A6269">
        <v>6208</v>
      </c>
      <c r="B6269" s="1832">
        <f>'Acct Summary 7-8'!E82</f>
        <v>621</v>
      </c>
      <c r="D6269" s="2" t="str">
        <f t="shared" si="96"/>
        <v>Error?</v>
      </c>
      <c r="E6269" s="2" t="s">
        <v>189</v>
      </c>
    </row>
    <row r="6270" spans="1:5" x14ac:dyDescent="0.2">
      <c r="A6270">
        <v>6209</v>
      </c>
      <c r="B6270" s="1832">
        <f>'Acct Summary 7-8'!F82</f>
        <v>-140494</v>
      </c>
      <c r="D6270" s="2" t="str">
        <f t="shared" si="96"/>
        <v>Error?</v>
      </c>
      <c r="E6270" s="2" t="s">
        <v>189</v>
      </c>
    </row>
    <row r="6271" spans="1:5" x14ac:dyDescent="0.2">
      <c r="A6271">
        <v>6210</v>
      </c>
      <c r="B6271" s="1832">
        <f>'Acct Summary 7-8'!G82</f>
        <v>49204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126065</v>
      </c>
      <c r="D6273" s="2" t="str">
        <f t="shared" si="97"/>
        <v>Error?</v>
      </c>
      <c r="E6273" s="2" t="s">
        <v>189</v>
      </c>
    </row>
    <row r="6274" spans="1:5" x14ac:dyDescent="0.2">
      <c r="A6274">
        <v>6213</v>
      </c>
      <c r="B6274" s="1832">
        <f>'Acct Summary 7-8'!J82</f>
        <v>-63357</v>
      </c>
      <c r="D6274" s="2" t="str">
        <f t="shared" si="97"/>
        <v>Error?</v>
      </c>
      <c r="E6274" s="2" t="s">
        <v>189</v>
      </c>
    </row>
    <row r="6275" spans="1:5" x14ac:dyDescent="0.2">
      <c r="A6275">
        <v>6214</v>
      </c>
      <c r="B6275" s="1832">
        <f>'Acct Summary 7-8'!K82</f>
        <v>-45302</v>
      </c>
      <c r="D6275" s="2" t="str">
        <f t="shared" si="97"/>
        <v>Error?</v>
      </c>
      <c r="E6275" s="2" t="s">
        <v>189</v>
      </c>
    </row>
    <row r="6276" spans="1:5" x14ac:dyDescent="0.2">
      <c r="A6276">
        <v>6215</v>
      </c>
      <c r="B6276" s="1832">
        <f>'Acct Summary 7-8'!C83</f>
        <v>0.29404641409694604</v>
      </c>
      <c r="D6276" s="2" t="str">
        <f t="shared" si="97"/>
        <v>Error?</v>
      </c>
      <c r="E6276" s="2" t="s">
        <v>189</v>
      </c>
    </row>
    <row r="6277" spans="1:5" x14ac:dyDescent="0.2">
      <c r="A6277">
        <v>6216</v>
      </c>
      <c r="B6277" s="1832">
        <f>'Acct Summary 7-8'!D83</f>
        <v>0.12750397456279811</v>
      </c>
      <c r="D6277" s="2" t="str">
        <f t="shared" si="97"/>
        <v>Error?</v>
      </c>
      <c r="E6277" s="2" t="s">
        <v>189</v>
      </c>
    </row>
    <row r="6278" spans="1:5" x14ac:dyDescent="0.2">
      <c r="A6278">
        <v>6217</v>
      </c>
      <c r="B6278" s="1832">
        <f>'Acct Summary 7-8'!E83</f>
        <v>9.3524096385542172E-3</v>
      </c>
      <c r="D6278" s="2" t="str">
        <f t="shared" si="97"/>
        <v>Error?</v>
      </c>
      <c r="E6278" s="2" t="s">
        <v>189</v>
      </c>
    </row>
    <row r="6279" spans="1:5" x14ac:dyDescent="0.2">
      <c r="A6279">
        <v>6218</v>
      </c>
      <c r="B6279" s="1832">
        <f>'Acct Summary 7-8'!F83</f>
        <v>-0.45971362381058334</v>
      </c>
      <c r="D6279" s="2" t="str">
        <f t="shared" si="97"/>
        <v>Error?</v>
      </c>
      <c r="E6279" s="2" t="s">
        <v>189</v>
      </c>
    </row>
    <row r="6280" spans="1:5" x14ac:dyDescent="0.2">
      <c r="A6280">
        <v>6219</v>
      </c>
      <c r="B6280" s="1832">
        <f>'Acct Summary 7-8'!G83</f>
        <v>0.16335989375830012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0.30929213527252741</v>
      </c>
      <c r="D6282" s="2" t="str">
        <f t="shared" si="97"/>
        <v>Error?</v>
      </c>
      <c r="E6282" s="2" t="s">
        <v>189</v>
      </c>
    </row>
    <row r="6283" spans="1:5" x14ac:dyDescent="0.2">
      <c r="A6283">
        <v>6222</v>
      </c>
      <c r="B6283" s="1832">
        <f>'Acct Summary 7-8'!J83</f>
        <v>-0.64140151246722477</v>
      </c>
      <c r="D6283" s="2" t="str">
        <f t="shared" si="97"/>
        <v>Error?</v>
      </c>
      <c r="E6283" s="2" t="s">
        <v>189</v>
      </c>
    </row>
    <row r="6284" spans="1:5" x14ac:dyDescent="0.2">
      <c r="A6284">
        <v>6223</v>
      </c>
      <c r="B6284" s="1832">
        <f>'Acct Summary 7-8'!K83</f>
        <v>-8.2077464661141936E-2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792737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792737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2980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2980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3522</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795717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520482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698876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58873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253375</v>
      </c>
      <c r="D6880" s="2" t="str">
        <f t="shared" si="106"/>
        <v>Error?</v>
      </c>
    </row>
    <row r="6881" spans="1:4" x14ac:dyDescent="0.2">
      <c r="A6881">
        <v>6820</v>
      </c>
      <c r="B6881" s="1832">
        <f>'Expenditures 15-22'!K22</f>
        <v>253375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131372</v>
      </c>
      <c r="D6983" s="2" t="str">
        <f t="shared" si="108"/>
        <v>Error?</v>
      </c>
    </row>
    <row r="6984" spans="1:4" x14ac:dyDescent="0.2">
      <c r="A6984">
        <v>6923</v>
      </c>
      <c r="B6984" s="1832">
        <f>'Expenditures 15-22'!K86</f>
        <v>131372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131372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87212</v>
      </c>
      <c r="D6998" s="2" t="str">
        <f t="shared" si="108"/>
        <v>Error?</v>
      </c>
    </row>
    <row r="6999" spans="1:4" x14ac:dyDescent="0.2">
      <c r="A6999">
        <v>6938</v>
      </c>
      <c r="B6999" s="1832">
        <f>'Expenditures 15-22'!K94</f>
        <v>87212</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87212</v>
      </c>
      <c r="D7012" s="2" t="str">
        <f t="shared" si="108"/>
        <v>Error?</v>
      </c>
    </row>
    <row r="7013" spans="1:4" x14ac:dyDescent="0.2">
      <c r="A7013">
        <v>6952</v>
      </c>
      <c r="B7013" s="1832">
        <f>'Expenditures 15-22'!K100</f>
        <v>87212</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859074</v>
      </c>
      <c r="D7042" s="2" t="str">
        <f t="shared" si="109"/>
        <v>Error?</v>
      </c>
    </row>
    <row r="7043" spans="1:5" x14ac:dyDescent="0.2">
      <c r="A7043">
        <v>6982</v>
      </c>
      <c r="B7043" s="1832">
        <f>'Revenues 9-14'!H9</f>
        <v>0</v>
      </c>
      <c r="D7043" s="2" t="str">
        <f t="shared" si="109"/>
        <v>Error?</v>
      </c>
    </row>
    <row r="7044" spans="1:5" x14ac:dyDescent="0.2">
      <c r="A7044">
        <v>6983</v>
      </c>
      <c r="B7044" s="1832">
        <f>'Revenues 9-14'!D106</f>
        <v>8071</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795717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62204</v>
      </c>
      <c r="D7073" s="2" t="str">
        <f t="shared" si="109"/>
        <v>Error?</v>
      </c>
    </row>
    <row r="7074" spans="1:4" x14ac:dyDescent="0.2">
      <c r="A7074">
        <v>7013</v>
      </c>
      <c r="B7074" s="1832">
        <f>'Expenditures 15-22'!K216</f>
        <v>62204</v>
      </c>
      <c r="D7074" s="2" t="str">
        <f t="shared" si="109"/>
        <v>Error?</v>
      </c>
    </row>
    <row r="7075" spans="1:4" x14ac:dyDescent="0.2">
      <c r="A7075">
        <v>7014</v>
      </c>
      <c r="B7075" s="1832">
        <f>'Expenditures 15-22'!D218</f>
        <v>2861</v>
      </c>
      <c r="D7075" s="2" t="str">
        <f t="shared" si="109"/>
        <v>Error?</v>
      </c>
    </row>
    <row r="7076" spans="1:4" x14ac:dyDescent="0.2">
      <c r="A7076">
        <v>7015</v>
      </c>
      <c r="B7076" s="1832">
        <f>'Expenditures 15-22'!K218</f>
        <v>2861</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45066</v>
      </c>
      <c r="D7093" s="2" t="str">
        <f t="shared" si="109"/>
        <v>Error?</v>
      </c>
    </row>
    <row r="7094" spans="1:4" x14ac:dyDescent="0.2">
      <c r="A7094">
        <v>7033</v>
      </c>
      <c r="B7094" s="1832">
        <f>'Expenditures 15-22'!K254</f>
        <v>45066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75073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75073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80286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80286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570386</v>
      </c>
      <c r="D7172" s="2" t="str">
        <f t="shared" si="111"/>
        <v>Error?</v>
      </c>
    </row>
    <row r="7173" spans="1:4" x14ac:dyDescent="0.2">
      <c r="A7173">
        <v>7112</v>
      </c>
      <c r="B7173" s="1832">
        <f>'Expenditures 15-22'!D325</f>
        <v>98817</v>
      </c>
      <c r="D7173" s="2" t="str">
        <f t="shared" si="111"/>
        <v>Error?</v>
      </c>
    </row>
    <row r="7174" spans="1:4" x14ac:dyDescent="0.2">
      <c r="A7174">
        <v>7113</v>
      </c>
      <c r="B7174" s="1832">
        <f>'Expenditures 15-22'!E325</f>
        <v>30000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699203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4512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4512</v>
      </c>
      <c r="D7198" s="2" t="str">
        <f t="shared" si="111"/>
        <v>Error?</v>
      </c>
    </row>
    <row r="7199" spans="1:4" x14ac:dyDescent="0.2">
      <c r="A7199">
        <v>7138</v>
      </c>
      <c r="B7199" s="1832">
        <f>'Expenditures 15-22'!C330</f>
        <v>570386</v>
      </c>
      <c r="D7199" s="2" t="str">
        <f t="shared" si="111"/>
        <v>Error?</v>
      </c>
    </row>
    <row r="7200" spans="1:4" x14ac:dyDescent="0.2">
      <c r="A7200">
        <v>7139</v>
      </c>
      <c r="B7200" s="1832">
        <f>'Expenditures 15-22'!D330</f>
        <v>98817</v>
      </c>
      <c r="D7200" s="2" t="str">
        <f t="shared" si="111"/>
        <v>Error?</v>
      </c>
    </row>
    <row r="7201" spans="1:4" x14ac:dyDescent="0.2">
      <c r="A7201">
        <v>7140</v>
      </c>
      <c r="B7201" s="1832">
        <f>'Expenditures 15-22'!E330</f>
        <v>189871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859074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570386</v>
      </c>
      <c r="D7216" s="2" t="str">
        <f t="shared" si="111"/>
        <v>Error?</v>
      </c>
    </row>
    <row r="7217" spans="1:4" x14ac:dyDescent="0.2">
      <c r="A7217">
        <v>7156</v>
      </c>
      <c r="B7217" s="1832">
        <f>'Expenditures 15-22'!D342</f>
        <v>98817</v>
      </c>
      <c r="D7217" s="2" t="str">
        <f t="shared" si="111"/>
        <v>Error?</v>
      </c>
    </row>
    <row r="7218" spans="1:4" x14ac:dyDescent="0.2">
      <c r="A7218">
        <v>7157</v>
      </c>
      <c r="B7218" s="1832">
        <f>'Expenditures 15-22'!E342</f>
        <v>189871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859074</v>
      </c>
      <c r="D7224" s="2" t="str">
        <f t="shared" si="111"/>
        <v>Error?</v>
      </c>
    </row>
    <row r="7225" spans="1:4" x14ac:dyDescent="0.2">
      <c r="A7225">
        <v>7164</v>
      </c>
      <c r="B7225" s="1832">
        <f>'Expenditures 15-22'!K343</f>
        <v>-63357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111088</v>
      </c>
      <c r="D7246" s="2" t="str">
        <f t="shared" si="112"/>
        <v>Error?</v>
      </c>
    </row>
    <row r="7247" spans="1:4" x14ac:dyDescent="0.2">
      <c r="A7247">
        <f t="shared" si="113"/>
        <v>7186</v>
      </c>
      <c r="B7247" s="1832">
        <f>'Expenditures 15-22'!E7</f>
        <v>53310</v>
      </c>
      <c r="D7247" s="2" t="str">
        <f t="shared" si="112"/>
        <v>Error?</v>
      </c>
    </row>
    <row r="7248" spans="1:4" x14ac:dyDescent="0.2">
      <c r="A7248">
        <f t="shared" si="113"/>
        <v>7187</v>
      </c>
      <c r="B7248" s="1832">
        <f>'Expenditures 15-22'!F7</f>
        <v>13996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46369</v>
      </c>
      <c r="D7251" s="2" t="str">
        <f t="shared" si="112"/>
        <v>Error?</v>
      </c>
    </row>
    <row r="7252" spans="1:4" x14ac:dyDescent="0.2">
      <c r="A7252">
        <f t="shared" si="113"/>
        <v>7191</v>
      </c>
      <c r="B7252" s="1832">
        <f>'Expenditures 15-22'!D9</f>
        <v>12504</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160019</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160019</v>
      </c>
      <c r="D7618" s="2" t="str">
        <f t="shared" si="124"/>
        <v>Error?</v>
      </c>
      <c r="E7618" s="2" t="s">
        <v>19</v>
      </c>
    </row>
    <row r="7619" spans="1:5" x14ac:dyDescent="0.2">
      <c r="A7619">
        <f t="shared" si="123"/>
        <v>7558</v>
      </c>
      <c r="B7619" s="1832">
        <f>'Cap Outlay Deprec 26'!H14</f>
        <v>160019</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160019</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460747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49197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512862</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11620588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698876</v>
      </c>
      <c r="D7826" s="2" t="str">
        <f t="shared" si="129"/>
        <v>Error?</v>
      </c>
      <c r="E7826" s="4" t="s">
        <v>1998</v>
      </c>
    </row>
    <row r="7827" spans="1:5" x14ac:dyDescent="0.2">
      <c r="A7827">
        <v>7766</v>
      </c>
      <c r="B7827" s="1832">
        <f>'PCTC-OEPP 27-28'!F35</f>
        <v>58873</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12420</v>
      </c>
      <c r="D7829" s="2" t="str">
        <f t="shared" si="129"/>
        <v>Error?</v>
      </c>
      <c r="E7829" s="4" t="s">
        <v>1998</v>
      </c>
    </row>
    <row r="7830" spans="1:5" x14ac:dyDescent="0.2">
      <c r="A7830">
        <v>7769</v>
      </c>
      <c r="B7830" s="1832">
        <f>'PCTC-OEPP 27-28'!F38</f>
        <v>7775</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1819955</v>
      </c>
      <c r="D7834" s="2" t="str">
        <f t="shared" si="129"/>
        <v>Error?</v>
      </c>
      <c r="E7834" s="4" t="s">
        <v>1998</v>
      </c>
    </row>
    <row r="7835" spans="1:5" x14ac:dyDescent="0.2">
      <c r="A7835">
        <v>7774</v>
      </c>
      <c r="B7835" s="1832">
        <f>'PCTC-OEPP 27-28'!F78</f>
        <v>9800633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8713.9975104472305</v>
      </c>
      <c r="D7837" s="2" t="str">
        <f t="shared" si="129"/>
        <v>Error?</v>
      </c>
      <c r="E7837" s="4" t="s">
        <v>1998</v>
      </c>
    </row>
    <row r="7838" spans="1:5" x14ac:dyDescent="0.2">
      <c r="A7838">
        <v>7777</v>
      </c>
      <c r="B7838" s="1832">
        <f>'PCTC-OEPP 27-28'!F96</f>
        <v>35646</v>
      </c>
      <c r="D7838" s="2" t="str">
        <f t="shared" si="129"/>
        <v>Error?</v>
      </c>
      <c r="E7838" s="4" t="s">
        <v>1998</v>
      </c>
    </row>
    <row r="7839" spans="1:5" x14ac:dyDescent="0.2">
      <c r="A7839">
        <v>7778</v>
      </c>
      <c r="B7839" s="1832">
        <f>'PCTC-OEPP 27-28'!F102</f>
        <v>80116</v>
      </c>
      <c r="D7839" s="2" t="str">
        <f t="shared" si="129"/>
        <v>Error?</v>
      </c>
      <c r="E7839" s="4" t="s">
        <v>1998</v>
      </c>
    </row>
    <row r="7840" spans="1:5" x14ac:dyDescent="0.2">
      <c r="A7840">
        <v>7779</v>
      </c>
      <c r="B7840" s="1832">
        <f>'PCTC-OEPP 27-28'!F103</f>
        <v>10649</v>
      </c>
      <c r="D7840" s="2" t="str">
        <f t="shared" si="129"/>
        <v>Error?</v>
      </c>
      <c r="E7840" s="4" t="s">
        <v>1998</v>
      </c>
    </row>
    <row r="7841" spans="1:5" x14ac:dyDescent="0.2">
      <c r="A7841">
        <v>7780</v>
      </c>
      <c r="B7841" s="1832">
        <f>'PCTC-OEPP 27-28'!F104</f>
        <v>560</v>
      </c>
      <c r="D7841" s="2" t="str">
        <f t="shared" si="129"/>
        <v>Error?</v>
      </c>
      <c r="E7841" s="4" t="s">
        <v>1998</v>
      </c>
    </row>
    <row r="7842" spans="1:5" x14ac:dyDescent="0.2">
      <c r="A7842">
        <v>7781</v>
      </c>
      <c r="B7842" s="1832">
        <f>'PCTC-OEPP 27-28'!F106</f>
        <v>173869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210661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10000</v>
      </c>
      <c r="D7857" s="2" t="str">
        <f t="shared" si="129"/>
        <v>Error?</v>
      </c>
      <c r="E7857" s="4" t="s">
        <v>1998</v>
      </c>
    </row>
    <row r="7858" spans="1:5" x14ac:dyDescent="0.2">
      <c r="A7858">
        <v>7797</v>
      </c>
      <c r="B7858" s="1832">
        <f>'PCTC-OEPP 27-28'!F126</f>
        <v>240145</v>
      </c>
      <c r="D7858" s="2" t="str">
        <f t="shared" si="129"/>
        <v>Error?</v>
      </c>
      <c r="E7858" s="4" t="s">
        <v>1998</v>
      </c>
    </row>
    <row r="7859" spans="1:5" x14ac:dyDescent="0.2">
      <c r="A7859">
        <v>7798</v>
      </c>
      <c r="B7859" s="1832">
        <f>'PCTC-OEPP 27-28'!F127</f>
        <v>277914</v>
      </c>
      <c r="D7859" s="2" t="str">
        <f t="shared" si="129"/>
        <v>Error?</v>
      </c>
      <c r="E7859" s="4" t="s">
        <v>1998</v>
      </c>
    </row>
    <row r="7860" spans="1:5" x14ac:dyDescent="0.2">
      <c r="A7860">
        <v>7799</v>
      </c>
      <c r="B7860" s="1832">
        <f>'PCTC-OEPP 27-28'!F128</f>
        <v>32816</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11496</v>
      </c>
      <c r="D7862" s="2" t="str">
        <f t="shared" si="129"/>
        <v>Error?</v>
      </c>
      <c r="E7862" s="4" t="s">
        <v>1998</v>
      </c>
    </row>
    <row r="7863" spans="1:5" x14ac:dyDescent="0.2">
      <c r="A7863">
        <v>7802</v>
      </c>
      <c r="B7863" s="1832">
        <f>'PCTC-OEPP 27-28'!F131</f>
        <v>849</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36653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17433</v>
      </c>
      <c r="D7874" s="2" t="str">
        <f t="shared" si="129"/>
        <v>Error?</v>
      </c>
      <c r="E7874" s="4" t="s">
        <v>1998</v>
      </c>
    </row>
    <row r="7875" spans="1:5" x14ac:dyDescent="0.2">
      <c r="A7875">
        <v>7814</v>
      </c>
      <c r="B7875" s="1832">
        <f>'PCTC-OEPP 27-28'!F170</f>
        <v>99925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2020856</v>
      </c>
      <c r="D7877" s="2" t="str">
        <f t="shared" si="129"/>
        <v>Error?</v>
      </c>
      <c r="E7877" s="4" t="s">
        <v>1998</v>
      </c>
    </row>
    <row r="7878" spans="1:5" x14ac:dyDescent="0.2">
      <c r="A7878">
        <v>7817</v>
      </c>
      <c r="B7878" s="1832">
        <f>'PCTC-OEPP 27-28'!F176</f>
        <v>7779777</v>
      </c>
      <c r="D7878" s="2" t="str">
        <f t="shared" si="129"/>
        <v>Error?</v>
      </c>
      <c r="E7878" s="4" t="s">
        <v>1998</v>
      </c>
    </row>
    <row r="7879" spans="1:5" x14ac:dyDescent="0.2">
      <c r="A7879">
        <v>7818</v>
      </c>
      <c r="B7879" s="1832">
        <f>'PCTC-OEPP 27-28'!F178</f>
        <v>8240524</v>
      </c>
      <c r="D7879" s="2" t="str">
        <f t="shared" si="129"/>
        <v>Error?</v>
      </c>
      <c r="E7879" s="4" t="s">
        <v>1998</v>
      </c>
    </row>
    <row r="7880" spans="1:5" x14ac:dyDescent="0.2">
      <c r="A7880">
        <v>7819</v>
      </c>
      <c r="B7880" s="1832">
        <f>'PCTC-OEPP 27-28'!F180</f>
        <v>7326.8640526362578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Princeton Elem SD 115</v>
      </c>
      <c r="B7" s="2536"/>
      <c r="C7" s="2536"/>
      <c r="D7" s="2537"/>
      <c r="E7" s="2538">
        <f>COVER!A13</f>
        <v>28006115002</v>
      </c>
      <c r="F7" s="2539"/>
      <c r="G7" s="2545" t="str">
        <f>COVER!T23</f>
        <v>066-004501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TIMOTHY SMITH</v>
      </c>
      <c r="B10" s="2525"/>
      <c r="C10" s="2525"/>
      <c r="D10" s="2525"/>
      <c r="E10" s="2525"/>
      <c r="F10" s="2526"/>
      <c r="G10" s="2518" t="str">
        <f>COVER!T17</f>
        <v>314 S MCCOY STREET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JOEL@HOPKINSOFFICE.COM</v>
      </c>
      <c r="J13" s="2531"/>
      <c r="K13" s="2531"/>
      <c r="L13" s="2532"/>
    </row>
    <row r="14" spans="1:29" ht="13.5" customHeight="1" x14ac:dyDescent="0.2">
      <c r="A14" s="2518" t="str">
        <f>COVER!A19</f>
        <v>506 E DOVER</v>
      </c>
      <c r="B14" s="2519"/>
      <c r="C14" s="2519"/>
      <c r="D14" s="2519"/>
      <c r="E14" s="2519"/>
      <c r="F14" s="2520"/>
      <c r="G14" s="974" t="s">
        <v>1175</v>
      </c>
      <c r="H14" s="972"/>
      <c r="I14" s="972"/>
      <c r="J14" s="972"/>
      <c r="K14" s="972"/>
      <c r="L14" s="973"/>
    </row>
    <row r="15" spans="1:29" ht="13.5" customHeight="1" x14ac:dyDescent="0.2">
      <c r="A15" s="2518" t="str">
        <f>COVER!A21</f>
        <v xml:space="preserve">PRINCETON   </v>
      </c>
      <c r="B15" s="2519"/>
      <c r="C15" s="2519"/>
      <c r="D15" s="2519"/>
      <c r="E15" s="2519"/>
      <c r="F15" s="2520"/>
      <c r="G15" s="2515" t="str">
        <f>COVER!T15</f>
        <v>JOEL HOPKINS</v>
      </c>
      <c r="H15" s="2516"/>
      <c r="I15" s="2516"/>
      <c r="J15" s="2516"/>
      <c r="K15" s="2516"/>
      <c r="L15" s="2517"/>
    </row>
    <row r="16" spans="1:29" ht="12.2" customHeight="1" x14ac:dyDescent="0.2">
      <c r="A16" s="2541">
        <f>COVER!A25</f>
        <v>61356</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Princeton Elem SD 115</v>
      </c>
      <c r="B1" s="2558"/>
      <c r="C1" s="2558"/>
      <c r="D1" s="2558"/>
    </row>
    <row r="2" spans="1:11" s="991" customFormat="1" ht="12.75" x14ac:dyDescent="0.2">
      <c r="A2" s="2559">
        <f>'Single Audit Cover'!E7</f>
        <v>28006115002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Princeton Elem SD 115</v>
      </c>
      <c r="B1" s="2562"/>
      <c r="C1" s="2562"/>
      <c r="D1" s="2562"/>
      <c r="E1" s="2562"/>
    </row>
    <row r="2" spans="1:5" x14ac:dyDescent="0.2">
      <c r="A2" s="2563">
        <f>'Single Audit Cover'!E7</f>
        <v>28006115002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727231</v>
      </c>
    </row>
    <row r="11" spans="1:5" ht="18" customHeight="1" x14ac:dyDescent="0.2">
      <c r="A11" s="1037" t="s">
        <v>1229</v>
      </c>
      <c r="B11" s="1038"/>
      <c r="C11" s="1038"/>
    </row>
    <row r="12" spans="1:5" x14ac:dyDescent="0.2">
      <c r="A12" s="1037" t="s">
        <v>1228</v>
      </c>
      <c r="B12" s="1038" t="s">
        <v>1227</v>
      </c>
      <c r="C12" s="1038"/>
      <c r="D12" s="1040">
        <f>SUM('Revenues 9-14'!C112:D112,'Revenues 9-14'!F112:G112)</f>
        <v>29077</v>
      </c>
    </row>
    <row r="13" spans="1:5" x14ac:dyDescent="0.2">
      <c r="A13" s="1037" t="s">
        <v>1226</v>
      </c>
      <c r="B13" s="1038"/>
      <c r="C13" s="1038"/>
    </row>
    <row r="14" spans="1:5" x14ac:dyDescent="0.2">
      <c r="A14" s="1037" t="s">
        <v>2004</v>
      </c>
      <c r="B14" s="1038"/>
      <c r="C14" s="1038"/>
      <c r="D14" s="1040">
        <f>'ICR Computation 30'!E11</f>
        <v>37903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-99925</v>
      </c>
    </row>
    <row r="19" spans="1:4" ht="13.5" thickBot="1" x14ac:dyDescent="0.25">
      <c r="A19" s="1041" t="s">
        <v>1224</v>
      </c>
      <c r="D19" s="1042">
        <f>SUM(D10:D17)</f>
        <v>694286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694286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694286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Princeton Elem SD 115</v>
      </c>
      <c r="C1" s="2566"/>
      <c r="D1" s="2566"/>
      <c r="E1" s="2566"/>
      <c r="F1" s="2566"/>
      <c r="G1" s="2566"/>
      <c r="H1" s="2566"/>
      <c r="I1" s="2566"/>
      <c r="J1" s="2566"/>
      <c r="K1" s="2566"/>
      <c r="L1" s="2566"/>
      <c r="M1" s="2566"/>
    </row>
    <row r="2" spans="2:14" ht="15" x14ac:dyDescent="0.2">
      <c r="B2" s="2567">
        <f>'Single Audit Cover'!E7</f>
        <v>28006115002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Princeton Elem SD 115</v>
      </c>
      <c r="B1" s="2579"/>
      <c r="C1" s="2579"/>
      <c r="D1" s="2579"/>
      <c r="E1" s="2579"/>
      <c r="F1" s="2579"/>
    </row>
    <row r="2" spans="1:7" ht="13.5" customHeight="1" x14ac:dyDescent="0.2">
      <c r="A2" s="2567">
        <f>'Single Audit Cover'!E7</f>
        <v>28006115002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Princeton Elem SD 115</v>
      </c>
      <c r="C1" s="2594"/>
      <c r="D1" s="2594"/>
      <c r="E1" s="2594"/>
      <c r="F1" s="2594"/>
      <c r="G1" s="2594"/>
      <c r="H1" s="2594"/>
      <c r="I1" s="2594"/>
      <c r="J1" s="1178"/>
    </row>
    <row r="2" spans="2:10" s="295" customFormat="1" ht="12.75" customHeight="1" x14ac:dyDescent="0.2">
      <c r="B2" s="2595">
        <f>'Single Audit Cover'!E7</f>
        <v>28006115002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Princeton Elem SD 115</v>
      </c>
      <c r="C1" s="2593"/>
      <c r="D1" s="2593"/>
      <c r="E1" s="2593"/>
      <c r="F1" s="2593"/>
      <c r="G1" s="2593"/>
      <c r="H1" s="2593"/>
      <c r="I1" s="2593"/>
      <c r="J1" s="2593"/>
      <c r="K1" s="2593"/>
      <c r="L1" s="1144"/>
      <c r="M1" s="1144"/>
    </row>
    <row r="2" spans="1:13" ht="12" customHeight="1" x14ac:dyDescent="0.2">
      <c r="B2" s="2595">
        <f>'Single Audit Cover'!E7</f>
        <v>28006115002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Princeton Elem SD 115</v>
      </c>
      <c r="C1" s="2616"/>
      <c r="D1" s="2616"/>
      <c r="E1" s="2616"/>
      <c r="F1" s="2616"/>
      <c r="G1" s="2616"/>
      <c r="H1" s="2616"/>
      <c r="I1" s="2616"/>
      <c r="J1" s="2616"/>
      <c r="K1" s="2616"/>
      <c r="L1" s="1221"/>
    </row>
    <row r="2" spans="1:12" ht="12.75" customHeight="1" x14ac:dyDescent="0.2">
      <c r="B2" s="2617">
        <f>'Single Audit Cover'!E7</f>
        <v>28006115002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Princeton Elem SD 115</v>
      </c>
      <c r="C1" s="2593"/>
      <c r="D1" s="2593"/>
      <c r="E1" s="1240"/>
    </row>
    <row r="2" spans="2:5" s="1058" customFormat="1" ht="12.75" customHeight="1" x14ac:dyDescent="0.2">
      <c r="B2" s="2595">
        <f>'Single Audit Cover'!E7</f>
        <v>28006115002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255348742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2.1000000000000001E-2</v>
      </c>
      <c r="E10" s="333" t="s">
        <v>998</v>
      </c>
      <c r="F10" s="332">
        <v>2.5000000000000001E-3</v>
      </c>
      <c r="G10" s="333" t="s">
        <v>998</v>
      </c>
      <c r="H10" s="332">
        <v>1.1999999999999999E-3</v>
      </c>
      <c r="I10" s="333" t="s">
        <v>999</v>
      </c>
      <c r="J10" s="1424">
        <f>ROUND(D10+F10+H10,5)</f>
        <v>2.47E-2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11018540</v>
      </c>
      <c r="E16" s="1547"/>
      <c r="F16" s="1546">
        <f>SUM('Acct Summary 7-8'!C17,'Acct Summary 7-8'!D17,'Acct Summary 7-8'!F17)</f>
        <v>10321880</v>
      </c>
      <c r="G16" s="1547"/>
      <c r="H16" s="1546">
        <f>SUM(D16-F16)</f>
        <v>696660</v>
      </c>
      <c r="I16" s="1548"/>
      <c r="J16" s="1546">
        <f>SUM('Acct Summary 7-8'!C81,'Acct Summary 7-8'!D81,'Acct Summary 7-8'!F81,'Acct Summary 7-8'!I81)</f>
        <v>3195618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17619063.198000003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Princeton Elem SD 115</v>
      </c>
      <c r="E7" s="368"/>
      <c r="G7" s="247"/>
      <c r="H7" s="364"/>
      <c r="I7" s="364"/>
      <c r="J7" s="364"/>
      <c r="K7" s="364"/>
      <c r="L7" s="307"/>
      <c r="M7" s="307"/>
      <c r="N7" s="307"/>
      <c r="O7" s="307"/>
      <c r="P7" s="307"/>
    </row>
    <row r="8" spans="1:18" ht="12.75" x14ac:dyDescent="0.2">
      <c r="A8" s="307"/>
      <c r="B8" s="307"/>
      <c r="C8" s="366" t="s">
        <v>1115</v>
      </c>
      <c r="D8" s="369">
        <f>COVER!A13</f>
        <v>28006115002</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3195618</v>
      </c>
      <c r="I12" s="380"/>
      <c r="J12" s="380"/>
      <c r="K12" s="1559">
        <f>TRUNC((H12/H13*100000),5)/100000</f>
        <v>0.29002190849999998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11018540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10321880</v>
      </c>
      <c r="I17" s="380"/>
      <c r="J17" s="389"/>
      <c r="K17" s="1559">
        <f>TRUNC((H17/H18*100000),5)/100000</f>
        <v>0.93677383749999998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11018540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3195618</v>
      </c>
      <c r="I24" s="394"/>
      <c r="J24" s="394"/>
      <c r="K24" s="1555">
        <f>TRUNC(((H24/H25*100000)/100000),2)</f>
        <v>111.45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28671.888889999998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5361046.8382900003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17619063.198000003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M17" sqref="M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2369194</v>
      </c>
      <c r="D4" s="1573">
        <v>113220</v>
      </c>
      <c r="E4" s="1573">
        <v>66400</v>
      </c>
      <c r="F4" s="1573">
        <v>305612</v>
      </c>
      <c r="G4" s="1573">
        <v>301200</v>
      </c>
      <c r="H4" s="1573"/>
      <c r="I4" s="1573">
        <v>407592</v>
      </c>
      <c r="J4" s="1574">
        <v>98779</v>
      </c>
      <c r="K4" s="1573">
        <v>551942</v>
      </c>
      <c r="L4" s="1573">
        <v>192688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2369194</v>
      </c>
      <c r="D13" s="1587">
        <f t="shared" ref="D13:L13" si="0">SUM(D4:D12)</f>
        <v>113220</v>
      </c>
      <c r="E13" s="1587">
        <f t="shared" si="0"/>
        <v>66400</v>
      </c>
      <c r="F13" s="1587">
        <f t="shared" si="0"/>
        <v>305612</v>
      </c>
      <c r="G13" s="1587">
        <f t="shared" si="0"/>
        <v>301200</v>
      </c>
      <c r="H13" s="1587">
        <f t="shared" si="0"/>
        <v>0</v>
      </c>
      <c r="I13" s="1587">
        <f t="shared" si="0"/>
        <v>407592</v>
      </c>
      <c r="J13" s="1587">
        <f t="shared" si="0"/>
        <v>98779</v>
      </c>
      <c r="K13" s="1587">
        <f t="shared" si="0"/>
        <v>551942</v>
      </c>
      <c r="L13" s="1587">
        <f t="shared" si="0"/>
        <v>192688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144067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9067190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174406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6046281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15431944</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111869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111869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v>80819</v>
      </c>
      <c r="M38" s="1604"/>
      <c r="N38" s="1604"/>
    </row>
    <row r="39" spans="1:14" s="307" customFormat="1" ht="13.5" customHeight="1" x14ac:dyDescent="0.2">
      <c r="A39" s="438" t="s">
        <v>339</v>
      </c>
      <c r="B39" s="432">
        <v>730</v>
      </c>
      <c r="C39" s="1573">
        <v>2369194</v>
      </c>
      <c r="D39" s="1573">
        <v>113220</v>
      </c>
      <c r="E39" s="1573">
        <v>66400</v>
      </c>
      <c r="F39" s="1573">
        <v>305612</v>
      </c>
      <c r="G39" s="1573">
        <v>301200</v>
      </c>
      <c r="H39" s="1573"/>
      <c r="I39" s="1573">
        <v>407592</v>
      </c>
      <c r="J39" s="1574">
        <v>98779</v>
      </c>
      <c r="K39" s="1573">
        <v>551942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15431944</v>
      </c>
      <c r="N40" s="1604"/>
    </row>
    <row r="41" spans="1:14" ht="13.5" customHeight="1" thickBot="1" x14ac:dyDescent="0.25">
      <c r="A41" s="1426" t="s">
        <v>650</v>
      </c>
      <c r="B41" s="1405"/>
      <c r="C41" s="1594">
        <f>(SUM(C34,C37,C38,C39))</f>
        <v>2369194</v>
      </c>
      <c r="D41" s="1594">
        <f t="shared" ref="D41:L41" si="2">SUM(D34,D37,D38:D39)</f>
        <v>113220</v>
      </c>
      <c r="E41" s="1594">
        <f t="shared" si="2"/>
        <v>66400</v>
      </c>
      <c r="F41" s="1594">
        <f t="shared" si="2"/>
        <v>305612</v>
      </c>
      <c r="G41" s="1594">
        <f t="shared" si="2"/>
        <v>301200</v>
      </c>
      <c r="H41" s="1594">
        <f t="shared" si="2"/>
        <v>0</v>
      </c>
      <c r="I41" s="1594">
        <f t="shared" si="2"/>
        <v>407592</v>
      </c>
      <c r="J41" s="1594">
        <f t="shared" si="2"/>
        <v>98779</v>
      </c>
      <c r="K41" s="1594">
        <f t="shared" si="2"/>
        <v>551942</v>
      </c>
      <c r="L41" s="1594">
        <f t="shared" si="2"/>
        <v>192688</v>
      </c>
      <c r="M41" s="1594">
        <f>SUM(M40)</f>
        <v>15431944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42"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6052488</v>
      </c>
      <c r="D4" s="1606">
        <f>'Revenues 9-14'!D109</f>
        <v>705782</v>
      </c>
      <c r="E4" s="1606">
        <f>'Revenues 9-14'!E109</f>
        <v>621</v>
      </c>
      <c r="F4" s="1606">
        <f>'Revenues 9-14'!F109</f>
        <v>394849</v>
      </c>
      <c r="G4" s="1606">
        <f>'Revenues 9-14'!G109</f>
        <v>488838</v>
      </c>
      <c r="H4" s="1606">
        <f>'Revenues 9-14'!H109</f>
        <v>0</v>
      </c>
      <c r="I4" s="1606">
        <f>'Revenues 9-14'!I109</f>
        <v>126065</v>
      </c>
      <c r="J4" s="1606">
        <f>'Revenues 9-14'!J109</f>
        <v>795717</v>
      </c>
      <c r="K4" s="1606">
        <f>'Revenues 9-14'!K109</f>
        <v>128254</v>
      </c>
      <c r="L4" s="325"/>
    </row>
    <row r="5" spans="1:13" ht="15.75" customHeight="1" x14ac:dyDescent="0.2">
      <c r="A5" s="1314" t="s">
        <v>1483</v>
      </c>
      <c r="B5" s="1315">
        <v>2000</v>
      </c>
      <c r="C5" s="1607">
        <f>'Revenues 9-14'!C114</f>
        <v>29077</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2722387</v>
      </c>
      <c r="D6" s="1607">
        <f>'Revenues 9-14'!D170</f>
        <v>50000</v>
      </c>
      <c r="E6" s="1607">
        <f>'Revenues 9-14'!E170</f>
        <v>0</v>
      </c>
      <c r="F6" s="1607">
        <f>'Revenues 9-14'!F170</f>
        <v>210661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727231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9531183</v>
      </c>
      <c r="D8" s="1594">
        <f t="shared" ref="D8:K8" si="0">SUM(D4:D7)</f>
        <v>755782</v>
      </c>
      <c r="E8" s="1594">
        <f t="shared" si="0"/>
        <v>621</v>
      </c>
      <c r="F8" s="1594">
        <f t="shared" si="0"/>
        <v>605510</v>
      </c>
      <c r="G8" s="1594">
        <f t="shared" si="0"/>
        <v>488838</v>
      </c>
      <c r="H8" s="1594">
        <f t="shared" si="0"/>
        <v>0</v>
      </c>
      <c r="I8" s="1594">
        <f t="shared" si="0"/>
        <v>126065</v>
      </c>
      <c r="J8" s="1594">
        <f t="shared" si="0"/>
        <v>795717</v>
      </c>
      <c r="K8" s="1594">
        <f t="shared" si="0"/>
        <v>128254</v>
      </c>
      <c r="L8" s="325"/>
    </row>
    <row r="9" spans="1:13" ht="15.75" thickTop="1" x14ac:dyDescent="0.2">
      <c r="A9" s="449" t="s">
        <v>1634</v>
      </c>
      <c r="B9" s="450">
        <v>3998</v>
      </c>
      <c r="C9" s="1586">
        <v>4344980</v>
      </c>
      <c r="D9" s="1613"/>
      <c r="E9" s="1586"/>
      <c r="F9" s="1586"/>
      <c r="G9" s="1614"/>
      <c r="H9" s="1586"/>
      <c r="I9" s="1609" t="s">
        <v>1159</v>
      </c>
      <c r="J9" s="1583"/>
      <c r="K9" s="1586"/>
      <c r="L9" s="325"/>
    </row>
    <row r="10" spans="1:13" s="452" customFormat="1" ht="13.5" thickBot="1" x14ac:dyDescent="0.25">
      <c r="A10" s="1426" t="s">
        <v>1163</v>
      </c>
      <c r="B10" s="1407"/>
      <c r="C10" s="1594">
        <f>SUM(C8:C9)</f>
        <v>13876163</v>
      </c>
      <c r="D10" s="1594">
        <f t="shared" ref="D10:K10" si="1">SUM(D8:D9)</f>
        <v>755782</v>
      </c>
      <c r="E10" s="1594">
        <f t="shared" si="1"/>
        <v>621</v>
      </c>
      <c r="F10" s="1594">
        <f t="shared" si="1"/>
        <v>605510</v>
      </c>
      <c r="G10" s="1594">
        <f t="shared" si="1"/>
        <v>488838</v>
      </c>
      <c r="H10" s="1594">
        <f t="shared" si="1"/>
        <v>0</v>
      </c>
      <c r="I10" s="1594">
        <f t="shared" si="1"/>
        <v>126065</v>
      </c>
      <c r="J10" s="1594">
        <f t="shared" si="1"/>
        <v>795717</v>
      </c>
      <c r="K10" s="1594">
        <f t="shared" si="1"/>
        <v>128254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6289301</v>
      </c>
      <c r="D12" s="1616" t="s">
        <v>1159</v>
      </c>
      <c r="E12" s="1575" t="s">
        <v>1159</v>
      </c>
      <c r="F12" s="1575" t="s">
        <v>1159</v>
      </c>
      <c r="G12" s="1606">
        <f>'Expenditures 15-22'!K229</f>
        <v>194421</v>
      </c>
      <c r="H12" s="1617"/>
      <c r="I12" s="1575" t="s">
        <v>1159</v>
      </c>
      <c r="J12" s="1575" t="s">
        <v>1159</v>
      </c>
      <c r="K12" s="1617" t="s">
        <v>1159</v>
      </c>
      <c r="L12" s="325"/>
    </row>
    <row r="13" spans="1:13" ht="15.75" customHeight="1" x14ac:dyDescent="0.2">
      <c r="A13" s="1314" t="s">
        <v>454</v>
      </c>
      <c r="B13" s="1316">
        <v>2000</v>
      </c>
      <c r="C13" s="1607">
        <f>'Expenditures 15-22'!K74</f>
        <v>2192725</v>
      </c>
      <c r="D13" s="1607">
        <f>'Expenditures 15-22'!K129</f>
        <v>741346</v>
      </c>
      <c r="E13" s="1576" t="s">
        <v>1159</v>
      </c>
      <c r="F13" s="1607">
        <f>'Expenditures 15-22'!K184</f>
        <v>746004</v>
      </c>
      <c r="G13" s="1607">
        <f>'Expenditures 15-22'!K279</f>
        <v>245213</v>
      </c>
      <c r="H13" s="1607">
        <f>'Expenditures 15-22'!K303</f>
        <v>0</v>
      </c>
      <c r="I13" s="1575" t="s">
        <v>1159</v>
      </c>
      <c r="J13" s="1607">
        <f>'Expenditures 15-22'!K330</f>
        <v>859074</v>
      </c>
      <c r="K13" s="1618">
        <f>'Expenditures 15-22'!K352</f>
        <v>173556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352504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8834530</v>
      </c>
      <c r="D17" s="1594">
        <f t="shared" si="2"/>
        <v>741346</v>
      </c>
      <c r="E17" s="1594">
        <f t="shared" si="2"/>
        <v>0</v>
      </c>
      <c r="F17" s="1594">
        <f t="shared" si="2"/>
        <v>746004</v>
      </c>
      <c r="G17" s="1594">
        <f t="shared" si="2"/>
        <v>439634</v>
      </c>
      <c r="H17" s="1594">
        <f t="shared" si="2"/>
        <v>0</v>
      </c>
      <c r="I17" s="1575"/>
      <c r="J17" s="1594">
        <f>SUM(J12:J16)</f>
        <v>859074</v>
      </c>
      <c r="K17" s="1594">
        <f>SUM(K12:K16)</f>
        <v>173556</v>
      </c>
      <c r="L17" s="325"/>
    </row>
    <row r="18" spans="1:12" ht="15" customHeight="1" thickTop="1" x14ac:dyDescent="0.2">
      <c r="A18" s="1430" t="s">
        <v>1635</v>
      </c>
      <c r="B18" s="1431">
        <v>4180</v>
      </c>
      <c r="C18" s="1606">
        <f t="shared" ref="C18:H18" si="3">C9</f>
        <v>4344980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13179510</v>
      </c>
      <c r="D19" s="1594">
        <f t="shared" si="4"/>
        <v>741346</v>
      </c>
      <c r="E19" s="1594">
        <f t="shared" si="4"/>
        <v>0</v>
      </c>
      <c r="F19" s="1594">
        <f t="shared" si="4"/>
        <v>746004</v>
      </c>
      <c r="G19" s="1594">
        <f t="shared" si="4"/>
        <v>439634</v>
      </c>
      <c r="H19" s="1594">
        <f t="shared" si="4"/>
        <v>0</v>
      </c>
      <c r="I19" s="1575"/>
      <c r="J19" s="1594">
        <f>SUM(J17:J18)</f>
        <v>859074</v>
      </c>
      <c r="K19" s="1594">
        <f>SUM(K17:K18)</f>
        <v>173556</v>
      </c>
      <c r="L19" s="325"/>
    </row>
    <row r="20" spans="1:12" ht="16.5" thickTop="1" thickBot="1" x14ac:dyDescent="0.25">
      <c r="A20" s="2231" t="s">
        <v>1636</v>
      </c>
      <c r="B20" s="2232"/>
      <c r="C20" s="1622">
        <f>C8-C17</f>
        <v>696653</v>
      </c>
      <c r="D20" s="1622">
        <f t="shared" ref="D20:K20" si="5">D8-D17</f>
        <v>14436</v>
      </c>
      <c r="E20" s="1622">
        <f t="shared" si="5"/>
        <v>621</v>
      </c>
      <c r="F20" s="1622">
        <f t="shared" si="5"/>
        <v>-140494</v>
      </c>
      <c r="G20" s="1622">
        <f t="shared" si="5"/>
        <v>49204</v>
      </c>
      <c r="H20" s="1622">
        <f t="shared" si="5"/>
        <v>0</v>
      </c>
      <c r="I20" s="1622">
        <f t="shared" si="5"/>
        <v>126065</v>
      </c>
      <c r="J20" s="1622">
        <f t="shared" si="5"/>
        <v>-63357</v>
      </c>
      <c r="K20" s="1622">
        <f t="shared" si="5"/>
        <v>-45302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696653</v>
      </c>
      <c r="D78" s="1629">
        <f t="shared" si="9"/>
        <v>14436</v>
      </c>
      <c r="E78" s="1629">
        <f t="shared" si="9"/>
        <v>621</v>
      </c>
      <c r="F78" s="1629">
        <f t="shared" si="9"/>
        <v>-140494</v>
      </c>
      <c r="G78" s="1629">
        <f t="shared" si="9"/>
        <v>49204</v>
      </c>
      <c r="H78" s="1629">
        <f t="shared" si="9"/>
        <v>0</v>
      </c>
      <c r="I78" s="1629">
        <f t="shared" si="9"/>
        <v>126065</v>
      </c>
      <c r="J78" s="1629">
        <f t="shared" si="9"/>
        <v>-63357</v>
      </c>
      <c r="K78" s="1629">
        <f t="shared" si="9"/>
        <v>-45302</v>
      </c>
      <c r="L78" s="457"/>
    </row>
    <row r="79" spans="1:12" ht="13.5" thickTop="1" x14ac:dyDescent="0.2">
      <c r="A79" s="1844" t="str">
        <f>"Fund Balances - July 1, "&amp;'AFR20'!E2-1</f>
        <v>Fund Balances - July 1, 2019</v>
      </c>
      <c r="B79" s="458"/>
      <c r="C79" s="1583">
        <v>1672541</v>
      </c>
      <c r="D79" s="1630">
        <v>98784</v>
      </c>
      <c r="E79" s="1630">
        <v>65779</v>
      </c>
      <c r="F79" s="1630">
        <v>446106</v>
      </c>
      <c r="G79" s="1630">
        <v>251996</v>
      </c>
      <c r="H79" s="1630"/>
      <c r="I79" s="1630">
        <v>281527</v>
      </c>
      <c r="J79" s="1630">
        <v>162136</v>
      </c>
      <c r="K79" s="1630">
        <v>597244</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2369194</v>
      </c>
      <c r="D81" s="1594">
        <f>SUM(D78:D80)</f>
        <v>113220</v>
      </c>
      <c r="E81" s="1594">
        <f t="shared" ref="E81:K81" si="10">SUM(E78:E80)</f>
        <v>66400</v>
      </c>
      <c r="F81" s="1594">
        <f t="shared" si="10"/>
        <v>305612</v>
      </c>
      <c r="G81" s="1594">
        <f t="shared" si="10"/>
        <v>301200</v>
      </c>
      <c r="H81" s="1594">
        <f t="shared" si="10"/>
        <v>0</v>
      </c>
      <c r="I81" s="1594">
        <f t="shared" si="10"/>
        <v>407592</v>
      </c>
      <c r="J81" s="1594">
        <f t="shared" si="10"/>
        <v>98779</v>
      </c>
      <c r="K81" s="1594">
        <f t="shared" si="10"/>
        <v>551942</v>
      </c>
      <c r="L81" s="325"/>
    </row>
    <row r="82" spans="1:12" ht="0.75" customHeight="1" thickTop="1" thickBot="1" x14ac:dyDescent="0.25">
      <c r="A82" s="459" t="s">
        <v>340</v>
      </c>
      <c r="B82" s="460"/>
      <c r="C82" s="461">
        <f>(C81-C79)</f>
        <v>696653</v>
      </c>
      <c r="D82" s="461">
        <f t="shared" ref="D82:K82" si="11">(D81-D79)</f>
        <v>14436</v>
      </c>
      <c r="E82" s="461">
        <f t="shared" si="11"/>
        <v>621</v>
      </c>
      <c r="F82" s="461">
        <f t="shared" si="11"/>
        <v>-140494</v>
      </c>
      <c r="G82" s="461">
        <f t="shared" si="11"/>
        <v>49204</v>
      </c>
      <c r="H82" s="461">
        <f t="shared" si="11"/>
        <v>0</v>
      </c>
      <c r="I82" s="461">
        <f t="shared" si="11"/>
        <v>126065</v>
      </c>
      <c r="J82" s="461">
        <f t="shared" si="11"/>
        <v>-63357</v>
      </c>
      <c r="K82" s="461">
        <f t="shared" si="11"/>
        <v>-45302</v>
      </c>
    </row>
    <row r="83" spans="1:12" ht="14.25" hidden="1" thickTop="1" thickBot="1" x14ac:dyDescent="0.25">
      <c r="A83" s="462" t="s">
        <v>341</v>
      </c>
      <c r="B83" s="428"/>
      <c r="C83" s="463">
        <f>C82/C81</f>
        <v>0.29404641409694604</v>
      </c>
      <c r="D83" s="463">
        <f t="shared" ref="D83:K83" si="12">D82/D81</f>
        <v>0.12750397456279811</v>
      </c>
      <c r="E83" s="463">
        <f t="shared" si="12"/>
        <v>9.3524096385542172E-3</v>
      </c>
      <c r="F83" s="463">
        <f t="shared" si="12"/>
        <v>-0.45971362381058334</v>
      </c>
      <c r="G83" s="463">
        <f t="shared" si="12"/>
        <v>0.16335989375830012</v>
      </c>
      <c r="H83" s="463" t="e">
        <f t="shared" si="12"/>
        <v>#DIV/0!</v>
      </c>
      <c r="I83" s="463">
        <f t="shared" si="12"/>
        <v>0.30929213527252741</v>
      </c>
      <c r="J83" s="463">
        <f t="shared" si="12"/>
        <v>-0.64140151246722477</v>
      </c>
      <c r="K83" s="463">
        <f t="shared" si="12"/>
        <v>-8.2077464661141936E-2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5165733</v>
      </c>
      <c r="D5" s="1586">
        <v>614968</v>
      </c>
      <c r="E5" s="1573"/>
      <c r="F5" s="1631">
        <v>295185</v>
      </c>
      <c r="G5" s="1573"/>
      <c r="H5" s="1573"/>
      <c r="I5" s="1573">
        <v>122993</v>
      </c>
      <c r="J5" s="1574">
        <v>792737</v>
      </c>
      <c r="K5" s="1573">
        <v>122993</v>
      </c>
    </row>
    <row r="6" spans="1:12" ht="15" x14ac:dyDescent="0.2">
      <c r="A6" s="427" t="s">
        <v>1643</v>
      </c>
      <c r="B6" s="429">
        <v>1130</v>
      </c>
      <c r="C6" s="1573">
        <v>122993</v>
      </c>
      <c r="D6" s="1573"/>
      <c r="E6" s="1580"/>
      <c r="F6" s="1580"/>
      <c r="G6" s="1575"/>
      <c r="H6" s="1575"/>
      <c r="I6" s="1575"/>
      <c r="J6" s="1575"/>
      <c r="K6" s="1575"/>
    </row>
    <row r="7" spans="1:12" x14ac:dyDescent="0.2">
      <c r="A7" s="427" t="s">
        <v>110</v>
      </c>
      <c r="B7" s="471">
        <v>1140</v>
      </c>
      <c r="C7" s="1573">
        <v>49197</v>
      </c>
      <c r="D7" s="1573"/>
      <c r="E7" s="1575"/>
      <c r="F7" s="1574"/>
      <c r="G7" s="1574"/>
      <c r="H7" s="1574"/>
      <c r="I7" s="1575"/>
      <c r="J7" s="1575"/>
      <c r="K7" s="1575"/>
    </row>
    <row r="8" spans="1:12" x14ac:dyDescent="0.2">
      <c r="A8" s="427" t="s">
        <v>410</v>
      </c>
      <c r="B8" s="429">
        <v>1150</v>
      </c>
      <c r="C8" s="1580"/>
      <c r="D8" s="1580"/>
      <c r="E8" s="1582"/>
      <c r="F8" s="1582"/>
      <c r="G8" s="1586">
        <v>473094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5337923</v>
      </c>
      <c r="D12" s="1633">
        <f t="shared" si="0"/>
        <v>614968</v>
      </c>
      <c r="E12" s="1633">
        <f t="shared" si="0"/>
        <v>0</v>
      </c>
      <c r="F12" s="1633">
        <f t="shared" si="0"/>
        <v>295185</v>
      </c>
      <c r="G12" s="1633">
        <f t="shared" si="0"/>
        <v>473094</v>
      </c>
      <c r="H12" s="1633">
        <f t="shared" si="0"/>
        <v>0</v>
      </c>
      <c r="I12" s="1633">
        <f t="shared" si="0"/>
        <v>122993</v>
      </c>
      <c r="J12" s="1633">
        <f t="shared" si="0"/>
        <v>792737</v>
      </c>
      <c r="K12" s="1594">
        <f t="shared" si="0"/>
        <v>122993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13085</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330773</v>
      </c>
      <c r="D16" s="1573"/>
      <c r="E16" s="1573"/>
      <c r="F16" s="1573"/>
      <c r="G16" s="1573">
        <v>12146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343858</v>
      </c>
      <c r="D18" s="1635">
        <f t="shared" ref="D18:K18" si="1">SUM(D14:D17)</f>
        <v>0</v>
      </c>
      <c r="E18" s="1635">
        <f t="shared" si="1"/>
        <v>0</v>
      </c>
      <c r="F18" s="1635">
        <f t="shared" si="1"/>
        <v>0</v>
      </c>
      <c r="G18" s="1635">
        <f t="shared" si="1"/>
        <v>12146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57708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57708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700</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400</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79511</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80611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28067</v>
      </c>
      <c r="D65" s="1573">
        <v>2067</v>
      </c>
      <c r="E65" s="1573">
        <v>621</v>
      </c>
      <c r="F65" s="1574">
        <v>3483</v>
      </c>
      <c r="G65" s="1573">
        <v>3598</v>
      </c>
      <c r="H65" s="1573"/>
      <c r="I65" s="1573">
        <v>3072</v>
      </c>
      <c r="J65" s="1574">
        <v>2980</v>
      </c>
      <c r="K65" s="1573">
        <v>5261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28067</v>
      </c>
      <c r="D67" s="1594">
        <f t="shared" ref="D67:K67" si="2">SUM(D65:D66)</f>
        <v>2067</v>
      </c>
      <c r="E67" s="1594">
        <f t="shared" si="2"/>
        <v>621</v>
      </c>
      <c r="F67" s="1594">
        <f t="shared" si="2"/>
        <v>3483</v>
      </c>
      <c r="G67" s="1594">
        <f t="shared" si="2"/>
        <v>3598</v>
      </c>
      <c r="H67" s="1594">
        <f t="shared" si="2"/>
        <v>0</v>
      </c>
      <c r="I67" s="1594">
        <f t="shared" si="2"/>
        <v>3072</v>
      </c>
      <c r="J67" s="1594">
        <f t="shared" si="2"/>
        <v>2980</v>
      </c>
      <c r="K67" s="1594">
        <f t="shared" si="2"/>
        <v>5261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136249</v>
      </c>
      <c r="D69" s="1575"/>
      <c r="E69" s="1575"/>
      <c r="F69" s="1575"/>
      <c r="G69" s="1575"/>
      <c r="H69" s="1575"/>
      <c r="I69" s="1575"/>
      <c r="J69" s="1575"/>
      <c r="K69" s="1575"/>
    </row>
    <row r="70" spans="1:11" ht="12.75" customHeight="1" x14ac:dyDescent="0.2">
      <c r="A70" s="427" t="s">
        <v>990</v>
      </c>
      <c r="B70" s="429">
        <v>1612</v>
      </c>
      <c r="C70" s="1632">
        <v>12723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v>39055</v>
      </c>
      <c r="D74" s="1575"/>
      <c r="E74" s="1575"/>
      <c r="F74" s="1575"/>
      <c r="G74" s="1575"/>
      <c r="H74" s="1575"/>
      <c r="I74" s="1575"/>
      <c r="J74" s="1575"/>
      <c r="K74" s="1575"/>
    </row>
    <row r="75" spans="1:11" ht="12.75" customHeight="1" thickBot="1" x14ac:dyDescent="0.25">
      <c r="A75" s="1406" t="s">
        <v>544</v>
      </c>
      <c r="B75" s="1407"/>
      <c r="C75" s="1594">
        <f>SUM(C69:C74)</f>
        <v>188027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11012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24634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35646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24635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24635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80116</v>
      </c>
      <c r="E95" s="1617"/>
      <c r="F95" s="1617"/>
      <c r="G95" s="1617"/>
      <c r="H95" s="1617"/>
      <c r="I95" s="1617"/>
      <c r="J95" s="1617"/>
      <c r="K95" s="1617"/>
    </row>
    <row r="96" spans="1:11" ht="12.75" customHeight="1" x14ac:dyDescent="0.2">
      <c r="A96" s="427" t="s">
        <v>388</v>
      </c>
      <c r="B96" s="429">
        <v>1920</v>
      </c>
      <c r="C96" s="1632">
        <v>19313</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9980</v>
      </c>
      <c r="D98" s="1573"/>
      <c r="E98" s="1612"/>
      <c r="F98" s="1573">
        <v>669</v>
      </c>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3522</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560</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3099</v>
      </c>
      <c r="D106" s="1598">
        <v>8071</v>
      </c>
      <c r="E106" s="1574"/>
      <c r="F106" s="1574"/>
      <c r="G106" s="1574"/>
      <c r="H106" s="1574"/>
      <c r="I106" s="1617"/>
      <c r="J106" s="1574"/>
      <c r="K106" s="1574"/>
    </row>
    <row r="107" spans="1:12" ht="12.75" customHeight="1" x14ac:dyDescent="0.2">
      <c r="A107" s="427" t="s">
        <v>78</v>
      </c>
      <c r="B107" s="429">
        <v>1999</v>
      </c>
      <c r="C107" s="1632">
        <v>710</v>
      </c>
      <c r="D107" s="1573"/>
      <c r="E107" s="1573"/>
      <c r="F107" s="1573">
        <v>14901</v>
      </c>
      <c r="G107" s="1573"/>
      <c r="H107" s="1573"/>
      <c r="I107" s="1573"/>
      <c r="J107" s="1574"/>
      <c r="K107" s="1573"/>
    </row>
    <row r="108" spans="1:12" ht="12.75" customHeight="1" thickBot="1" x14ac:dyDescent="0.25">
      <c r="A108" s="1406" t="s">
        <v>484</v>
      </c>
      <c r="B108" s="1408"/>
      <c r="C108" s="1633">
        <f>SUM(C95:C107)</f>
        <v>36624</v>
      </c>
      <c r="D108" s="1633">
        <f t="shared" ref="D108:K108" si="3">SUM(D95:D107)</f>
        <v>88747</v>
      </c>
      <c r="E108" s="1633">
        <f t="shared" si="3"/>
        <v>0</v>
      </c>
      <c r="F108" s="1633">
        <f t="shared" si="3"/>
        <v>15570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6052488</v>
      </c>
      <c r="D109" s="1641">
        <f t="shared" si="4"/>
        <v>705782</v>
      </c>
      <c r="E109" s="1641">
        <f t="shared" si="4"/>
        <v>621</v>
      </c>
      <c r="F109" s="1641">
        <f t="shared" si="4"/>
        <v>394849</v>
      </c>
      <c r="G109" s="1641">
        <f t="shared" si="4"/>
        <v>488838</v>
      </c>
      <c r="H109" s="1641">
        <f t="shared" si="4"/>
        <v>0</v>
      </c>
      <c r="I109" s="1641">
        <f t="shared" si="4"/>
        <v>126065</v>
      </c>
      <c r="J109" s="1641">
        <f t="shared" si="4"/>
        <v>795717</v>
      </c>
      <c r="K109" s="1629">
        <f t="shared" si="4"/>
        <v>128254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29077</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29077</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1861512</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1861512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67970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105899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173869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3101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7869</v>
      </c>
      <c r="G152" s="1574"/>
      <c r="H152" s="1575"/>
      <c r="I152" s="1575"/>
      <c r="J152" s="1575"/>
      <c r="K152" s="1575"/>
    </row>
    <row r="153" spans="1:11" ht="12.75" customHeight="1" x14ac:dyDescent="0.2">
      <c r="A153" s="427" t="s">
        <v>1048</v>
      </c>
      <c r="B153" s="478">
        <v>3510</v>
      </c>
      <c r="C153" s="1632"/>
      <c r="D153" s="1573"/>
      <c r="E153" s="1640"/>
      <c r="F153" s="1573">
        <v>202792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210661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683905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860875</v>
      </c>
      <c r="D169" s="1658">
        <f t="shared" si="6"/>
        <v>50000</v>
      </c>
      <c r="E169" s="1658">
        <f t="shared" si="6"/>
        <v>0</v>
      </c>
      <c r="F169" s="1658">
        <f t="shared" si="6"/>
        <v>210661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2722387</v>
      </c>
      <c r="D170" s="1641">
        <f t="shared" si="7"/>
        <v>50000</v>
      </c>
      <c r="E170" s="1641">
        <f t="shared" si="7"/>
        <v>0</v>
      </c>
      <c r="F170" s="1641">
        <f t="shared" si="7"/>
        <v>210661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10000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10000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164185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44419</v>
      </c>
      <c r="D193" s="1575"/>
      <c r="E193" s="1640"/>
      <c r="F193" s="1575"/>
      <c r="G193" s="1664"/>
      <c r="H193" s="1575"/>
      <c r="I193" s="1575"/>
      <c r="J193" s="1575"/>
      <c r="K193" s="1575"/>
    </row>
    <row r="194" spans="1:11" ht="12.75" customHeight="1" x14ac:dyDescent="0.2">
      <c r="A194" s="427" t="s">
        <v>1434</v>
      </c>
      <c r="B194" s="429">
        <v>4225</v>
      </c>
      <c r="C194" s="1632">
        <v>31541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240145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277914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277914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32816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32816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11496</v>
      </c>
      <c r="D214" s="1573"/>
      <c r="E214" s="1575"/>
      <c r="F214" s="1573"/>
      <c r="G214" s="1573"/>
      <c r="H214" s="1575"/>
      <c r="I214" s="1575"/>
      <c r="J214" s="1575"/>
      <c r="K214" s="1575"/>
    </row>
    <row r="215" spans="1:11" ht="12.75" customHeight="1" x14ac:dyDescent="0.2">
      <c r="A215" s="427" t="s">
        <v>1046</v>
      </c>
      <c r="B215" s="429">
        <v>4630</v>
      </c>
      <c r="C215" s="1632">
        <v>849</v>
      </c>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12345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36653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17433</v>
      </c>
      <c r="D263" s="1651"/>
      <c r="E263" s="1575"/>
      <c r="F263" s="1651"/>
      <c r="G263" s="1651"/>
      <c r="H263" s="1575"/>
      <c r="I263" s="1575"/>
      <c r="J263" s="1575"/>
      <c r="K263" s="1575"/>
    </row>
    <row r="264" spans="1:11" ht="12.75" customHeight="1" thickTop="1" thickBot="1" x14ac:dyDescent="0.25">
      <c r="A264" s="427" t="s">
        <v>374</v>
      </c>
      <c r="B264" s="429">
        <v>4992</v>
      </c>
      <c r="C264" s="1650">
        <v>99925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727231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727231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9531183</v>
      </c>
      <c r="D268" s="1641">
        <f t="shared" si="12"/>
        <v>755782</v>
      </c>
      <c r="E268" s="1641">
        <f t="shared" si="12"/>
        <v>621</v>
      </c>
      <c r="F268" s="1641">
        <f t="shared" si="12"/>
        <v>605510</v>
      </c>
      <c r="G268" s="1641">
        <f t="shared" si="12"/>
        <v>488838</v>
      </c>
      <c r="H268" s="1641">
        <f t="shared" si="12"/>
        <v>0</v>
      </c>
      <c r="I268" s="1641">
        <f t="shared" si="12"/>
        <v>126065</v>
      </c>
      <c r="J268" s="1641">
        <f t="shared" si="12"/>
        <v>795717</v>
      </c>
      <c r="K268" s="1629">
        <f t="shared" si="12"/>
        <v>128254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36" activePane="bottomLeft" state="frozen"/>
      <selection pane="bottomLeft" activeCell="G349" sqref="G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2402330</v>
      </c>
      <c r="D5" s="1573">
        <v>764790</v>
      </c>
      <c r="E5" s="1573">
        <v>50217</v>
      </c>
      <c r="F5" s="1573">
        <v>138777</v>
      </c>
      <c r="G5" s="1573"/>
      <c r="H5" s="1573"/>
      <c r="I5" s="1574"/>
      <c r="J5" s="1574"/>
      <c r="K5" s="1672">
        <f>SUM(C5:J5)</f>
        <v>3356114</v>
      </c>
      <c r="L5" s="1573">
        <v>3529619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520482</v>
      </c>
      <c r="D7" s="1574">
        <v>111088</v>
      </c>
      <c r="E7" s="1574">
        <v>53310</v>
      </c>
      <c r="F7" s="1574">
        <v>13996</v>
      </c>
      <c r="G7" s="1574"/>
      <c r="H7" s="1574"/>
      <c r="I7" s="1574"/>
      <c r="J7" s="1574"/>
      <c r="K7" s="1672">
        <f t="shared" ref="K7:K32" si="0">SUM(C7:J7)</f>
        <v>698876</v>
      </c>
      <c r="L7" s="1573">
        <v>750613</v>
      </c>
    </row>
    <row r="8" spans="1:14" x14ac:dyDescent="0.2">
      <c r="A8" s="1274" t="s">
        <v>163</v>
      </c>
      <c r="B8" s="503">
        <v>1200</v>
      </c>
      <c r="C8" s="1573">
        <v>1003647</v>
      </c>
      <c r="D8" s="1573">
        <v>195228</v>
      </c>
      <c r="E8" s="1573">
        <v>6647</v>
      </c>
      <c r="F8" s="1573"/>
      <c r="G8" s="1573"/>
      <c r="H8" s="1573"/>
      <c r="I8" s="1574"/>
      <c r="J8" s="1574"/>
      <c r="K8" s="1672">
        <f t="shared" si="0"/>
        <v>1205522</v>
      </c>
      <c r="L8" s="1573">
        <v>1532770</v>
      </c>
    </row>
    <row r="9" spans="1:14" x14ac:dyDescent="0.2">
      <c r="A9" s="1274" t="s">
        <v>716</v>
      </c>
      <c r="B9" s="503" t="s">
        <v>962</v>
      </c>
      <c r="C9" s="1574">
        <v>46369</v>
      </c>
      <c r="D9" s="1574">
        <v>12504</v>
      </c>
      <c r="E9" s="1574"/>
      <c r="F9" s="1574"/>
      <c r="G9" s="1574"/>
      <c r="H9" s="1574"/>
      <c r="I9" s="1574"/>
      <c r="J9" s="1574"/>
      <c r="K9" s="1672">
        <f t="shared" si="0"/>
        <v>58873</v>
      </c>
      <c r="L9" s="1573">
        <v>65250</v>
      </c>
    </row>
    <row r="10" spans="1:14" x14ac:dyDescent="0.2">
      <c r="A10" s="1274" t="s">
        <v>717</v>
      </c>
      <c r="B10" s="503">
        <v>1250</v>
      </c>
      <c r="C10" s="1573">
        <v>232547</v>
      </c>
      <c r="D10" s="1573">
        <v>77257</v>
      </c>
      <c r="E10" s="1573">
        <v>17918</v>
      </c>
      <c r="F10" s="1573">
        <v>39380</v>
      </c>
      <c r="G10" s="1573"/>
      <c r="H10" s="1573"/>
      <c r="I10" s="1574"/>
      <c r="J10" s="1574"/>
      <c r="K10" s="1672">
        <f t="shared" si="0"/>
        <v>367102</v>
      </c>
      <c r="L10" s="1573">
        <v>376547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v>25</v>
      </c>
      <c r="F12" s="1573">
        <v>12395</v>
      </c>
      <c r="G12" s="1573"/>
      <c r="H12" s="1573"/>
      <c r="I12" s="1574"/>
      <c r="J12" s="1574"/>
      <c r="K12" s="1672">
        <f t="shared" si="0"/>
        <v>12420</v>
      </c>
      <c r="L12" s="1573">
        <v>5706</v>
      </c>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245133</v>
      </c>
      <c r="D14" s="1573">
        <v>58050</v>
      </c>
      <c r="E14" s="1573">
        <v>5245</v>
      </c>
      <c r="F14" s="1573">
        <v>14667</v>
      </c>
      <c r="G14" s="1573">
        <v>3456</v>
      </c>
      <c r="H14" s="1573">
        <v>2693</v>
      </c>
      <c r="I14" s="1574"/>
      <c r="J14" s="1574"/>
      <c r="K14" s="1672">
        <f t="shared" si="0"/>
        <v>329244</v>
      </c>
      <c r="L14" s="1573">
        <v>343611</v>
      </c>
    </row>
    <row r="15" spans="1:14" x14ac:dyDescent="0.2">
      <c r="A15" s="1274" t="s">
        <v>958</v>
      </c>
      <c r="B15" s="503">
        <v>1600</v>
      </c>
      <c r="C15" s="1573">
        <v>7124</v>
      </c>
      <c r="D15" s="1573">
        <v>651</v>
      </c>
      <c r="E15" s="1573"/>
      <c r="F15" s="1573"/>
      <c r="G15" s="1573"/>
      <c r="H15" s="1573"/>
      <c r="I15" s="1574"/>
      <c r="J15" s="1574"/>
      <c r="K15" s="1672">
        <f t="shared" si="0"/>
        <v>7775</v>
      </c>
      <c r="L15" s="1573">
        <v>7903</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253375</v>
      </c>
      <c r="I22" s="1673"/>
      <c r="J22" s="1582"/>
      <c r="K22" s="1672">
        <f t="shared" si="0"/>
        <v>253375</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4457632</v>
      </c>
      <c r="D33" s="1674">
        <f t="shared" ref="D33:L33" si="1">SUM(D5:D32)</f>
        <v>1219568</v>
      </c>
      <c r="E33" s="1674">
        <f t="shared" si="1"/>
        <v>133362</v>
      </c>
      <c r="F33" s="1674">
        <f t="shared" si="1"/>
        <v>219215</v>
      </c>
      <c r="G33" s="1674">
        <f t="shared" si="1"/>
        <v>3456</v>
      </c>
      <c r="H33" s="1674">
        <f t="shared" si="1"/>
        <v>256068</v>
      </c>
      <c r="I33" s="1674">
        <f t="shared" si="1"/>
        <v>0</v>
      </c>
      <c r="J33" s="1674">
        <f t="shared" si="1"/>
        <v>0</v>
      </c>
      <c r="K33" s="1674">
        <f t="shared" si="1"/>
        <v>6289301</v>
      </c>
      <c r="L33" s="1674">
        <f t="shared" si="1"/>
        <v>6612019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124650</v>
      </c>
      <c r="D37" s="1573">
        <v>11102</v>
      </c>
      <c r="E37" s="1573"/>
      <c r="F37" s="1573">
        <v>526</v>
      </c>
      <c r="G37" s="1573"/>
      <c r="H37" s="1573"/>
      <c r="I37" s="1574"/>
      <c r="J37" s="1574"/>
      <c r="K37" s="1672">
        <f t="shared" si="2"/>
        <v>136278</v>
      </c>
      <c r="L37" s="1573">
        <v>146462</v>
      </c>
    </row>
    <row r="38" spans="1:14" x14ac:dyDescent="0.2">
      <c r="A38" s="1274" t="s">
        <v>196</v>
      </c>
      <c r="B38" s="503">
        <v>2130</v>
      </c>
      <c r="C38" s="1573">
        <v>33689</v>
      </c>
      <c r="D38" s="1573">
        <v>13256</v>
      </c>
      <c r="E38" s="1573">
        <v>21376</v>
      </c>
      <c r="F38" s="1573">
        <v>200</v>
      </c>
      <c r="G38" s="1573"/>
      <c r="H38" s="1573"/>
      <c r="I38" s="1574"/>
      <c r="J38" s="1574"/>
      <c r="K38" s="1672">
        <f t="shared" si="2"/>
        <v>68521</v>
      </c>
      <c r="L38" s="1573">
        <v>55800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142501</v>
      </c>
      <c r="D40" s="1573">
        <v>47935</v>
      </c>
      <c r="E40" s="1573">
        <v>62959</v>
      </c>
      <c r="F40" s="1573">
        <v>160</v>
      </c>
      <c r="G40" s="1573"/>
      <c r="H40" s="1573"/>
      <c r="I40" s="1574"/>
      <c r="J40" s="1574"/>
      <c r="K40" s="1672">
        <f t="shared" si="2"/>
        <v>253555</v>
      </c>
      <c r="L40" s="1573">
        <v>230987</v>
      </c>
    </row>
    <row r="41" spans="1:14" x14ac:dyDescent="0.2">
      <c r="A41" s="1274" t="s">
        <v>1650</v>
      </c>
      <c r="B41" s="503">
        <v>2190</v>
      </c>
      <c r="C41" s="1573">
        <v>15479</v>
      </c>
      <c r="D41" s="1573">
        <v>828</v>
      </c>
      <c r="E41" s="1573"/>
      <c r="F41" s="1573"/>
      <c r="G41" s="1573"/>
      <c r="H41" s="1573"/>
      <c r="I41" s="1574"/>
      <c r="J41" s="1574"/>
      <c r="K41" s="1672">
        <f t="shared" si="2"/>
        <v>16307</v>
      </c>
      <c r="L41" s="1573">
        <v>40980</v>
      </c>
    </row>
    <row r="42" spans="1:14" ht="12.75" customHeight="1" thickBot="1" x14ac:dyDescent="0.25">
      <c r="A42" s="1380" t="s">
        <v>556</v>
      </c>
      <c r="B42" s="1381" t="s">
        <v>711</v>
      </c>
      <c r="C42" s="1674">
        <f>SUM(C36:C41)</f>
        <v>316319</v>
      </c>
      <c r="D42" s="1674">
        <f t="shared" ref="D42:L42" si="3">SUM(D36:D41)</f>
        <v>73121</v>
      </c>
      <c r="E42" s="1674">
        <f t="shared" si="3"/>
        <v>84335</v>
      </c>
      <c r="F42" s="1674">
        <f t="shared" si="3"/>
        <v>886</v>
      </c>
      <c r="G42" s="1674">
        <f t="shared" si="3"/>
        <v>0</v>
      </c>
      <c r="H42" s="1674">
        <f t="shared" si="3"/>
        <v>0</v>
      </c>
      <c r="I42" s="1674">
        <f t="shared" si="3"/>
        <v>0</v>
      </c>
      <c r="J42" s="1674">
        <f t="shared" si="3"/>
        <v>0</v>
      </c>
      <c r="K42" s="1674">
        <f t="shared" si="3"/>
        <v>474661</v>
      </c>
      <c r="L42" s="1674">
        <f t="shared" si="3"/>
        <v>474229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179743</v>
      </c>
      <c r="D45" s="1573">
        <v>14962</v>
      </c>
      <c r="E45" s="1573">
        <v>41995</v>
      </c>
      <c r="F45" s="1573">
        <v>51222</v>
      </c>
      <c r="G45" s="1573">
        <v>132672</v>
      </c>
      <c r="H45" s="1573"/>
      <c r="I45" s="1574"/>
      <c r="J45" s="1574"/>
      <c r="K45" s="1678">
        <f>SUM(C45:J45)</f>
        <v>420594</v>
      </c>
      <c r="L45" s="1573">
        <v>416878</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179743</v>
      </c>
      <c r="D47" s="1674">
        <f t="shared" ref="D47:K47" si="4">SUM(D44:D46)</f>
        <v>14962</v>
      </c>
      <c r="E47" s="1674">
        <f t="shared" si="4"/>
        <v>41995</v>
      </c>
      <c r="F47" s="1674">
        <f t="shared" si="4"/>
        <v>51222</v>
      </c>
      <c r="G47" s="1674">
        <f t="shared" si="4"/>
        <v>132672</v>
      </c>
      <c r="H47" s="1674">
        <f t="shared" si="4"/>
        <v>0</v>
      </c>
      <c r="I47" s="1674">
        <f t="shared" si="4"/>
        <v>0</v>
      </c>
      <c r="J47" s="1674">
        <f t="shared" si="4"/>
        <v>0</v>
      </c>
      <c r="K47" s="1674">
        <f t="shared" si="4"/>
        <v>420594</v>
      </c>
      <c r="L47" s="1674">
        <f>SUM(L44:L46)</f>
        <v>416878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63326</v>
      </c>
      <c r="F49" s="1586">
        <v>1613</v>
      </c>
      <c r="G49" s="1586"/>
      <c r="H49" s="1586">
        <v>4678</v>
      </c>
      <c r="I49" s="1574"/>
      <c r="J49" s="1574"/>
      <c r="K49" s="1678">
        <f>SUM(C49:J49)</f>
        <v>69617</v>
      </c>
      <c r="L49" s="1586">
        <v>95144</v>
      </c>
    </row>
    <row r="50" spans="1:14" x14ac:dyDescent="0.2">
      <c r="A50" s="1274" t="s">
        <v>813</v>
      </c>
      <c r="B50" s="503">
        <v>2320</v>
      </c>
      <c r="C50" s="1573">
        <v>167269</v>
      </c>
      <c r="D50" s="1573">
        <v>48580</v>
      </c>
      <c r="E50" s="1573">
        <v>1937</v>
      </c>
      <c r="F50" s="1573">
        <v>3656</v>
      </c>
      <c r="G50" s="1573"/>
      <c r="H50" s="1573">
        <v>1793</v>
      </c>
      <c r="I50" s="1574"/>
      <c r="J50" s="1574"/>
      <c r="K50" s="1678">
        <f>SUM(C50:J50)</f>
        <v>223235</v>
      </c>
      <c r="L50" s="1573">
        <v>206052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167269</v>
      </c>
      <c r="D53" s="1674">
        <f t="shared" ref="D53:L53" si="5">SUM(D49:D52)</f>
        <v>48580</v>
      </c>
      <c r="E53" s="1674">
        <f t="shared" si="5"/>
        <v>65263</v>
      </c>
      <c r="F53" s="1674">
        <f t="shared" si="5"/>
        <v>5269</v>
      </c>
      <c r="G53" s="1674">
        <f t="shared" si="5"/>
        <v>0</v>
      </c>
      <c r="H53" s="1674">
        <f t="shared" si="5"/>
        <v>6471</v>
      </c>
      <c r="I53" s="1674">
        <f t="shared" si="5"/>
        <v>0</v>
      </c>
      <c r="J53" s="1674">
        <f t="shared" si="5"/>
        <v>0</v>
      </c>
      <c r="K53" s="1674">
        <f t="shared" si="5"/>
        <v>292852</v>
      </c>
      <c r="L53" s="1674">
        <f t="shared" si="5"/>
        <v>301196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419447</v>
      </c>
      <c r="D55" s="1586">
        <v>98252</v>
      </c>
      <c r="E55" s="1586">
        <v>5938</v>
      </c>
      <c r="F55" s="1586">
        <v>5650</v>
      </c>
      <c r="G55" s="1586"/>
      <c r="H55" s="1586">
        <v>1874</v>
      </c>
      <c r="I55" s="1574"/>
      <c r="J55" s="1574"/>
      <c r="K55" s="1678">
        <f>SUM(C55:J55)</f>
        <v>531161</v>
      </c>
      <c r="L55" s="1586">
        <v>545302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419447</v>
      </c>
      <c r="D57" s="1679">
        <f t="shared" ref="D57:K57" si="6">SUM(D55:D56)</f>
        <v>98252</v>
      </c>
      <c r="E57" s="1679">
        <f t="shared" si="6"/>
        <v>5938</v>
      </c>
      <c r="F57" s="1679">
        <f t="shared" si="6"/>
        <v>5650</v>
      </c>
      <c r="G57" s="1679">
        <f t="shared" si="6"/>
        <v>0</v>
      </c>
      <c r="H57" s="1679">
        <f t="shared" si="6"/>
        <v>1874</v>
      </c>
      <c r="I57" s="1679">
        <f t="shared" si="6"/>
        <v>0</v>
      </c>
      <c r="J57" s="1679">
        <f t="shared" si="6"/>
        <v>0</v>
      </c>
      <c r="K57" s="1679">
        <f t="shared" si="6"/>
        <v>531161</v>
      </c>
      <c r="L57" s="1674">
        <f>SUM(L55:L56)</f>
        <v>545302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72070</v>
      </c>
      <c r="D60" s="1573">
        <v>17138</v>
      </c>
      <c r="E60" s="1573">
        <v>7848</v>
      </c>
      <c r="F60" s="1573">
        <v>2002</v>
      </c>
      <c r="G60" s="1573"/>
      <c r="H60" s="1573"/>
      <c r="I60" s="1574"/>
      <c r="J60" s="1574"/>
      <c r="K60" s="1678">
        <f t="shared" si="7"/>
        <v>99058</v>
      </c>
      <c r="L60" s="1573">
        <v>106206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151644</v>
      </c>
      <c r="D63" s="1573">
        <v>1728</v>
      </c>
      <c r="E63" s="1573">
        <v>2839</v>
      </c>
      <c r="F63" s="1573">
        <v>217780</v>
      </c>
      <c r="G63" s="1573"/>
      <c r="H63" s="1573">
        <v>408</v>
      </c>
      <c r="I63" s="1574"/>
      <c r="J63" s="1574"/>
      <c r="K63" s="1678">
        <f t="shared" si="7"/>
        <v>374399</v>
      </c>
      <c r="L63" s="1573">
        <v>452600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223714</v>
      </c>
      <c r="D65" s="1674">
        <f t="shared" ref="D65:L65" si="8">SUM(D59:D64)</f>
        <v>18866</v>
      </c>
      <c r="E65" s="1674">
        <f t="shared" si="8"/>
        <v>10687</v>
      </c>
      <c r="F65" s="1674">
        <f t="shared" si="8"/>
        <v>219782</v>
      </c>
      <c r="G65" s="1674">
        <f t="shared" si="8"/>
        <v>0</v>
      </c>
      <c r="H65" s="1674">
        <f t="shared" si="8"/>
        <v>408</v>
      </c>
      <c r="I65" s="1674">
        <f t="shared" si="8"/>
        <v>0</v>
      </c>
      <c r="J65" s="1674">
        <f t="shared" si="8"/>
        <v>0</v>
      </c>
      <c r="K65" s="1674">
        <f t="shared" si="8"/>
        <v>473457</v>
      </c>
      <c r="L65" s="1674">
        <f t="shared" si="8"/>
        <v>558806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1306492</v>
      </c>
      <c r="D74" s="1681">
        <f t="shared" ref="D74:K74" si="10">SUM(D42,D47,D53,D57,D65,D72,D73)</f>
        <v>253781</v>
      </c>
      <c r="E74" s="1681">
        <f t="shared" si="10"/>
        <v>208218</v>
      </c>
      <c r="F74" s="1681">
        <f t="shared" si="10"/>
        <v>282809</v>
      </c>
      <c r="G74" s="1681">
        <f t="shared" si="10"/>
        <v>132672</v>
      </c>
      <c r="H74" s="1681">
        <f t="shared" si="10"/>
        <v>8753</v>
      </c>
      <c r="I74" s="1681">
        <f t="shared" si="10"/>
        <v>0</v>
      </c>
      <c r="J74" s="1681">
        <f t="shared" si="10"/>
        <v>0</v>
      </c>
      <c r="K74" s="1681">
        <f t="shared" si="10"/>
        <v>2192725</v>
      </c>
      <c r="L74" s="1681">
        <f>SUM(L42,L47,L53,L57,L65,L72,L73)</f>
        <v>2296411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20000</v>
      </c>
    </row>
    <row r="79" spans="1:14" x14ac:dyDescent="0.2">
      <c r="A79" s="1274" t="s">
        <v>301</v>
      </c>
      <c r="B79" s="503">
        <v>4120</v>
      </c>
      <c r="C79" s="1673"/>
      <c r="D79" s="1673"/>
      <c r="E79" s="1573">
        <v>20119</v>
      </c>
      <c r="F79" s="1673"/>
      <c r="G79" s="1673"/>
      <c r="H79" s="1573">
        <v>113801</v>
      </c>
      <c r="I79" s="1582"/>
      <c r="J79" s="1582"/>
      <c r="K79" s="1672">
        <f t="shared" si="11"/>
        <v>133920</v>
      </c>
      <c r="L79" s="1573">
        <v>350000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20119</v>
      </c>
      <c r="F84" s="1673"/>
      <c r="G84" s="1673"/>
      <c r="H84" s="1674">
        <f>SUM(H78:H83)</f>
        <v>113801</v>
      </c>
      <c r="I84" s="1582"/>
      <c r="J84" s="1582"/>
      <c r="K84" s="1674">
        <f>SUM(K78:K83)</f>
        <v>133920</v>
      </c>
      <c r="L84" s="1674">
        <f>SUM(L78:L83)</f>
        <v>370000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131372</v>
      </c>
      <c r="I86" s="1582"/>
      <c r="J86" s="1582"/>
      <c r="K86" s="1681">
        <f t="shared" ref="K86:K98" si="12">H86</f>
        <v>131372</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131372</v>
      </c>
      <c r="I92" s="1582"/>
      <c r="J92" s="1582"/>
      <c r="K92" s="1681">
        <f t="shared" si="12"/>
        <v>131372</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v>87212</v>
      </c>
      <c r="I94" s="1582"/>
      <c r="J94" s="1582"/>
      <c r="K94" s="1681">
        <f t="shared" si="12"/>
        <v>87212</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87212</v>
      </c>
      <c r="I100" s="1582"/>
      <c r="J100" s="1582"/>
      <c r="K100" s="1681">
        <f>SUM(K93:K99)</f>
        <v>87212</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20119</v>
      </c>
      <c r="F102" s="1673"/>
      <c r="G102" s="1673"/>
      <c r="H102" s="1681">
        <f>SUM(H84,H92,H100,H101)</f>
        <v>332385</v>
      </c>
      <c r="I102" s="1582"/>
      <c r="J102" s="1582"/>
      <c r="K102" s="1681">
        <f>SUM(K84,K92,K100,K101)</f>
        <v>352504</v>
      </c>
      <c r="L102" s="1681">
        <f>SUM(L84,L92,L100,L101)</f>
        <v>370000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5764124</v>
      </c>
      <c r="D114" s="1674">
        <f t="shared" ref="D114:K114" si="13">SUM(D33,D74,D75,D102,D112,D113)</f>
        <v>1473349</v>
      </c>
      <c r="E114" s="1674">
        <f t="shared" si="13"/>
        <v>361699</v>
      </c>
      <c r="F114" s="1674">
        <f t="shared" si="13"/>
        <v>502024</v>
      </c>
      <c r="G114" s="1674">
        <f t="shared" si="13"/>
        <v>136128</v>
      </c>
      <c r="H114" s="1674">
        <f>SUM(H33,H74,H75,H102,H112,H113)</f>
        <v>597206</v>
      </c>
      <c r="I114" s="1674">
        <f t="shared" si="13"/>
        <v>0</v>
      </c>
      <c r="J114" s="1674">
        <f t="shared" si="13"/>
        <v>0</v>
      </c>
      <c r="K114" s="1674">
        <f t="shared" si="13"/>
        <v>8834530</v>
      </c>
      <c r="L114" s="1674">
        <f>SUM(L33,L74,L75,L102,L112,L113)</f>
        <v>9278430</v>
      </c>
    </row>
    <row r="115" spans="1:14" ht="13.5" thickTop="1" x14ac:dyDescent="0.2">
      <c r="A115" s="2286" t="s">
        <v>989</v>
      </c>
      <c r="B115" s="2287"/>
      <c r="C115" s="1675"/>
      <c r="D115" s="1675"/>
      <c r="E115" s="1675"/>
      <c r="F115" s="1675"/>
      <c r="G115" s="1675"/>
      <c r="H115" s="1675"/>
      <c r="I115" s="1675"/>
      <c r="J115" s="1675"/>
      <c r="K115" s="1689">
        <f>'Revenues 9-14'!C268-'Expenditures 15-22'!K114</f>
        <v>696653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286114</v>
      </c>
      <c r="D124" s="1573">
        <v>60151</v>
      </c>
      <c r="E124" s="1573">
        <v>166272</v>
      </c>
      <c r="F124" s="1573">
        <v>217097</v>
      </c>
      <c r="G124" s="1573">
        <v>11712</v>
      </c>
      <c r="H124" s="1573"/>
      <c r="I124" s="1574"/>
      <c r="J124" s="1574"/>
      <c r="K124" s="1674">
        <f>SUM(C124:J124)</f>
        <v>741346</v>
      </c>
      <c r="L124" s="1573">
        <v>747507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286114</v>
      </c>
      <c r="D127" s="1674">
        <f t="shared" ref="D127:L127" si="14">SUM(D122:D126)</f>
        <v>60151</v>
      </c>
      <c r="E127" s="1674">
        <f t="shared" si="14"/>
        <v>166272</v>
      </c>
      <c r="F127" s="1674">
        <f t="shared" si="14"/>
        <v>217097</v>
      </c>
      <c r="G127" s="1674">
        <f t="shared" si="14"/>
        <v>11712</v>
      </c>
      <c r="H127" s="1674">
        <f t="shared" si="14"/>
        <v>0</v>
      </c>
      <c r="I127" s="1674">
        <f t="shared" si="14"/>
        <v>0</v>
      </c>
      <c r="J127" s="1674">
        <f t="shared" si="14"/>
        <v>0</v>
      </c>
      <c r="K127" s="1674">
        <f t="shared" si="14"/>
        <v>741346</v>
      </c>
      <c r="L127" s="1674">
        <f t="shared" si="14"/>
        <v>747507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286114</v>
      </c>
      <c r="D129" s="1681">
        <f t="shared" ref="D129:L129" si="15">SUM(D120,D127,D128)</f>
        <v>60151</v>
      </c>
      <c r="E129" s="1681">
        <f t="shared" si="15"/>
        <v>166272</v>
      </c>
      <c r="F129" s="1681">
        <f t="shared" si="15"/>
        <v>217097</v>
      </c>
      <c r="G129" s="1681">
        <f t="shared" si="15"/>
        <v>11712</v>
      </c>
      <c r="H129" s="1681">
        <f t="shared" si="15"/>
        <v>0</v>
      </c>
      <c r="I129" s="1681">
        <f t="shared" si="15"/>
        <v>0</v>
      </c>
      <c r="J129" s="1681">
        <f t="shared" si="15"/>
        <v>0</v>
      </c>
      <c r="K129" s="1681">
        <f t="shared" si="15"/>
        <v>741346</v>
      </c>
      <c r="L129" s="1681">
        <f t="shared" si="15"/>
        <v>747507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286114</v>
      </c>
      <c r="D151" s="1674">
        <f t="shared" ref="D151:K151" si="16">SUM(D129,D130,D139,D149,D150)</f>
        <v>60151</v>
      </c>
      <c r="E151" s="1674">
        <f t="shared" si="16"/>
        <v>166272</v>
      </c>
      <c r="F151" s="1674">
        <f t="shared" si="16"/>
        <v>217097</v>
      </c>
      <c r="G151" s="1674">
        <f t="shared" si="16"/>
        <v>11712</v>
      </c>
      <c r="H151" s="1674">
        <f t="shared" si="16"/>
        <v>0</v>
      </c>
      <c r="I151" s="1674">
        <f t="shared" si="16"/>
        <v>0</v>
      </c>
      <c r="J151" s="1674">
        <f t="shared" si="16"/>
        <v>0</v>
      </c>
      <c r="K151" s="1674">
        <f t="shared" si="16"/>
        <v>741346</v>
      </c>
      <c r="L151" s="1674">
        <f>SUM(L129,L130,L139,L149,L150)</f>
        <v>747507</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14436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621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402410</v>
      </c>
      <c r="D182" s="1573">
        <v>28310</v>
      </c>
      <c r="E182" s="1573">
        <v>104218</v>
      </c>
      <c r="F182" s="1573">
        <v>67294</v>
      </c>
      <c r="G182" s="1573">
        <v>142917</v>
      </c>
      <c r="H182" s="1573">
        <v>855</v>
      </c>
      <c r="I182" s="1574"/>
      <c r="J182" s="1574"/>
      <c r="K182" s="1672">
        <f>SUM(C182:J182)</f>
        <v>746004</v>
      </c>
      <c r="L182" s="1573">
        <v>849632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402410</v>
      </c>
      <c r="D184" s="1681">
        <f t="shared" ref="D184:J184" si="17">SUM(D180,D182,D183)</f>
        <v>28310</v>
      </c>
      <c r="E184" s="1681">
        <f t="shared" si="17"/>
        <v>104218</v>
      </c>
      <c r="F184" s="1681">
        <f t="shared" si="17"/>
        <v>67294</v>
      </c>
      <c r="G184" s="1681">
        <f t="shared" si="17"/>
        <v>142917</v>
      </c>
      <c r="H184" s="1681">
        <f t="shared" si="17"/>
        <v>855</v>
      </c>
      <c r="I184" s="1681">
        <f t="shared" si="17"/>
        <v>0</v>
      </c>
      <c r="J184" s="1681">
        <f t="shared" si="17"/>
        <v>0</v>
      </c>
      <c r="K184" s="1681">
        <f>SUM(K180,K182,K183)</f>
        <v>746004</v>
      </c>
      <c r="L184" s="1681">
        <f>SUM(L180, L182:L183)</f>
        <v>849632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402410</v>
      </c>
      <c r="D210" s="1674">
        <f>SUM(D184,D185)</f>
        <v>28310</v>
      </c>
      <c r="E210" s="1674">
        <f>SUM(E184,E185,E196)</f>
        <v>104218</v>
      </c>
      <c r="F210" s="1674">
        <f>SUM(F184,F185)</f>
        <v>67294</v>
      </c>
      <c r="G210" s="1674">
        <f>SUM(G184,G185)</f>
        <v>142917</v>
      </c>
      <c r="H210" s="1674">
        <f>SUM(H184,H185,H196,H208,H209)</f>
        <v>855</v>
      </c>
      <c r="I210" s="1674">
        <f>SUM(I184,I185)</f>
        <v>0</v>
      </c>
      <c r="J210" s="1674">
        <f>SUM(J184,J185)</f>
        <v>0</v>
      </c>
      <c r="K210" s="1672">
        <f>SUM(K184,K185,K196,K208,K209)</f>
        <v>746004</v>
      </c>
      <c r="L210" s="1674">
        <f>SUM(L184,L185,L196,L208,L209)</f>
        <v>849632</v>
      </c>
    </row>
    <row r="211" spans="1:14" ht="13.5" thickTop="1" x14ac:dyDescent="0.2">
      <c r="A211" s="2286" t="s">
        <v>989</v>
      </c>
      <c r="B211" s="2287"/>
      <c r="C211" s="1675"/>
      <c r="D211" s="1675"/>
      <c r="E211" s="1675"/>
      <c r="F211" s="1675"/>
      <c r="G211" s="1675"/>
      <c r="H211" s="1675"/>
      <c r="I211" s="1673"/>
      <c r="J211" s="1673"/>
      <c r="K211" s="1689">
        <f>'Revenues 9-14'!F268-'Expenditures 15-22'!K210</f>
        <v>-140494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36913</v>
      </c>
      <c r="E215" s="1673"/>
      <c r="F215" s="1673"/>
      <c r="G215" s="1673"/>
      <c r="H215" s="1673"/>
      <c r="I215" s="1673"/>
      <c r="J215" s="1673"/>
      <c r="K215" s="1672">
        <f>D215</f>
        <v>36913</v>
      </c>
      <c r="L215" s="1573">
        <v>46491</v>
      </c>
    </row>
    <row r="216" spans="1:14" x14ac:dyDescent="0.2">
      <c r="A216" s="1274" t="s">
        <v>162</v>
      </c>
      <c r="B216" s="503" t="s">
        <v>961</v>
      </c>
      <c r="C216" s="1673"/>
      <c r="D216" s="1574">
        <v>62204</v>
      </c>
      <c r="E216" s="1673"/>
      <c r="F216" s="1673"/>
      <c r="G216" s="1673"/>
      <c r="H216" s="1673"/>
      <c r="I216" s="1673"/>
      <c r="J216" s="1673"/>
      <c r="K216" s="1672">
        <f t="shared" ref="K216:K228" si="19">D216</f>
        <v>62204</v>
      </c>
      <c r="L216" s="1573">
        <v>52783</v>
      </c>
    </row>
    <row r="217" spans="1:14" x14ac:dyDescent="0.2">
      <c r="A217" s="1274" t="s">
        <v>163</v>
      </c>
      <c r="B217" s="503">
        <v>1200</v>
      </c>
      <c r="C217" s="1673"/>
      <c r="D217" s="1573">
        <v>83776</v>
      </c>
      <c r="E217" s="1673"/>
      <c r="F217" s="1673"/>
      <c r="G217" s="1673"/>
      <c r="H217" s="1673"/>
      <c r="I217" s="1673"/>
      <c r="J217" s="1673"/>
      <c r="K217" s="1672">
        <f t="shared" si="19"/>
        <v>83776</v>
      </c>
      <c r="L217" s="1573">
        <v>100027</v>
      </c>
    </row>
    <row r="218" spans="1:14" x14ac:dyDescent="0.2">
      <c r="A218" s="1274" t="s">
        <v>276</v>
      </c>
      <c r="B218" s="503" t="s">
        <v>962</v>
      </c>
      <c r="C218" s="1673"/>
      <c r="D218" s="1574">
        <v>2861</v>
      </c>
      <c r="E218" s="1673"/>
      <c r="F218" s="1673"/>
      <c r="G218" s="1673"/>
      <c r="H218" s="1673"/>
      <c r="I218" s="1673"/>
      <c r="J218" s="1673"/>
      <c r="K218" s="1672">
        <f t="shared" si="19"/>
        <v>2861</v>
      </c>
      <c r="L218" s="1573">
        <v>5300</v>
      </c>
    </row>
    <row r="219" spans="1:14" x14ac:dyDescent="0.2">
      <c r="A219" s="1274" t="s">
        <v>277</v>
      </c>
      <c r="B219" s="503">
        <v>1250</v>
      </c>
      <c r="C219" s="1673"/>
      <c r="D219" s="1573">
        <v>3245</v>
      </c>
      <c r="E219" s="1673"/>
      <c r="F219" s="1673"/>
      <c r="G219" s="1673"/>
      <c r="H219" s="1673"/>
      <c r="I219" s="1673"/>
      <c r="J219" s="1673"/>
      <c r="K219" s="1672">
        <f t="shared" si="19"/>
        <v>3245</v>
      </c>
      <c r="L219" s="1573">
        <v>3625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5323</v>
      </c>
      <c r="E223" s="1673"/>
      <c r="F223" s="1673"/>
      <c r="G223" s="1673"/>
      <c r="H223" s="1673"/>
      <c r="I223" s="1673"/>
      <c r="J223" s="1673"/>
      <c r="K223" s="1672">
        <f t="shared" si="19"/>
        <v>5323</v>
      </c>
      <c r="L223" s="1573">
        <v>6600</v>
      </c>
    </row>
    <row r="224" spans="1:14" x14ac:dyDescent="0.2">
      <c r="A224" s="1274" t="s">
        <v>958</v>
      </c>
      <c r="B224" s="503">
        <v>1600</v>
      </c>
      <c r="C224" s="1673"/>
      <c r="D224" s="1573">
        <v>99</v>
      </c>
      <c r="E224" s="1673"/>
      <c r="F224" s="1673"/>
      <c r="G224" s="1673"/>
      <c r="H224" s="1673"/>
      <c r="I224" s="1673"/>
      <c r="J224" s="1673"/>
      <c r="K224" s="1672">
        <f t="shared" si="19"/>
        <v>99</v>
      </c>
      <c r="L224" s="1573">
        <v>200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194421</v>
      </c>
      <c r="E229" s="1673"/>
      <c r="F229" s="1673"/>
      <c r="G229" s="1673"/>
      <c r="H229" s="1673"/>
      <c r="I229" s="1673"/>
      <c r="J229" s="1673"/>
      <c r="K229" s="1674">
        <f>SUM(K215:K228)</f>
        <v>194421</v>
      </c>
      <c r="L229" s="1674">
        <f>SUM(L215:L228)</f>
        <v>215026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1807</v>
      </c>
      <c r="E233" s="1673"/>
      <c r="F233" s="1673"/>
      <c r="G233" s="1673"/>
      <c r="H233" s="1673"/>
      <c r="I233" s="1673"/>
      <c r="J233" s="1673"/>
      <c r="K233" s="1672">
        <f t="shared" si="20"/>
        <v>1807</v>
      </c>
      <c r="L233" s="1573">
        <v>1782</v>
      </c>
    </row>
    <row r="234" spans="1:12" x14ac:dyDescent="0.2">
      <c r="A234" s="1274" t="s">
        <v>196</v>
      </c>
      <c r="B234" s="503">
        <v>2130</v>
      </c>
      <c r="C234" s="1673"/>
      <c r="D234" s="1573">
        <v>2577</v>
      </c>
      <c r="E234" s="1673"/>
      <c r="F234" s="1673"/>
      <c r="G234" s="1673"/>
      <c r="H234" s="1673"/>
      <c r="I234" s="1673"/>
      <c r="J234" s="1673"/>
      <c r="K234" s="1672">
        <f t="shared" si="20"/>
        <v>2577</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2030</v>
      </c>
      <c r="E236" s="1673"/>
      <c r="F236" s="1673"/>
      <c r="G236" s="1673"/>
      <c r="H236" s="1673"/>
      <c r="I236" s="1673"/>
      <c r="J236" s="1673"/>
      <c r="K236" s="1672">
        <f t="shared" si="20"/>
        <v>2030</v>
      </c>
      <c r="L236" s="1573">
        <v>2000</v>
      </c>
    </row>
    <row r="237" spans="1:12" x14ac:dyDescent="0.2">
      <c r="A237" s="1274" t="s">
        <v>164</v>
      </c>
      <c r="B237" s="503">
        <v>2190</v>
      </c>
      <c r="C237" s="1673"/>
      <c r="D237" s="1573">
        <v>1752</v>
      </c>
      <c r="E237" s="1673"/>
      <c r="F237" s="1673"/>
      <c r="G237" s="1673"/>
      <c r="H237" s="1673"/>
      <c r="I237" s="1673"/>
      <c r="J237" s="1673"/>
      <c r="K237" s="1672">
        <f t="shared" si="20"/>
        <v>1752</v>
      </c>
      <c r="L237" s="1573">
        <v>2150</v>
      </c>
    </row>
    <row r="238" spans="1:12" ht="12.75" customHeight="1" thickBot="1" x14ac:dyDescent="0.25">
      <c r="A238" s="1380" t="s">
        <v>556</v>
      </c>
      <c r="B238" s="1383" t="s">
        <v>711</v>
      </c>
      <c r="C238" s="1673"/>
      <c r="D238" s="1674">
        <f>SUM(D232:D237)</f>
        <v>8166</v>
      </c>
      <c r="E238" s="1673"/>
      <c r="F238" s="1673"/>
      <c r="G238" s="1673"/>
      <c r="H238" s="1673"/>
      <c r="I238" s="1673"/>
      <c r="J238" s="1673"/>
      <c r="K238" s="1674">
        <f>SUM(K232:K237)</f>
        <v>8166</v>
      </c>
      <c r="L238" s="1674">
        <f>SUM(L232:L237)</f>
        <v>5932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23227</v>
      </c>
      <c r="E241" s="1673"/>
      <c r="F241" s="1673"/>
      <c r="G241" s="1673"/>
      <c r="H241" s="1673"/>
      <c r="I241" s="1673"/>
      <c r="J241" s="1673"/>
      <c r="K241" s="1678">
        <f>D241</f>
        <v>23227</v>
      </c>
      <c r="L241" s="1573">
        <v>12650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23227</v>
      </c>
      <c r="E243" s="1673"/>
      <c r="F243" s="1673"/>
      <c r="G243" s="1673"/>
      <c r="H243" s="1673"/>
      <c r="I243" s="1673"/>
      <c r="J243" s="1673"/>
      <c r="K243" s="1674">
        <f>SUM(K240:K242)</f>
        <v>23227</v>
      </c>
      <c r="L243" s="1674">
        <f>SUM(L240:L242)</f>
        <v>12650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8958</v>
      </c>
      <c r="E246" s="1673"/>
      <c r="F246" s="1673"/>
      <c r="G246" s="1673"/>
      <c r="H246" s="1673"/>
      <c r="I246" s="1673"/>
      <c r="J246" s="1673"/>
      <c r="K246" s="1678">
        <f t="shared" ref="K246:K256" si="21">D246</f>
        <v>8958</v>
      </c>
      <c r="L246" s="1573">
        <v>9775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45066</v>
      </c>
      <c r="E254" s="1673"/>
      <c r="F254" s="1673"/>
      <c r="G254" s="1673"/>
      <c r="H254" s="1673"/>
      <c r="I254" s="1673"/>
      <c r="J254" s="1673"/>
      <c r="K254" s="1678">
        <f t="shared" si="21"/>
        <v>45066</v>
      </c>
      <c r="L254" s="1573">
        <v>20000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54024</v>
      </c>
      <c r="E257" s="1673"/>
      <c r="F257" s="1673"/>
      <c r="G257" s="1673"/>
      <c r="H257" s="1673"/>
      <c r="I257" s="1673"/>
      <c r="J257" s="1673"/>
      <c r="K257" s="1674">
        <f>SUM(K245:K256)</f>
        <v>54024</v>
      </c>
      <c r="L257" s="1674">
        <f>SUM(L245:L256)</f>
        <v>29775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22675</v>
      </c>
      <c r="E259" s="1673"/>
      <c r="F259" s="1673"/>
      <c r="G259" s="1673"/>
      <c r="H259" s="1673"/>
      <c r="I259" s="1673"/>
      <c r="J259" s="1673"/>
      <c r="K259" s="1678">
        <f>D259</f>
        <v>22675</v>
      </c>
      <c r="L259" s="1586">
        <v>27207</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22675</v>
      </c>
      <c r="E261" s="1673"/>
      <c r="F261" s="1673"/>
      <c r="G261" s="1673"/>
      <c r="H261" s="1673"/>
      <c r="I261" s="1673"/>
      <c r="J261" s="1673"/>
      <c r="K261" s="1674">
        <f>SUM(K259:K260)</f>
        <v>22675</v>
      </c>
      <c r="L261" s="1674">
        <f>SUM(L259:L260)</f>
        <v>27207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12980</v>
      </c>
      <c r="E264" s="1673"/>
      <c r="F264" s="1673"/>
      <c r="G264" s="1673"/>
      <c r="H264" s="1673"/>
      <c r="I264" s="1673"/>
      <c r="J264" s="1673"/>
      <c r="K264" s="1678">
        <f t="shared" ref="K264:K269" si="22">D264</f>
        <v>12980</v>
      </c>
      <c r="L264" s="1573">
        <v>14310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45097</v>
      </c>
      <c r="E266" s="1673"/>
      <c r="F266" s="1673"/>
      <c r="G266" s="1673"/>
      <c r="H266" s="1673"/>
      <c r="I266" s="1673"/>
      <c r="J266" s="1673"/>
      <c r="K266" s="1678">
        <f t="shared" si="22"/>
        <v>45097</v>
      </c>
      <c r="L266" s="1573">
        <v>49635</v>
      </c>
    </row>
    <row r="267" spans="1:14" x14ac:dyDescent="0.2">
      <c r="A267" s="1274" t="s">
        <v>947</v>
      </c>
      <c r="B267" s="503">
        <v>2550</v>
      </c>
      <c r="C267" s="1673"/>
      <c r="D267" s="1573">
        <v>55795</v>
      </c>
      <c r="E267" s="1673"/>
      <c r="F267" s="1673"/>
      <c r="G267" s="1673"/>
      <c r="H267" s="1673"/>
      <c r="I267" s="1673"/>
      <c r="J267" s="1673"/>
      <c r="K267" s="1678">
        <f t="shared" si="22"/>
        <v>55795</v>
      </c>
      <c r="L267" s="1573">
        <v>64000</v>
      </c>
    </row>
    <row r="268" spans="1:14" x14ac:dyDescent="0.2">
      <c r="A268" s="1274" t="s">
        <v>100</v>
      </c>
      <c r="B268" s="503">
        <v>2560</v>
      </c>
      <c r="C268" s="1673"/>
      <c r="D268" s="1573">
        <v>23249</v>
      </c>
      <c r="E268" s="1673"/>
      <c r="F268" s="1673"/>
      <c r="G268" s="1673"/>
      <c r="H268" s="1673"/>
      <c r="I268" s="1673"/>
      <c r="J268" s="1673"/>
      <c r="K268" s="1678">
        <f t="shared" si="22"/>
        <v>23249</v>
      </c>
      <c r="L268" s="1573">
        <v>23845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137121</v>
      </c>
      <c r="E270" s="1673"/>
      <c r="F270" s="1673"/>
      <c r="G270" s="1673"/>
      <c r="H270" s="1673"/>
      <c r="I270" s="1673"/>
      <c r="J270" s="1673"/>
      <c r="K270" s="1674">
        <f>SUM(K263:K269)</f>
        <v>137121</v>
      </c>
      <c r="L270" s="1674">
        <f>SUM(L263:L269)</f>
        <v>151790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245213</v>
      </c>
      <c r="E279" s="1673"/>
      <c r="F279" s="1673"/>
      <c r="G279" s="1673"/>
      <c r="H279" s="1673"/>
      <c r="I279" s="1673"/>
      <c r="J279" s="1673"/>
      <c r="K279" s="1681">
        <f>SUM(K238,K243,K257,K261,K270,K277,K278)</f>
        <v>245213</v>
      </c>
      <c r="L279" s="1681">
        <f>SUM(L238,L243,L257,L261,L270,L277,L278)</f>
        <v>227354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439634</v>
      </c>
      <c r="E295" s="1673"/>
      <c r="F295" s="1673"/>
      <c r="G295" s="1673"/>
      <c r="H295" s="1674">
        <f>H293</f>
        <v>0</v>
      </c>
      <c r="I295" s="1673"/>
      <c r="J295" s="1673"/>
      <c r="K295" s="1674">
        <f>SUM(K229,K279,K280,K285,K293,K294)</f>
        <v>439634</v>
      </c>
      <c r="L295" s="1674">
        <f>SUM(L229,L279,L280,L285,L293,L294)</f>
        <v>442380</v>
      </c>
    </row>
    <row r="296" spans="1:14" ht="13.5" thickTop="1" x14ac:dyDescent="0.2">
      <c r="A296" s="2286" t="s">
        <v>989</v>
      </c>
      <c r="B296" s="2287"/>
      <c r="C296" s="1673"/>
      <c r="D296" s="1675"/>
      <c r="E296" s="1673"/>
      <c r="F296" s="1673"/>
      <c r="G296" s="1673"/>
      <c r="H296" s="1707"/>
      <c r="I296" s="1673"/>
      <c r="J296" s="1673"/>
      <c r="K296" s="1689">
        <f>'Revenues 9-14'!G268-'Expenditures 15-22'!K295</f>
        <v>49204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75073</v>
      </c>
      <c r="F320" s="1574"/>
      <c r="G320" s="1574"/>
      <c r="H320" s="1574"/>
      <c r="I320" s="1574"/>
      <c r="J320" s="1574"/>
      <c r="K320" s="1672">
        <f t="shared" ref="K320:K327" si="24">SUM(C320:J320)</f>
        <v>75073</v>
      </c>
      <c r="L320" s="1574">
        <v>68105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80286</v>
      </c>
      <c r="F322" s="1574"/>
      <c r="G322" s="1574"/>
      <c r="H322" s="1574"/>
      <c r="I322" s="1574"/>
      <c r="J322" s="1574"/>
      <c r="K322" s="1672">
        <f t="shared" si="24"/>
        <v>80286</v>
      </c>
      <c r="L322" s="1574">
        <v>75000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570386</v>
      </c>
      <c r="D325" s="1574">
        <v>98817</v>
      </c>
      <c r="E325" s="1574">
        <v>30000</v>
      </c>
      <c r="F325" s="1574"/>
      <c r="G325" s="1574"/>
      <c r="H325" s="1574"/>
      <c r="I325" s="1574"/>
      <c r="J325" s="1574"/>
      <c r="K325" s="1672">
        <f t="shared" si="24"/>
        <v>699203</v>
      </c>
      <c r="L325" s="1574">
        <v>686637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4512</v>
      </c>
      <c r="F327" s="1574"/>
      <c r="G327" s="1574"/>
      <c r="H327" s="1574"/>
      <c r="I327" s="1574"/>
      <c r="J327" s="1574"/>
      <c r="K327" s="1672">
        <f t="shared" si="24"/>
        <v>4512</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570386</v>
      </c>
      <c r="D330" s="1674">
        <f t="shared" ref="D330:J330" si="25">SUM(D319:D329)</f>
        <v>98817</v>
      </c>
      <c r="E330" s="1674">
        <f t="shared" si="25"/>
        <v>189871</v>
      </c>
      <c r="F330" s="1674">
        <f t="shared" si="25"/>
        <v>0</v>
      </c>
      <c r="G330" s="1674">
        <f t="shared" si="25"/>
        <v>0</v>
      </c>
      <c r="H330" s="1674">
        <f t="shared" si="25"/>
        <v>0</v>
      </c>
      <c r="I330" s="1674">
        <f t="shared" si="25"/>
        <v>0</v>
      </c>
      <c r="J330" s="1674">
        <f t="shared" si="25"/>
        <v>0</v>
      </c>
      <c r="K330" s="1674">
        <f>SUM(K319:K329)</f>
        <v>859074</v>
      </c>
      <c r="L330" s="1674">
        <f>SUM(L319:L329)</f>
        <v>834742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570386</v>
      </c>
      <c r="D342" s="1674">
        <f>SUM(D330)</f>
        <v>98817</v>
      </c>
      <c r="E342" s="1674">
        <f>SUM(E330)</f>
        <v>189871</v>
      </c>
      <c r="F342" s="1674">
        <f>SUM(F330)</f>
        <v>0</v>
      </c>
      <c r="G342" s="1674">
        <f>SUM(G330)</f>
        <v>0</v>
      </c>
      <c r="H342" s="1674">
        <f>SUM(H330,H334,H340)</f>
        <v>0</v>
      </c>
      <c r="I342" s="1674">
        <f>SUM(I330)</f>
        <v>0</v>
      </c>
      <c r="J342" s="1674">
        <f>SUM(J330)</f>
        <v>0</v>
      </c>
      <c r="K342" s="1674">
        <f>SUM(K330,K334,K340)</f>
        <v>859074</v>
      </c>
      <c r="L342" s="1681">
        <f>SUM(L330,L334,L340,L341)</f>
        <v>834742</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-63357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173556</v>
      </c>
      <c r="H348" s="1573"/>
      <c r="I348" s="1574"/>
      <c r="J348" s="1574"/>
      <c r="K348" s="1672">
        <f>SUM(C348:J348)</f>
        <v>173556</v>
      </c>
      <c r="L348" s="1573">
        <v>135000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173556</v>
      </c>
      <c r="H350" s="1674">
        <f t="shared" si="26"/>
        <v>0</v>
      </c>
      <c r="I350" s="1674">
        <f t="shared" si="26"/>
        <v>0</v>
      </c>
      <c r="J350" s="1674">
        <f t="shared" si="26"/>
        <v>0</v>
      </c>
      <c r="K350" s="1674">
        <f t="shared" si="26"/>
        <v>173556</v>
      </c>
      <c r="L350" s="1674">
        <f t="shared" si="26"/>
        <v>135000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173556</v>
      </c>
      <c r="H352" s="1674">
        <f t="shared" si="27"/>
        <v>0</v>
      </c>
      <c r="I352" s="1674">
        <f t="shared" si="27"/>
        <v>0</v>
      </c>
      <c r="J352" s="1674">
        <f t="shared" si="27"/>
        <v>0</v>
      </c>
      <c r="K352" s="1674">
        <f t="shared" si="27"/>
        <v>173556</v>
      </c>
      <c r="L352" s="1674">
        <f t="shared" si="27"/>
        <v>135000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173556</v>
      </c>
      <c r="H367" s="1674">
        <f t="shared" si="28"/>
        <v>0</v>
      </c>
      <c r="I367" s="1674">
        <f t="shared" si="28"/>
        <v>0</v>
      </c>
      <c r="J367" s="1674">
        <f t="shared" si="28"/>
        <v>0</v>
      </c>
      <c r="K367" s="1674">
        <f t="shared" si="28"/>
        <v>173556</v>
      </c>
      <c r="L367" s="1674">
        <f t="shared" si="28"/>
        <v>135000</v>
      </c>
    </row>
    <row r="368" spans="1:14" ht="13.5" thickTop="1" x14ac:dyDescent="0.2">
      <c r="A368" s="2286" t="s">
        <v>989</v>
      </c>
      <c r="B368" s="2287"/>
      <c r="C368" s="1694"/>
      <c r="D368" s="1694"/>
      <c r="E368" s="1677"/>
      <c r="F368" s="1677"/>
      <c r="G368" s="1677"/>
      <c r="H368" s="1677"/>
      <c r="I368" s="1677"/>
      <c r="J368" s="1676"/>
      <c r="K368" s="1672">
        <f>'Revenues 9-14'!K268-'Expenditures 15-22'!K367</f>
        <v>-45302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d21dc803-237d-4c68-8692-8d731fd29118"/>
    <ds:schemaRef ds:uri="6ce3111e-7420-4802-b50a-75d4e9a0b980"/>
    <ds:schemaRef ds:uri="http://purl.org/dc/dcmitype/"/>
    <ds:schemaRef ds:uri="http://schemas.microsoft.com/office/2006/documentManagement/types"/>
    <ds:schemaRef ds:uri="http://www.w3.org/XML/1998/namespace"/>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2020-09-15T16:45:26Z</cp:lastPrinted>
  <dcterms:created xsi:type="dcterms:W3CDTF">2003-10-29T19:06:34Z</dcterms:created>
  <dcterms:modified xsi:type="dcterms:W3CDTF">2020-10-03T15:35:09Z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