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133BF85-E292-4670-A61B-FFB7FA7327C5}"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2" i="184" l="1"/>
  <c r="C107" i="5" l="1"/>
  <c r="C96" i="5"/>
  <c r="D217" i="29"/>
  <c r="C9" i="4"/>
  <c r="J39" i="3"/>
  <c r="G39" i="3"/>
  <c r="M19" i="3" l="1"/>
  <c r="D19" i="183"/>
  <c r="D18" i="183"/>
  <c r="D22" i="183"/>
  <c r="D20" i="183"/>
  <c r="D21" i="183"/>
  <c r="F79" i="34" l="1"/>
  <c r="J79" i="4" l="1"/>
  <c r="G79" i="4"/>
  <c r="F45" i="29" l="1"/>
  <c r="E45" i="29"/>
  <c r="C39" i="3"/>
  <c r="H170" i="29" l="1"/>
  <c r="F124" i="29"/>
  <c r="E124" i="29"/>
  <c r="C75" i="29"/>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F67" i="34"/>
  <c r="C68" i="34"/>
  <c r="D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B5752" i="106"/>
  <c r="D5752" i="106" s="1"/>
  <c r="D69" i="36" l="1"/>
  <c r="H33" i="118"/>
  <c r="D24" i="37"/>
  <c r="B4270" i="106" s="1"/>
  <c r="D4270" i="106" s="1"/>
  <c r="F36" i="34"/>
  <c r="B7828" i="106" s="1"/>
  <c r="D7828" i="106" s="1"/>
  <c r="H342" i="29"/>
  <c r="I210" i="29"/>
  <c r="B7071" i="106" s="1"/>
  <c r="D7071" i="106" s="1"/>
  <c r="H365" i="29"/>
  <c r="B7242" i="106" s="1"/>
  <c r="D7242" i="106" s="1"/>
  <c r="L22" i="37"/>
  <c r="F69" i="34"/>
  <c r="F50" i="34"/>
  <c r="B7696" i="106"/>
  <c r="D7696" i="106" s="1"/>
  <c r="E66" i="184"/>
  <c r="N66" i="184" s="1"/>
  <c r="B7171" i="106"/>
  <c r="D7171" i="106" s="1"/>
  <c r="E62" i="184"/>
  <c r="N62" i="184" s="1"/>
  <c r="B7198" i="106"/>
  <c r="D7198" i="106" s="1"/>
  <c r="E65" i="184"/>
  <c r="N65" i="184" s="1"/>
  <c r="B7162" i="106"/>
  <c r="D7162" i="106" s="1"/>
  <c r="E61" i="184"/>
  <c r="N61" i="184" s="1"/>
  <c r="H15" i="184"/>
  <c r="B7126" i="106"/>
  <c r="D7126" i="106" s="1"/>
  <c r="E57" i="184"/>
  <c r="F34" i="34"/>
  <c r="B7826" i="106" s="1"/>
  <c r="D7826"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B7135" i="106"/>
  <c r="D7135" i="106" s="1"/>
  <c r="E58" i="184"/>
  <c r="N58" i="184" s="1"/>
  <c r="H12" i="184"/>
  <c r="C342" i="29"/>
  <c r="B7216" i="106" s="1"/>
  <c r="D7216" i="106" s="1"/>
  <c r="B7705" i="106"/>
  <c r="D7705" i="106" s="1"/>
  <c r="E67" i="184"/>
  <c r="N67" i="184" s="1"/>
  <c r="B7180" i="106"/>
  <c r="D7180" i="106" s="1"/>
  <c r="E63" i="184"/>
  <c r="N63" i="184"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14" i="29" l="1"/>
  <c r="N23" i="3"/>
  <c r="B284" i="106" s="1"/>
  <c r="D284" i="106" s="1"/>
  <c r="B6216" i="106"/>
  <c r="D6216" i="106" s="1"/>
  <c r="H19" i="184"/>
  <c r="L20" i="184" s="1"/>
  <c r="D44" i="36"/>
  <c r="L16" i="11"/>
  <c r="B2061" i="106" s="1"/>
  <c r="D2061" i="106" s="1"/>
  <c r="B1381" i="106"/>
  <c r="D1381" i="106" s="1"/>
  <c r="F41" i="108"/>
  <c r="G43" i="108" s="1"/>
  <c r="B5527" i="106"/>
  <c r="D5527" i="106" s="1"/>
  <c r="K342" i="29"/>
  <c r="F13" i="34" s="1"/>
  <c r="G170" i="5"/>
  <c r="B5778" i="106" s="1"/>
  <c r="D5778" i="106" s="1"/>
  <c r="N57" i="184"/>
  <c r="N68" i="184" s="1"/>
  <c r="E68" i="184"/>
  <c r="E19" i="184"/>
  <c r="E367" i="29"/>
  <c r="B3636" i="106" s="1"/>
  <c r="D3636" i="106" s="1"/>
  <c r="B3635" i="106"/>
  <c r="D3635" i="106" s="1"/>
  <c r="B1328" i="106"/>
  <c r="D1328"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K17" i="4" l="1"/>
  <c r="K19" i="4" s="1"/>
  <c r="B4144" i="106" s="1"/>
  <c r="D4144" i="106" s="1"/>
  <c r="F77" i="34"/>
  <c r="B7834" i="106" s="1"/>
  <c r="D7834" i="106" s="1"/>
  <c r="J20" i="4"/>
  <c r="J78" i="4" s="1"/>
  <c r="B6227" i="106"/>
  <c r="D6227"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B6230" i="106"/>
  <c r="D623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<sst xmlns="http://schemas.openxmlformats.org/spreadsheetml/2006/main" count="5151" uniqueCount="2081">
  <si>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</si>
  <si>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</si>
  <si>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</si>
  <si>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</si>
  <si>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</si>
  <si>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</si>
  <si>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</si>
  <si>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</si>
  <si>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</si>
  <si>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</si>
  <si>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</si>
  <si>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</si>
  <si>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</si>
  <si>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</si>
  <si>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</si>
  <si>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</si>
  <si>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</si>
  <si>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</si>
  <si>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</si>
  <si>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</si>
  <si>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</si>
  <si>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</si>
  <si>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</si>
  <si>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</si>
  <si>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</si>
  <si>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</si>
  <si>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</si>
  <si>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</si>
  <si>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</si>
  <si>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</si>
  <si>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</si>
  <si>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</si>
  <si>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</si>
  <si>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</si>
  <si>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</si>
  <si>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</si>
  <si>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</si>
  <si>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</si>
  <si>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</si>
  <si>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</si>
  <si>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</si>
  <si>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</si>
  <si>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</si>
  <si>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</si>
  <si>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</si>
  <si>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</si>
  <si>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</si>
  <si>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</si>
  <si>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</si>
  <si>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</si>
  <si>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</si>
  <si>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</si>
  <si>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</si>
  <si>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</si>
  <si>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</si>
  <si>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</si>
  <si>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</si>
  <si>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</si>
  <si>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</si>
  <si>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</si>
  <si>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</si>
  <si>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</si>
  <si>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</si>
  <si>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</si>
  <si>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</si>
  <si>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</si>
  <si>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</si>
  <si>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</si>
  <si>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</si>
  <si>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</si>
  <si>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</si>
  <si>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</si>
  <si>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</si>
  <si>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</si>
  <si>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</si>
  <si>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</si>
  <si>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</si>
  <si>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</si>
  <si>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</si>
  <si>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</si>
  <si>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</si>
  <si>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</si>
  <si>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</si>
  <si>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</si>
  <si>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</si>
  <si>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</si>
  <si>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</si>
  <si>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</si>
  <si>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</si>
  <si>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</si>
  <si>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</si>
  <si>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</si>
  <si>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</si>
  <si>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</si>
  <si>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</si>
  <si>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</si>
  <si>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</si>
  <si>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</si>
  <si>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</si>
  <si>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</si>
  <si>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</si>
  <si>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</si>
  <si>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</si>
  <si>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</si>
  <si>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</si>
  <si>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</si>
  <si>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</si>
  <si>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</si>
  <si>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</si>
  <si>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</si>
  <si>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</si>
  <si>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</si>
  <si>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</si>
  <si>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</si>
  <si>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</si>
  <si>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</si>
  <si>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</si>
  <si>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</si>
  <si>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</si>
  <si>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</si>
  <si>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</si>
  <si>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</si>
  <si>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</si>
  <si>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</si>
  <si>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</si>
  <si>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</si>
  <si>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</si>
  <si>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</si>
  <si>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</si>
  <si>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</si>
  <si>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</si>
  <si>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</si>
  <si>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</si>
  <si>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</si>
  <si>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</si>
  <si>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</si>
  <si>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</si>
  <si>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</si>
  <si>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</si>
  <si>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</si>
  <si>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</si>
  <si>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</si>
  <si>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</si>
  <si>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</si>
  <si>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</si>
  <si>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</si>
  <si>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</si>
  <si>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</si>
  <si>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</si>
  <si>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</si>
  <si>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</si>
  <si>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</si>
  <si>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</si>
  <si>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</si>
  <si>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</si>
  <si>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</si>
  <si>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</si>
  <si>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</si>
  <si>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</si>
  <si>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</si>
  <si>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</si>
  <si>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</si>
  <si>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</si>
  <si>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</si>
  <si>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</si>
  <si>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</si>
  <si>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</si>
  <si>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</si>
  <si>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</si>
  <si>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</si>
  <si>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</si>
  <si>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</si>
  <si>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</si>
  <si>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</si>
  <si>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</si>
  <si>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</si>
  <si>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</si>
  <si>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</si>
  <si>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</si>
  <si>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</si>
  <si>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</si>
  <si>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</si>
  <si>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</si>
  <si>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</si>
  <si>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</si>
  <si>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</si>
  <si>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</si>
  <si>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</si>
  <si>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</si>
  <si>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</si>
  <si>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</si>
  <si>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</si>
  <si>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</si>
  <si>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</si>
  <si>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</si>
  <si>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</si>
  <si>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</si>
  <si>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</si>
  <si>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</si>
  <si>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</si>
  <si>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</si>
  <si>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</si>
  <si>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</si>
  <si>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</si>
  <si>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</si>
  <si>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</si>
  <si>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</si>
  <si>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</si>
  <si>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</si>
  <si>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</si>
  <si>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</si>
  <si>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</si>
  <si>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</si>
  <si>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</si>
  <si>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</si>
  <si>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</si>
  <si>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</si>
  <si>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</si>
  <si>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</si>
  <si>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</si>
  <si>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</si>
  <si>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</si>
  <si>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</si>
  <si>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</si>
  <si>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</si>
  <si>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</si>
  <si>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</si>
  <si>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</si>
  <si>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</si>
  <si>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</si>
  <si>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</si>
  <si>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</si>
  <si>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</si>
  <si>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</si>
  <si>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</si>
  <si>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</si>
  <si>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</si>
  <si>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</si>
  <si>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</si>
  <si>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</si>
  <si>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</si>
  <si>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</si>
  <si>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</si>
  <si>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</si>
  <si>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</si>
  <si>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</si>
  <si>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</si>
  <si>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</si>
  <si>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</si>
  <si>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</si>
  <si>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</si>
  <si>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</si>
  <si>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</si>
  <si>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</si>
  <si>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</si>
  <si>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</si>
  <si>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</si>
  <si>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</si>
  <si>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</si>
  <si>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</si>
  <si>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</si>
  <si>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</si>
  <si>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</si>
  <si>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</si>
  <si>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</si>
  <si>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</si>
  <si>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</si>
  <si>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</si>
  <si>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</si>
  <si>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</si>
  <si>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</si>
  <si>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</si>
  <si>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</si>
  <si>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</si>
  <si>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</si>
  <si>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</si>
  <si>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</si>
  <si>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</si>
  <si>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</si>
  <si>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</si>
  <si>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</si>
  <si>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</si>
  <si>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</si>
  <si>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</si>
  <si>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</si>
  <si>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</si>
  <si>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</si>
  <si>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</si>
  <si>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</si>
  <si>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</si>
  <si>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</si>
  <si>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</si>
  <si>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</si>
  <si>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</si>
  <si>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</si>
  <si>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</si>
  <si>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</si>
  <si>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</si>
  <si>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</si>
  <si>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</si>
  <si>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</si>
  <si>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</si>
  <si>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</si>
  <si>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</si>
  <si>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</si>
  <si>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</si>
  <si>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</si>
  <si>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</si>
  <si>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</si>
  <si>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</si>
  <si>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</si>
  <si>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</si>
  <si>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</si>
  <si>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</si>
  <si>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</si>
  <si>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</si>
  <si>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</si>
  <si>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</si>
  <si>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</si>
  <si>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</si>
  <si>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</si>
  <si>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</si>
  <si>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</si>
  <si>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</si>
  <si>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</si>
  <si>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</si>
  <si>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</si>
  <si>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</si>
  <si>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</si>
  <si>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</si>
  <si>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</si>
  <si>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</si>
  <si>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</si>
  <si>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</si>
  <si>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</si>
  <si>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</si>
  <si>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</si>
  <si>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</si>
  <si>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</si>
  <si>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</si>
  <si>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</si>
  <si>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</si>
  <si>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</si>
  <si>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</si>
  <si>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</si>
  <si>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</si>
  <si>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</si>
  <si>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</si>
  <si>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</si>
  <si>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</si>
  <si>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</si>
  <si>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</si>
  <si>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</si>
  <si>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</si>
  <si>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</si>
  <si>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</si>
  <si>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</si>
  <si>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</si>
  <si>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</si>
  <si>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</si>
  <si>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</si>
  <si>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</si>
  <si>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</si>
  <si>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</si>
  <si>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</si>
  <si>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</si>
  <si>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</si>
  <si>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</si>
  <si>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</si>
  <si>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</si>
  <si>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</si>
  <si>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</si>
  <si>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</si>
  <si>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</si>
  <si>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</si>
  <si>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</si>
  <si>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</si>
  <si>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</si>
  <si>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</si>
  <si>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</si>
  <si>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</si>
  <si>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</si>
  <si>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</si>
  <si>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</si>
  <si>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</si>
  <si>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</si>
  <si>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</si>
  <si>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</si>
  <si>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</si>
  <si>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</si>
  <si>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</si>
  <si>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</si>
  <si>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</si>
  <si>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</si>
  <si>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</si>
  <si>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</si>
  <si>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</si>
  <si>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</si>
  <si>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</si>
  <si>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</si>
  <si>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</si>
  <si>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</si>
  <si>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</si>
  <si>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</si>
  <si>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</si>
  <si>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</si>
  <si>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</si>
  <si>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</si>
  <si>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</si>
  <si>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</si>
  <si>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</si>
  <si>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</si>
  <si>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</si>
  <si>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</si>
  <si>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</si>
  <si>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</si>
  <si>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</si>
  <si>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</si>
  <si>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</si>
  <si>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</si>
  <si>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</si>
  <si>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</si>
  <si>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</si>
  <si>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</si>
  <si>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</si>
  <si>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</si>
  <si>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</si>
  <si>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</si>
  <si>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</si>
  <si>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</si>
  <si>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</si>
  <si>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</si>
  <si>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</si>
  <si>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</si>
  <si>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</si>
  <si>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</si>
  <si>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</si>
  <si>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</si>
  <si>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</si>
  <si>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</si>
  <si>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</si>
  <si>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</si>
  <si>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</si>
  <si>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</si>
  <si>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</si>
  <si>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</si>
  <si>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</si>
  <si>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</si>
  <si>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</si>
  <si>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</si>
  <si>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</si>
  <si>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</si>
  <si>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</si>
  <si>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</si>
  <si>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</si>
  <si>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</si>
  <si>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</si>
  <si>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</si>
  <si>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</si>
  <si>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</si>
  <si>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</si>
  <si>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</si>
  <si>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</si>
  <si>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</si>
  <si>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</si>
  <si>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</si>
  <si>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</si>
  <si>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</si>
  <si>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</si>
  <si>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</si>
  <si>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</si>
  <si>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</si>
  <si>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</si>
  <si>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</si>
  <si>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</si>
  <si>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</si>
  <si>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</si>
  <si>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</si>
  <si>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</si>
  <si>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</si>
  <si>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</si>
  <si>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</si>
  <si>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</si>
  <si>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</si>
  <si>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</si>
  <si>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</si>
  <si>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</si>
  <si>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</si>
  <si>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</si>
  <si>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</si>
  <si>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</si>
  <si>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</si>
  <si>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</si>
  <si>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</si>
  <si>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</si>
  <si>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</si>
  <si>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</si>
  <si>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</si>
  <si>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</si>
  <si>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</si>
  <si>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</si>
  <si>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</si>
  <si>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</si>
  <si>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</si>
  <si>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</si>
  <si>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</si>
  <si>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</si>
  <si>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</si>
  <si>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</si>
  <si>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</si>
  <si>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</si>
  <si>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</si>
  <si>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</si>
  <si>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</si>
  <si>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</si>
  <si>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</si>
  <si>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</si>
  <si>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</si>
  <si>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</si>
  <si>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</si>
  <si>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</si>
  <si>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</si>
  <si>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</si>
  <si>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</si>
  <si>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</si>
  <si>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</si>
  <si>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</si>
  <si>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</si>
  <si>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</si>
  <si>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</si>
  <si>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</si>
  <si>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</si>
  <si>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</si>
  <si>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</si>
  <si>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</si>
  <si>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</si>
  <si>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</si>
  <si>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</si>
  <si>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</si>
  <si>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</si>
  <si>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</si>
  <si>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</si>
  <si>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</si>
  <si>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</si>
  <si>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</si>
  <si>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</si>
  <si>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</si>
  <si>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</si>
  <si>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</si>
  <si>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</si>
  <si>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</si>
  <si>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</si>
  <si>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</si>
  <si>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</si>
  <si>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</si>
  <si>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</si>
  <si>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</si>
  <si>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</si>
  <si>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</si>
  <si>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</si>
  <si>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</si>
  <si>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</si>
  <si>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</si>
  <si>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</si>
  <si>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</si>
  <si>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</si>
  <si>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</si>
  <si>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</si>
  <si>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</si>
  <si>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</si>
  <si>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</si>
  <si>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</si>
  <si>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</si>
  <si>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</si>
  <si>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</si>
  <si>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</si>
  <si>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</si>
  <si>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</si>
  <si>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</si>
  <si>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</si>
  <si>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</si>
  <si>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</si>
  <si>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</si>
  <si>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</si>
  <si>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</si>
  <si>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</si>
  <si>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</si>
  <si>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</si>
  <si>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</si>
  <si>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</si>
  <si>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</si>
  <si>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</si>
  <si>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</si>
  <si>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</si>
  <si>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</si>
  <si>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</si>
  <si>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</si>
  <si>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</si>
  <si>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</si>
  <si>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</si>
  <si>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</si>
  <si>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</si>
  <si>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</si>
  <si>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</si>
  <si>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</si>
  <si>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</si>
  <si>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</si>
  <si>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</si>
  <si>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</si>
  <si>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</si>
  <si>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</si>
  <si>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</si>
  <si>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</si>
  <si>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</si>
  <si>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</si>
  <si>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</si>
  <si>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</si>
  <si>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</si>
  <si>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</si>
  <si>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</si>
  <si>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</si>
  <si>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</si>
  <si>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</si>
  <si>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</si>
  <si>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</si>
  <si>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</si>
  <si>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</si>
  <si>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</si>
  <si>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</si>
  <si>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</si>
  <si>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</si>
  <si>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</si>
  <si>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</si>
  <si>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</si>
  <si>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</si>
  <si>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</si>
  <si>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</si>
  <si>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</si>
  <si>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</si>
  <si>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</si>
  <si>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</si>
  <si>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</si>
  <si>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</si>
  <si>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</si>
  <si>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</si>
  <si>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</si>
  <si>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</si>
  <si>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</si>
  <si>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</si>
  <si>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</si>
  <si>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</si>
  <si>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</si>
  <si>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</si>
  <si>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</si>
  <si>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</si>
  <si>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</si>
  <si>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</si>
  <si>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</si>
  <si>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</si>
  <si>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</si>
  <si>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</si>
  <si>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</si>
  <si>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</si>
  <si>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</si>
  <si>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</si>
  <si>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</si>
  <si>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</si>
  <si>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</si>
  <si>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</si>
  <si>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</si>
  <si>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</si>
  <si>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</si>
  <si>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</si>
  <si>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</si>
  <si>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</si>
  <si>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</si>
  <si>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</si>
  <si>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</si>
  <si>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</si>
  <si>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</si>
  <si>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</si>
  <si>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</si>
  <si>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</si>
  <si>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</si>
  <si>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</si>
  <si>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</si>
  <si>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</si>
  <si>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</si>
  <si>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</si>
  <si>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</si>
  <si>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</si>
  <si>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</si>
  <si>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</si>
  <si>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</si>
  <si>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</si>
  <si>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</si>
  <si>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</si>
  <si>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</si>
  <si>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</si>
  <si>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</si>
  <si>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</si>
  <si>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</si>
  <si>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</si>
  <si>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</si>
  <si>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</si>
  <si>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</si>
  <si>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</si>
  <si>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</si>
  <si>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</si>
  <si>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</si>
  <si>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</si>
  <si>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</si>
  <si>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</si>
  <si>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</si>
  <si>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</si>
  <si>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</si>
  <si>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</si>
  <si>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</si>
  <si>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</si>
  <si>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</si>
  <si>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</si>
  <si>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</si>
  <si>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</si>
  <si>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</si>
  <si>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</si>
  <si>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</si>
  <si>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</si>
  <si>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</si>
  <si>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</si>
  <si>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</si>
  <si>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</si>
  <si>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</si>
  <si>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</si>
  <si>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</si>
  <si>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</si>
  <si>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</si>
  <si>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</si>
  <si>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</si>
  <si>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</si>
  <si>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</si>
  <si>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</si>
  <si>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</si>
  <si>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</si>
  <si>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</si>
  <si>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</si>
  <si>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</si>
  <si>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</si>
  <si>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</si>
  <si>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</si>
  <si>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</si>
  <si>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</si>
  <si>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</si>
  <si>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</si>
  <si>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</si>
  <si>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</si>
  <si>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</si>
  <si>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</si>
  <si>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</si>
  <si>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</si>
  <si>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</si>
  <si>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</si>
  <si>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</si>
  <si>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</si>
  <si>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</si>
  <si>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</si>
  <si>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</si>
  <si>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</si>
  <si>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</si>
  <si>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</si>
  <si>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</si>
  <si>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</si>
  <si>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</si>
  <si>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</si>
  <si>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</si>
  <si>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</si>
  <si>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</si>
  <si>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</si>
  <si>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</si>
  <si>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</si>
  <si>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</si>
  <si>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</si>
  <si>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</si>
  <si>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</si>
  <si>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</si>
  <si>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</si>
  <si>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</si>
  <si>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</si>
  <si>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</si>
  <si>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</si>
  <si>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</si>
  <si>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</si>
  <si>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</si>
  <si>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</si>
  <si>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</si>
  <si>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</si>
  <si>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</si>
  <si>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</si>
  <si>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</si>
  <si>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</si>
  <si>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</si>
  <si>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</si>
  <si>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</si>
  <si>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</si>
  <si>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</si>
  <si>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</si>
  <si>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</si>
  <si>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</si>
  <si>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</si>
  <si>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</si>
  <si>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</si>
  <si>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</si>
  <si>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</si>
  <si>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</si>
  <si>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</si>
  <si>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</si>
  <si>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</si>
  <si>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</si>
  <si>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</si>
  <si>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</si>
  <si>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</si>
  <si>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</si>
  <si>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</si>
  <si>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</si>
  <si>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</si>
  <si>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</si>
  <si>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</si>
  <si>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</si>
  <si>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</si>
  <si>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</si>
  <si>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</si>
  <si>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</si>
  <si>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</si>
  <si>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</si>
  <si>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</si>
  <si>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</si>
  <si>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</si>
  <si>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</si>
  <si>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</si>
  <si>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</si>
  <si>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</si>
  <si>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</si>
  <si>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</si>
  <si>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</si>
  <si>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</si>
  <si>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</si>
  <si>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</si>
  <si>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</si>
  <si>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</si>
  <si>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</si>
  <si>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</si>
  <si>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</si>
  <si>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</si>
  <si>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</si>
  <si>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</si>
  <si>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</si>
  <si>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</si>
  <si>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</si>
  <si>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</si>
  <si>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</si>
  <si>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</si>
  <si>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</si>
  <si>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</si>
  <si>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</si>
  <si>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</si>
  <si>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</si>
  <si>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</si>
  <si>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</si>
  <si>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</si>
  <si>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</si>
  <si>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</si>
  <si>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</si>
  <si>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</si>
  <si>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</si>
  <si>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</si>
  <si>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</si>
  <si>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</si>
  <si>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</si>
  <si>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</si>
  <si>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</si>
  <si>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</si>
  <si>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</si>
  <si>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</si>
  <si>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</si>
  <si>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</si>
  <si>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</si>
  <si>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</si>
  <si>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</si>
  <si>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</si>
  <si>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</si>
  <si>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</si>
  <si>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</si>
  <si>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</si>
  <si>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</si>
  <si>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</si>
  <si>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</si>
  <si>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</si>
  <si>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</si>
  <si>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</si>
  <si>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</si>
  <si>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</si>
  <si>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</si>
  <si>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</si>
  <si>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</si>
  <si>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</si>
  <si>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</si>
  <si>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</si>
  <si>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</si>
  <si>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</si>
  <si>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</si>
  <si>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</si>
  <si>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</si>
  <si>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</si>
  <si>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</si>
  <si>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</si>
  <si>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</si>
  <si>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</si>
  <si>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</si>
  <si>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</si>
  <si>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</si>
  <si>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</si>
  <si>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</si>
  <si>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</si>
  <si>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</si>
  <si>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</si>
  <si>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</si>
  <si>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</si>
  <si>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</si>
  <si>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</si>
  <si>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</si>
  <si>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</si>
  <si>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</si>
  <si>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</si>
  <si>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</si>
  <si>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</si>
  <si>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</si>
  <si>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</si>
  <si>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</si>
  <si>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</si>
  <si>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</si>
  <si>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</si>
  <si>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</si>
  <si>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</si>
  <si>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</si>
  <si>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</si>
  <si>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</si>
  <si>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</si>
  <si>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</si>
  <si>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</si>
  <si>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</si>
  <si>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</si>
  <si>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</si>
  <si>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</si>
  <si>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</si>
  <si>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</si>
  <si>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</si>
  <si>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</si>
  <si>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</si>
  <si>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</si>
  <si>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</si>
  <si>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</si>
  <si>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</si>
  <si>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</si>
  <si>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</si>
  <si>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</si>
  <si>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</si>
  <si>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</si>
  <si>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</si>
  <si>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</si>
  <si>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</si>
  <si>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</si>
  <si>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</si>
  <si>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</si>
  <si>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</si>
  <si>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</si>
  <si>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</si>
  <si>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</si>
  <si>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</si>
  <si>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</si>
  <si>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</si>
  <si>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</si>
  <si>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</si>
  <si>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</si>
  <si>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</si>
  <si>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</si>
  <si>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</si>
  <si>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</si>
  <si>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</si>
  <si>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</si>
  <si>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</si>
  <si>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</si>
  <si>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</si>
  <si>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</si>
  <si>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</si>
  <si>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</si>
  <si>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</si>
  <si>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</si>
  <si>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</si>
  <si>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</si>
  <si>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</si>
  <si>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</si>
  <si>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</si>
  <si>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</si>
  <si>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</si>
  <si>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</si>
  <si>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</si>
  <si>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</si>
  <si>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</si>
  <si>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</si>
  <si>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</si>
  <si>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</si>
  <si>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</si>
  <si>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</si>
  <si>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</si>
  <si>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</si>
  <si>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</si>
  <si>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</si>
  <si>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</si>
  <si>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</si>
  <si>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</si>
  <si>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</si>
  <si>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</si>
  <si>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</si>
  <si>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</si>
  <si>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</si>
  <si>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</si>
  <si>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</si>
  <si>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</si>
  <si>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</si>
  <si>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</si>
  <si>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</si>
  <si>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</si>
  <si>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</si>
  <si>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</si>
  <si>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</si>
  <si>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</si>
  <si>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</si>
  <si>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</si>
  <si>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</si>
  <si>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</si>
  <si>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</si>
  <si>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</si>
  <si>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</si>
  <si>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</si>
  <si>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</si>
  <si>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</si>
  <si>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</si>
  <si>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</si>
  <si>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</si>
  <si>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</si>
  <si>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</si>
  <si>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</si>
  <si>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</si>
  <si>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</si>
  <si>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</si>
  <si>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</si>
  <si>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</si>
  <si>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</si>
  <si>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</si>
  <si>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</si>
  <si>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</si>
  <si>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</si>
  <si>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</si>
  <si>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</si>
  <si>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</si>
  <si>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</si>
  <si>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</si>
  <si>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</si>
  <si>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</si>
  <si>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</si>
  <si>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</si>
  <si>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</si>
  <si>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</si>
  <si>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</si>
  <si>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</si>
  <si>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</si>
  <si>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</si>
  <si>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</si>
  <si>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</si>
  <si>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</si>
  <si>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</si>
  <si>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</si>
  <si>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</si>
  <si>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</si>
  <si>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</si>
  <si>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</si>
  <si>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</si>
  <si>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</si>
  <si>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</si>
  <si>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</si>
  <si>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</si>
  <si>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</si>
  <si>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</si>
  <si>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</si>
  <si>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</si>
  <si>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</si>
  <si>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</si>
  <si>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</si>
  <si>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</si>
  <si>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</si>
  <si>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</si>
  <si>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</si>
  <si>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</si>
  <si>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</si>
  <si>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</si>
  <si>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</si>
  <si>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</si>
  <si>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</si>
  <si>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</si>
  <si>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</si>
  <si>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</si>
  <si>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</si>
  <si>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</si>
  <si>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</si>
  <si>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</si>
  <si>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</si>
  <si>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</si>
  <si>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</si>
  <si>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</si>
  <si>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</si>
  <si>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</si>
  <si>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</si>
  <si>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</si>
  <si>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</si>
  <si>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</si>
  <si>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</si>
  <si>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</si>
  <si>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</si>
  <si>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</si>
  <si>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</si>
  <si>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</si>
  <si>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</si>
  <si>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</si>
  <si>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</si>
  <si>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</si>
  <si>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</si>
  <si>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</si>
  <si>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</si>
  <si>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</si>
  <si>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</si>
  <si>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</si>
  <si>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</si>
  <si>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</si>
  <si>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</si>
  <si>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</si>
  <si>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</si>
  <si>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</si>
  <si>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</si>
  <si>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</si>
  <si>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</si>
  <si>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</si>
  <si>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</si>
  <si>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</si>
  <si>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</si>
  <si>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</si>
  <si>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</si>
  <si>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</si>
  <si>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</si>
  <si>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</si>
  <si>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</si>
  <si>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</si>
  <si>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</si>
  <si>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</si>
  <si>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</si>
  <si>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</si>
  <si>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</si>
  <si>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</si>
  <si>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</si>
  <si>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</si>
  <si>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</si>
  <si>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</si>
  <si>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</si>
  <si>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</si>
  <si>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</si>
  <si>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</si>
  <si>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</si>
  <si>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</si>
  <si>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</si>
  <si>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</si>
  <si>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</si>
  <si>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</si>
  <si>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</si>
  <si>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</si>
  <si>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</si>
  <si>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</si>
  <si>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</si>
  <si>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</si>
  <si>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</si>
  <si>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</si>
  <si>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</si>
  <si>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</si>
  <si>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</si>
  <si>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</si>
  <si>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</si>
  <si>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</si>
  <si>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</si>
  <si>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</si>
  <si>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</si>
  <si>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</si>
  <si>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</si>
  <si>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</si>
  <si>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</si>
  <si>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</si>
  <si>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</si>
  <si>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</si>
  <si>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</si>
  <si>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</si>
  <si>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</si>
  <si>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</si>
  <si>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</si>
  <si>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</si>
  <si>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</si>
  <si>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</si>
  <si>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</si>
  <si>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</si>
  <si>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</si>
  <si>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</si>
  <si>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</si>
  <si>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</si>
  <si>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</si>
  <si>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</si>
  <si>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</si>
  <si>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</si>
  <si>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</si>
  <si>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</si>
  <si>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</si>
  <si>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</si>
  <si>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</si>
  <si>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</si>
  <si>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</si>
  <si>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</si>
  <si>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</si>
  <si>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</si>
  <si>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</si>
  <si>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</si>
  <si>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</si>
  <si>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</si>
  <si>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</si>
  <si>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</si>
  <si>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</si>
  <si>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</si>
  <si>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</si>
  <si>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</si>
  <si>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</si>
  <si>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</si>
  <si>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</si>
  <si>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</si>
  <si>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</si>
  <si>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</si>
  <si>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</si>
  <si>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</si>
  <si>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</si>
  <si>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</si>
  <si>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</si>
  <si>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</si>
  <si>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</si>
  <si>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</si>
  <si>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</si>
  <si>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</si>
  <si>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</si>
  <si>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</si>
  <si>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</si>
  <si>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</si>
  <si>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</si>
  <si>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</si>
  <si>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</si>
  <si>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</si>
  <si>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</si>
  <si>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</si>
  <si>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</si>
  <si>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</si>
  <si>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</si>
  <si>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</si>
  <si>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</si>
  <si>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</si>
  <si>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</si>
  <si>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</si>
  <si>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</si>
  <si>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</si>
  <si>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</si>
  <si>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</si>
  <si>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</si>
  <si>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</si>
  <si>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</si>
  <si>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</si>
  <si>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</si>
  <si>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</si>
  <si>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</si>
  <si>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</si>
  <si>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</si>
  <si>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</si>
  <si>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</si>
  <si>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</si>
  <si>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</si>
  <si>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</si>
  <si>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</si>
  <si>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</si>
  <si>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</si>
  <si>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</si>
  <si>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</si>
  <si>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</si>
  <si>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</si>
  <si>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</si>
  <si>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</si>
  <si>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</si>
  <si>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</si>
  <si>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</si>
  <si>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</si>
  <si>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</si>
  <si>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</si>
  <si>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</si>
  <si>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</si>
  <si>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</si>
  <si>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</si>
  <si>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</si>
  <si>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</si>
  <si>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</si>
  <si>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</si>
  <si>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</si>
  <si>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</si>
  <si>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</si>
  <si>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</si>
  <si>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</si>
  <si>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</si>
  <si>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</si>
  <si>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</si>
  <si>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</si>
  <si>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</si>
  <si>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</si>
  <si>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</si>
  <si>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</si>
  <si>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</si>
  <si>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</si>
  <si>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</si>
  <si>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</si>
  <si>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</si>
  <si>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</si>
  <si>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</si>
  <si>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</si>
  <si>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</si>
  <si>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</si>
  <si>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</si>
  <si>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</si>
  <si>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</si>
  <si>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</si>
  <si>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</si>
  <si>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</si>
  <si>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</si>
  <si>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</si>
  <si>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</si>
  <si>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</si>
  <si>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</si>
  <si>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</si>
  <si>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</si>
  <si>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</si>
  <si>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</si>
  <si>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</si>
  <si>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</si>
  <si>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</si>
  <si>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</si>
  <si>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</si>
  <si>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</si>
  <si>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</si>
  <si>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</si>
  <si>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</si>
  <si>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</si>
  <si>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</si>
  <si>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</si>
  <si>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</si>
  <si>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</si>
  <si>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</si>
  <si>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</si>
  <si>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</si>
  <si>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</si>
  <si>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</si>
  <si>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</si>
  <si>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</si>
  <si>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</si>
  <si>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</si>
  <si>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</si>
  <si>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</si>
  <si>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</si>
  <si>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</si>
  <si>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</si>
  <si>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</si>
  <si>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</si>
  <si>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</si>
  <si>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</si>
  <si>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</si>
  <si>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</si>
  <si>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</si>
  <si>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</si>
  <si>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</si>
  <si>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</si>
  <si>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</si>
  <si>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</si>
  <si>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</si>
  <si>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</si>
  <si>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</si>
  <si>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</si>
  <si>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</si>
  <si>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</si>
  <si>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</si>
  <si>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</si>
  <si>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</si>
  <si>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</si>
  <si>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</si>
  <si>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</si>
  <si>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</si>
  <si>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</si>
  <si>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</si>
  <si>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</si>
  <si>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</si>
  <si>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</si>
  <si>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</si>
  <si>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</si>
  <si>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</si>
  <si>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</si>
  <si>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</si>
  <si>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</si>
  <si>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</si>
  <si>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</si>
  <si>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</si>
  <si>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</si>
  <si>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</si>
  <si>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</si>
  <si>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</si>
  <si>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</si>
  <si>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</si>
  <si>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</si>
  <si>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</si>
  <si>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</si>
  <si>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</si>
  <si>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</si>
  <si>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</si>
  <si>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</si>
  <si>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</si>
  <si>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</si>
  <si>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</si>
  <si>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</si>
  <si>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</si>
  <si>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</si>
  <si>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</si>
  <si>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</si>
  <si>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</si>
  <si>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</si>
  <si>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</si>
  <si>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</si>
  <si>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</si>
  <si>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</si>
  <si>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</si>
  <si>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</si>
  <si>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</si>
  <si>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</si>
  <si>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</si>
  <si>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</si>
  <si>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</si>
  <si>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</si>
  <si>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</si>
  <si>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</si>
  <si>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</si>
  <si>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</si>
  <si>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</si>
  <si>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</si>
  <si>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</si>
  <si>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</si>
  <si>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</si>
  <si>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</si>
  <si>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</si>
  <si>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</si>
  <si>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</si>
  <si>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</si>
  <si>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</si>
  <si>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</si>
  <si>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</si>
  <si>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</si>
  <si>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</si>
  <si>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</si>
  <si>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</si>
  <si>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</si>
  <si>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</si>
  <si>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</si>
  <si>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</si>
  <si>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</si>
  <si>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</si>
  <si>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</si>
  <si>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</si>
  <si>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</si>
  <si>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</si>
  <si>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</si>
  <si>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</si>
  <si>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</si>
  <si>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</si>
  <si>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</si>
  <si>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</si>
  <si>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</si>
  <si>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</si>
  <si>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</si>
  <si>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</si>
  <si>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</si>
  <si>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</si>
  <si>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</si>
  <si>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</si>
  <si>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</si>
  <si>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</si>
  <si>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</si>
  <si>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</si>
  <si>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</si>
  <si>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</si>
  <si>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</si>
  <si>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</si>
  <si>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</si>
  <si>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</si>
  <si>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</si>
  <si>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</si>
  <si>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</si>
  <si>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</si>
  <si>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</si>
  <si>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</si>
  <si>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</si>
  <si>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</si>
  <si>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</si>
  <si>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</si>
  <si>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</si>
  <si>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</si>
  <si>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</si>
  <si>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</si>
  <si>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</si>
  <si>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</si>
  <si>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</si>
  <si>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</si>
  <si>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</si>
  <si>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</si>
  <si>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</si>
  <si>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</si>
  <si>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</si>
  <si>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</si>
  <si>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</si>
  <si>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</si>
  <si>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</si>
  <si>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</si>
  <si>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</si>
  <si>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</si>
  <si>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</si>
  <si>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</si>
  <si>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</si>
  <si>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</si>
  <si>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</si>
  <si>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</si>
  <si>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</si>
  <si>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</si>
  <si>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</si>
  <si>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</si>
  <si>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</si>
  <si>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</si>
  <si>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</si>
  <si>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</si>
  <si>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</si>
  <si>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</si>
  <si>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</si>
  <si>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</si>
  <si>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</si>
  <si>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</si>
  <si>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</si>
  <si>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</si>
  <si>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</si>
  <si>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</si>
  <si>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</si>
  <si>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</si>
  <si>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</si>
  <si>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</si>
  <si>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</si>
  <si>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</si>
  <si>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</si>
  <si>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</si>
  <si>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</si>
  <si>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</si>
  <si>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</si>
  <si>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</si>
  <si>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</si>
  <si>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</si>
  <si>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</si>
  <si>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</si>
  <si>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</si>
  <si>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</si>
  <si>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</si>
  <si>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</si>
  <si>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</si>
  <si>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</si>
  <si>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</si>
  <si>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</si>
  <si>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</si>
  <si>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</si>
  <si>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</si>
  <si>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</si>
  <si>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</si>
  <si>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</si>
  <si>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</si>
  <si>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</si>
  <si>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</si>
  <si>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</si>
  <si>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</si>
  <si>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</si>
  <si>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</si>
  <si>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</si>
  <si>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</si>
  <si>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</si>
  <si>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</si>
  <si>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</si>
  <si>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</si>
  <si>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</si>
  <si>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</si>
  <si>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</si>
  <si>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</si>
  <si>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</si>
  <si>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</si>
  <si>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</si>
  <si>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</si>
  <si>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</si>
  <si>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</si>
  <si>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</si>
  <si>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</si>
  <si>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</si>
  <si>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</si>
  <si>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</si>
  <si>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</si>
  <si>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</si>
  <si>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</si>
  <si>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</si>
  <si>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</si>
  <si>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</si>
  <si>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</si>
  <si>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</si>
  <si>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</si>
  <si>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</si>
  <si>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</si>
  <si>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</si>
  <si>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</si>
  <si>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</si>
  <si>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</si>
  <si>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</si>
  <si>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</si>
  <si>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</si>
  <si>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</si>
  <si>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</si>
  <si>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</si>
  <si>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</si>
  <si>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</si>
  <si>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</si>
  <si>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</si>
  <si>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</si>
  <si>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</si>
  <si>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</si>
  <si>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</si>
  <si>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</si>
  <si>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</si>
  <si>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</si>
  <si>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</si>
  <si>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</si>
  <si>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</si>
  <si>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</si>
  <si>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</si>
  <si>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</si>
  <si>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</si>
  <si>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</si>
  <si>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</si>
  <si>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</si>
  <si>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</si>
  <si>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</si>
  <si>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</si>
  <si>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</si>
  <si>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</si>
  <si>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</si>
  <si>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</si>
  <si>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</si>
  <si>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</si>
  <si>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</si>
  <si>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</si>
  <si>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</si>
  <si>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</si>
  <si>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</si>
  <si>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</si>
  <si>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</si>
  <si>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</si>
  <si>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</si>
  <si>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</si>
  <si>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</si>
  <si>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</si>
  <si>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</si>
  <si>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</si>
  <si>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</si>
  <si>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</si>
  <si>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</si>
  <si>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</si>
  <si>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</si>
  <si>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</si>
  <si>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</si>
  <si>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</si>
  <si>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</si>
  <si>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</si>
  <si>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</si>
  <si>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</si>
  <si>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</si>
  <si>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</si>
  <si>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</si>
  <si>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</si>
  <si>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</si>
  <si>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</si>
  <si>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</si>
  <si>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</si>
  <si>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</si>
  <si>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</si>
  <si>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</si>
  <si>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</si>
  <si>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</si>
  <si>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</si>
  <si>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</si>
  <si>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</si>
  <si>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</si>
  <si>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</si>
  <si>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</si>
  <si>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</si>
  <si>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</si>
  <si>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</si>
  <si>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</si>
  <si>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</si>
  <si>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</si>
  <si>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</si>
  <si>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</si>
  <si>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</si>
  <si>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</si>
  <si>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</si>
  <si>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</si>
  <si>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</si>
  <si>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</si>
  <si>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</si>
  <si>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</si>
  <si>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</si>
  <si>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</si>
  <si>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</si>
  <si>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</si>
  <si>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</si>
  <si>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</si>
  <si>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</si>
  <si>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</si>
  <si>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</si>
  <si>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</si>
  <si>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</si>
  <si>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</si>
  <si>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</si>
  <si>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</si>
  <si>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</si>
  <si>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</si>
  <si>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</si>
  <si>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</si>
  <si>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</si>
  <si>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</si>
  <si>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</si>
  <si>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</si>
  <si>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</si>
  <si>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</si>
  <si>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</si>
  <si>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</si>
  <si>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</si>
  <si>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</si>
  <si>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</si>
  <si>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</si>
  <si>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</si>
  <si>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</si>
  <si>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</si>
  <si>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</si>
  <si>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</si>
  <si>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</si>
  <si>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</si>
  <si>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</si>
  <si>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</si>
  <si>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</si>
  <si>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</si>
  <si>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</si>
  <si>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</si>
  <si>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</si>
  <si>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</si>
  <si>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</si>
  <si>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</si>
  <si>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</si>
  <si>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</si>
  <si>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</si>
  <si>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</si>
  <si>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</si>
  <si>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</si>
  <si>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</si>
  <si>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</si>
  <si>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</si>
  <si>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</si>
  <si>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</si>
  <si>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</si>
  <si>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</si>
  <si>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</si>
  <si>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</si>
  <si>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</si>
  <si>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</si>
  <si>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</si>
  <si>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</si>
  <si>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</si>
  <si>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</si>
  <si>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</si>
  <si>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</si>
  <si>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</si>
  <si>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</si>
  <si>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</si>
  <si>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</si>
  <si>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</si>
  <si>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</si>
  <si>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</si>
  <si>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</si>
  <si>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</si>
  <si>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</si>
  <si>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</si>
  <si>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</si>
  <si>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</si>
  <si>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</si>
  <si>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</si>
  <si>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</si>
  <si>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</si>
  <si>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</si>
  <si>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</si>
  <si>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</si>
  <si>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</si>
  <si>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</si>
  <si>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</si>
  <si>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</si>
  <si>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</si>
  <si>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</si>
  <si>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</si>
  <si>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</si>
  <si>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</si>
  <si>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</si>
  <si>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</si>
  <si>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</si>
  <si>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</si>
  <si>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</si>
  <si>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</si>
  <si>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</si>
  <si>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</si>
  <si>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</si>
  <si>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</si>
  <si>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</si>
  <si>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</si>
  <si>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</si>
  <si>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</si>
  <si>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</si>
  <si>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</si>
  <si>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</si>
  <si>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</si>
  <si>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</si>
  <si>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</si>
  <si>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</si>
  <si>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</si>
  <si>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</si>
  <si>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</si>
  <si>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</si>
  <si>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</si>
  <si>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</si>
  <si>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</si>
  <si>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</si>
  <si>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</si>
  <si>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</si>
  <si>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</si>
  <si>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</si>
  <si>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</si>
  <si>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</si>
  <si>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</si>
  <si>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</si>
  <si>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</si>
  <si>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</si>
  <si>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</si>
  <si>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</si>
  <si>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</si>
  <si>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</si>
  <si>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</si>
  <si>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</si>
  <si>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</si>
  <si>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</si>
  <si>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</si>
  <si>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</si>
  <si>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</si>
  <si>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</si>
  <si>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</si>
  <si>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</si>
  <si>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</si>
  <si>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</si>
  <si>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</si>
  <si>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</si>
  <si>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</si>
  <si>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</si>
  <si>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</si>
  <si>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</si>
  <si>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</si>
  <si>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</si>
  <si>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</si>
  <si>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</si>
  <si>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</si>
  <si>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</si>
  <si>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</si>
  <si>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</si>
  <si>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</si>
  <si>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</si>
  <si>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</si>
  <si>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</si>
  <si>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</si>
  <si>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</si>
  <si>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</si>
  <si>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</si>
  <si>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</si>
  <si>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</si>
  <si>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</si>
  <si>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</si>
  <si>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</si>
  <si>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</si>
  <si>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</si>
  <si>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</si>
  <si>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</si>
  <si>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</si>
  <si>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</si>
  <si>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</si>
  <si>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</si>
  <si>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</si>
  <si>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</si>
  <si>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</si>
  <si>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</si>
  <si>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</si>
  <si>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</si>
  <si>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</si>
  <si>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</si>
  <si>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</si>
  <si>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</si>
  <si>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</si>
  <si>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</si>
  <si>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</si>
  <si>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</si>
  <si>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</si>
  <si>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</si>
  <si>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</si>
  <si>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</si>
  <si>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</si>
  <si>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</si>
  <si>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</si>
  <si>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</si>
  <si>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</si>
  <si>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</si>
  <si>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</si>
  <si>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</si>
  <si>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</si>
  <si>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</si>
  <si>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</si>
  <si>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</si>
  <si>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</si>
  <si>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</si>
  <si>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</si>
  <si>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</si>
  <si>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</si>
  <si>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</si>
  <si>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</si>
  <si>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</si>
  <si>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</si>
  <si>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</si>
  <si>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</si>
  <si>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</si>
  <si>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</si>
  <si>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</si>
  <si>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</si>
  <si>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</si>
  <si>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</si>
  <si>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</si>
  <si>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</si>
  <si>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</si>
  <si>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</si>
  <si>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</si>
  <si>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</si>
  <si>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</si>
  <si>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</si>
  <si>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</si>
  <si>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</si>
  <si>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</si>
  <si>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</si>
  <si>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</si>
  <si>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</si>
  <si>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</si>
  <si>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</si>
  <si>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</si>
  <si>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</si>
  <si>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</si>
  <si>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</si>
  <si>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</si>
  <si>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</si>
  <si>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</si>
  <si>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</si>
  <si>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</si>
  <si>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</si>
  <si>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</si>
  <si>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</si>
  <si>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</si>
  <si>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</si>
  <si>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</si>
  <si>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</si>
  <si>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</si>
  <si>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</si>
  <si>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</si>
  <si>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</si>
  <si>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</si>
  <si>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</si>
  <si>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</si>
  <si>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</si>
  <si>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</si>
  <si>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</si>
  <si>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</si>
  <si>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</si>
  <si>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</si>
  <si>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</si>
  <si>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</si>
  <si>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</si>
  <si>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</si>
  <si>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</si>
  <si>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</si>
  <si>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</si>
  <si>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</si>
  <si>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</si>
  <si>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</si>
  <si>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</si>
  <si>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</si>
  <si>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</si>
  <si>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</si>
  <si>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</si>
  <si>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</si>
  <si>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</si>
  <si>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</si>
  <si>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</si>
  <si>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</si>
  <si>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</si>
  <si>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</si>
  <si>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</si>
  <si>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</si>
  <si>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</si>
  <si>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</si>
  <si>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</si>
  <si>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</si>
  <si>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</si>
  <si>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</si>
  <si>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</si>
  <si>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</si>
  <si>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</si>
  <si>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</si>
  <si>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</si>
  <si>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Bureau</t>
  </si>
  <si>
    <t>204 Pleasant St.</t>
  </si>
  <si>
    <t xml:space="preserve">DePue  </t>
  </si>
  <si>
    <t>kenserb@depueschools.org</t>
  </si>
  <si>
    <t>Brad Kenser</t>
  </si>
  <si>
    <t>815-447-2121</t>
  </si>
  <si>
    <t>815-447-2067</t>
  </si>
  <si>
    <t>Hopkins &amp; Associates, CPAs</t>
  </si>
  <si>
    <t>Kim Bird</t>
  </si>
  <si>
    <t>314 S McCoy St</t>
  </si>
  <si>
    <t>Granville</t>
  </si>
  <si>
    <t>IL</t>
  </si>
  <si>
    <t>815-339-6630</t>
  </si>
  <si>
    <t>815-339-6643</t>
  </si>
  <si>
    <t>066-004501</t>
  </si>
  <si>
    <t>kim@hopkinsoffice.com</t>
  </si>
  <si>
    <t>x</t>
  </si>
  <si>
    <t>Working Cash Bonds</t>
  </si>
  <si>
    <t>O&amp;M-Plant Maintenance-Purchased Services</t>
  </si>
  <si>
    <t>Kendrick Pest Control</t>
  </si>
  <si>
    <t>Obralnder Alarm System</t>
  </si>
  <si>
    <t>Ruyle Mechanical Services</t>
  </si>
  <si>
    <t>AUCA Rockford/Aramark</t>
  </si>
  <si>
    <t>Getz Equipment</t>
  </si>
  <si>
    <t>BMP Co-op</t>
  </si>
  <si>
    <t>Hall soccer co-op</t>
  </si>
  <si>
    <t>LP Career Center</t>
  </si>
  <si>
    <t>Ed 1999 - $14,978 miscellaneous, $14,000 ROE grant, $6,230 misc small grants</t>
  </si>
  <si>
    <t xml:space="preserve">  DePue USD 103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</si>
</sst>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2051</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28006103022</v>
      </c>
      <c r="B13" s="2087"/>
      <c r="C13" s="2087"/>
      <c r="D13" s="2087"/>
      <c r="E13" s="2087"/>
      <c r="F13" s="2087"/>
      <c r="G13" s="2087"/>
      <c r="H13" s="2088"/>
      <c r="I13" s="31"/>
      <c r="J13" s="30"/>
      <c r="K13" s="28"/>
      <c r="L13" s="30"/>
      <c r="M13" s="30"/>
      <c r="N13" s="30"/>
      <c r="O13" s="30"/>
      <c r="P13" s="30"/>
      <c r="Q13" s="30"/>
      <c r="R13" s="30"/>
      <c r="S13" s="30"/>
      <c r="T13" s="2091" t="s">
        <v>2059</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2052</v>
      </c>
      <c r="B15" s="2089"/>
      <c r="C15" s="2089"/>
      <c r="D15" s="2089"/>
      <c r="E15" s="2089"/>
      <c r="F15" s="2089"/>
      <c r="G15" s="2089"/>
      <c r="H15" s="2090"/>
      <c r="T15" s="2052" t="s">
        <v>2060</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2080</v>
      </c>
      <c r="B17" s="2114"/>
      <c r="C17" s="2114"/>
      <c r="D17" s="2114"/>
      <c r="E17" s="2114"/>
      <c r="F17" s="2114"/>
      <c r="G17" s="2114"/>
      <c r="H17" s="2115"/>
      <c r="T17" s="2101" t="s">
        <v>2061</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2053</v>
      </c>
      <c r="B19" s="2085"/>
      <c r="C19" s="2085"/>
      <c r="D19" s="2085"/>
      <c r="E19" s="2085"/>
      <c r="F19" s="2085"/>
      <c r="G19" s="2085"/>
      <c r="H19" s="2083"/>
      <c r="I19" s="30"/>
      <c r="J19" s="96"/>
      <c r="K19" s="40"/>
      <c r="L19" s="38"/>
      <c r="M19" s="109" t="s">
        <v>312</v>
      </c>
      <c r="P19" s="27"/>
      <c r="Q19" s="27"/>
      <c r="R19" s="27"/>
      <c r="S19" s="31"/>
      <c r="T19" s="2084" t="s">
        <v>2062</v>
      </c>
      <c r="U19" s="2082"/>
      <c r="V19" s="2082"/>
      <c r="W19" s="2083"/>
      <c r="X19" s="2099" t="s">
        <v>2063</v>
      </c>
      <c r="Y19" s="2100"/>
      <c r="Z19" s="2097">
        <v>61326</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2054</v>
      </c>
      <c r="B21" s="2082"/>
      <c r="C21" s="2082"/>
      <c r="D21" s="2082"/>
      <c r="E21" s="2082"/>
      <c r="F21" s="2082"/>
      <c r="G21" s="2082"/>
      <c r="H21" s="2083"/>
      <c r="I21" s="2107" t="s">
        <v>673</v>
      </c>
      <c r="J21" s="2070"/>
      <c r="K21" s="2070"/>
      <c r="L21" s="2070"/>
      <c r="M21" s="2070"/>
      <c r="N21" s="2070"/>
      <c r="O21" s="2070"/>
      <c r="P21" s="2070"/>
      <c r="Q21" s="2070"/>
      <c r="R21" s="2070"/>
      <c r="S21" s="2071"/>
      <c r="T21" s="2049" t="s">
        <v>2064</v>
      </c>
      <c r="U21" s="2050"/>
      <c r="V21" s="2050"/>
      <c r="W21" s="2050"/>
      <c r="X21" s="2063" t="s">
        <v>2065</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2055</v>
      </c>
      <c r="B23" s="2105"/>
      <c r="C23" s="2105"/>
      <c r="D23" s="2105"/>
      <c r="E23" s="2105"/>
      <c r="F23" s="2105"/>
      <c r="G23" s="2105"/>
      <c r="H23" s="2106"/>
      <c r="T23" s="2044" t="s">
        <v>2066</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61322</v>
      </c>
      <c r="B25" s="2082"/>
      <c r="C25" s="2082"/>
      <c r="D25" s="2082"/>
      <c r="E25" s="2082"/>
      <c r="F25" s="2082"/>
      <c r="G25" s="2082"/>
      <c r="H25" s="2083"/>
      <c r="I25" s="110"/>
      <c r="J25" s="2148"/>
      <c r="K25" s="2148"/>
      <c r="L25" s="2148"/>
      <c r="M25" s="2148"/>
      <c r="N25" s="2148"/>
      <c r="O25" s="2148"/>
      <c r="P25" s="2148"/>
      <c r="Q25" s="2148"/>
      <c r="R25" s="2148"/>
      <c r="S25" s="2149"/>
      <c r="T25" s="2041" t="s">
        <v>2067</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2056</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2055</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2057</v>
      </c>
      <c r="B42" s="2131"/>
      <c r="C42" s="2132"/>
      <c r="D42" s="2145" t="s">
        <v>2058</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6" sqref="E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200774</v>
      </c>
      <c r="C4" s="1722"/>
      <c r="D4" s="1723">
        <f>B4-C4</f>
        <v>200774</v>
      </c>
      <c r="E4" s="1722">
        <v>216087</v>
      </c>
      <c r="F4" s="1723">
        <f>E4-C4</f>
        <v>216087</v>
      </c>
    </row>
    <row r="5" spans="1:8" ht="13.7" customHeight="1" x14ac:dyDescent="0.2">
      <c r="A5" s="579" t="s">
        <v>865</v>
      </c>
      <c r="B5" s="1724">
        <f>'Revenues 9-14'!D5</f>
        <v>38700</v>
      </c>
      <c r="C5" s="1664"/>
      <c r="D5" s="1725">
        <f t="shared" ref="D5:D18" si="0">B5-C5</f>
        <v>38700</v>
      </c>
      <c r="E5" s="1664">
        <v>42767</v>
      </c>
      <c r="F5" s="1725">
        <f>E5-C5</f>
        <v>42767</v>
      </c>
    </row>
    <row r="6" spans="1:8" ht="13.7" customHeight="1" x14ac:dyDescent="0.2">
      <c r="A6" s="579" t="s">
        <v>408</v>
      </c>
      <c r="B6" s="1724">
        <f>'Revenues 9-14'!E5</f>
        <v>67460</v>
      </c>
      <c r="C6" s="1664"/>
      <c r="D6" s="1725">
        <f t="shared" si="0"/>
        <v>67460</v>
      </c>
      <c r="E6" s="1664">
        <v>67493</v>
      </c>
      <c r="F6" s="1725">
        <f t="shared" ref="F6:F18" si="1">E6-C6</f>
        <v>67493</v>
      </c>
    </row>
    <row r="7" spans="1:8" ht="13.7" customHeight="1" x14ac:dyDescent="0.2">
      <c r="A7" s="579" t="s">
        <v>154</v>
      </c>
      <c r="B7" s="1724">
        <f>'Revenues 9-14'!F5</f>
        <v>16511</v>
      </c>
      <c r="C7" s="1664"/>
      <c r="D7" s="1725">
        <f t="shared" si="0"/>
        <v>16511</v>
      </c>
      <c r="E7" s="1664">
        <v>18007</v>
      </c>
      <c r="F7" s="1725">
        <f t="shared" si="1"/>
        <v>18007</v>
      </c>
    </row>
    <row r="8" spans="1:8" ht="13.7" customHeight="1" x14ac:dyDescent="0.2">
      <c r="A8" s="579" t="s">
        <v>1169</v>
      </c>
      <c r="B8" s="1724">
        <f>'Revenues 9-14'!G5</f>
        <v>62555</v>
      </c>
      <c r="C8" s="1664"/>
      <c r="D8" s="1725">
        <f t="shared" si="0"/>
        <v>62555</v>
      </c>
      <c r="E8" s="1664">
        <v>61001</v>
      </c>
      <c r="F8" s="1725">
        <f t="shared" si="1"/>
        <v>61001</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3856</v>
      </c>
      <c r="C10" s="1664"/>
      <c r="D10" s="1725">
        <f t="shared" si="0"/>
        <v>3856</v>
      </c>
      <c r="E10" s="1664">
        <v>4502</v>
      </c>
      <c r="F10" s="1725">
        <f t="shared" si="1"/>
        <v>4502</v>
      </c>
    </row>
    <row r="11" spans="1:8" x14ac:dyDescent="0.2">
      <c r="A11" s="579" t="s">
        <v>406</v>
      </c>
      <c r="B11" s="1724">
        <f>'Revenues 9-14'!J5</f>
        <v>115433</v>
      </c>
      <c r="C11" s="1664"/>
      <c r="D11" s="1725">
        <f t="shared" si="0"/>
        <v>115433</v>
      </c>
      <c r="E11" s="1664">
        <v>124001</v>
      </c>
      <c r="F11" s="1725">
        <f t="shared" si="1"/>
        <v>124001</v>
      </c>
    </row>
    <row r="12" spans="1:8" ht="13.7" customHeight="1" x14ac:dyDescent="0.2">
      <c r="A12" s="579" t="s">
        <v>156</v>
      </c>
      <c r="B12" s="1724">
        <f>'Revenues 9-14'!K5</f>
        <v>4074</v>
      </c>
      <c r="C12" s="1664"/>
      <c r="D12" s="1725">
        <f t="shared" si="0"/>
        <v>4074</v>
      </c>
      <c r="E12" s="1664">
        <v>4502</v>
      </c>
      <c r="F12" s="1725">
        <f t="shared" si="1"/>
        <v>4502</v>
      </c>
    </row>
    <row r="13" spans="1:8" ht="13.7" customHeight="1" x14ac:dyDescent="0.2">
      <c r="A13" s="579" t="s">
        <v>930</v>
      </c>
      <c r="B13" s="1724">
        <f>SUM('Revenues 9-14'!C6:D6)</f>
        <v>4074</v>
      </c>
      <c r="C13" s="1664"/>
      <c r="D13" s="1725">
        <f t="shared" si="0"/>
        <v>4074</v>
      </c>
      <c r="E13" s="1664">
        <v>4502</v>
      </c>
      <c r="F13" s="1725">
        <f t="shared" si="1"/>
        <v>4502</v>
      </c>
    </row>
    <row r="14" spans="1:8" ht="13.7" customHeight="1" x14ac:dyDescent="0.2">
      <c r="A14" s="579" t="s">
        <v>407</v>
      </c>
      <c r="B14" s="1724">
        <f>SUM('Revenues 9-14'!C7:D7,'Revenues 9-14'!F7:H7)</f>
        <v>3259</v>
      </c>
      <c r="C14" s="1664"/>
      <c r="D14" s="1725">
        <f t="shared" si="0"/>
        <v>3259</v>
      </c>
      <c r="E14" s="1664">
        <v>3601</v>
      </c>
      <c r="F14" s="1725">
        <f t="shared" si="1"/>
        <v>3601</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62555</v>
      </c>
      <c r="C16" s="1664"/>
      <c r="D16" s="1725">
        <f t="shared" si="0"/>
        <v>62555</v>
      </c>
      <c r="E16" s="1664">
        <v>61000</v>
      </c>
      <c r="F16" s="1725">
        <f t="shared" si="1"/>
        <v>61000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579251</v>
      </c>
      <c r="C19" s="1726">
        <f>SUM(C4:C18)</f>
        <v>0</v>
      </c>
      <c r="D19" s="1726">
        <f>SUM(D4:D18)</f>
        <v>579251</v>
      </c>
      <c r="E19" s="1726">
        <f>SUM(E4:E18)</f>
        <v>607463</v>
      </c>
      <c r="F19" s="1726">
        <f>SUM(F4:F18)</f>
        <v>607463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BreakPreview" topLeftCell="A16" colorId="8" zoomScale="6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41091</v>
      </c>
      <c r="C31" s="1734">
        <v>150000</v>
      </c>
      <c r="D31" s="1735">
        <v>1</v>
      </c>
      <c r="E31" s="1734">
        <v>95000</v>
      </c>
      <c r="F31" s="1734"/>
      <c r="G31" s="1734"/>
      <c r="H31" s="1734">
        <v>35000</v>
      </c>
      <c r="I31" s="1736">
        <f>((E31+F31)-H31)+G31</f>
        <v>60000</v>
      </c>
      <c r="J31" s="1734">
        <v>43706</v>
      </c>
      <c r="K31" s="596"/>
    </row>
    <row r="32" spans="1:11" ht="12" customHeight="1" x14ac:dyDescent="0.2">
      <c r="A32" s="594" t="s">
        <v>2069</v>
      </c>
      <c r="B32" s="595">
        <v>43138</v>
      </c>
      <c r="C32" s="1734">
        <v>125000</v>
      </c>
      <c r="D32" s="1735">
        <v>1</v>
      </c>
      <c r="E32" s="1734">
        <v>100000</v>
      </c>
      <c r="F32" s="1734"/>
      <c r="G32" s="1734"/>
      <c r="H32" s="1734">
        <v>30000</v>
      </c>
      <c r="I32" s="1736">
        <f>((E32+F32)-H32)+G32</f>
        <v>70000</v>
      </c>
      <c r="J32" s="1734">
        <v>70000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275000</v>
      </c>
      <c r="D49" s="1742"/>
      <c r="E49" s="1736">
        <f t="shared" ref="E49:J49" si="2">SUM(E31:E48)</f>
        <v>195000</v>
      </c>
      <c r="F49" s="1736">
        <f t="shared" si="2"/>
        <v>0</v>
      </c>
      <c r="G49" s="1736">
        <f t="shared" si="2"/>
        <v>0</v>
      </c>
      <c r="H49" s="1736">
        <f t="shared" si="2"/>
        <v>65000</v>
      </c>
      <c r="I49" s="1736">
        <f t="shared" si="2"/>
        <v>130000</v>
      </c>
      <c r="J49" s="1736">
        <f t="shared" si="2"/>
        <v>113706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3"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3259</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4120</v>
      </c>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3259</v>
      </c>
      <c r="I12" s="1755">
        <f>SUM(I5:I11)</f>
        <v>0</v>
      </c>
      <c r="J12" s="1755">
        <f>SUM(J5:J11)</f>
        <v>0</v>
      </c>
      <c r="K12" s="1755">
        <f>SUM(K5:K11)</f>
        <v>4120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3259</v>
      </c>
      <c r="I14" s="1749"/>
      <c r="J14" s="1751"/>
      <c r="K14" s="1745">
        <v>4120</v>
      </c>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3259</v>
      </c>
      <c r="I23" s="1755">
        <f>SUM(I14:I16,I21,I22)</f>
        <v>0</v>
      </c>
      <c r="J23" s="1755">
        <f>SUM(J14:J16,J21,J22)</f>
        <v>0</v>
      </c>
      <c r="K23" s="1755">
        <f>SUM(K14:K16,K21,K22)</f>
        <v>4120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32" sqref="I3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99312</v>
      </c>
      <c r="D5" s="1770"/>
      <c r="E5" s="1770"/>
      <c r="F5" s="1765">
        <f>(C5+D5)-E5</f>
        <v>99312</v>
      </c>
      <c r="G5" s="676"/>
      <c r="H5" s="680"/>
      <c r="I5" s="680"/>
      <c r="J5" s="680"/>
      <c r="K5" s="637"/>
      <c r="L5" s="1442">
        <f>F5-K5</f>
        <v>99312</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2246964</v>
      </c>
      <c r="D8" s="1771"/>
      <c r="E8" s="1771"/>
      <c r="F8" s="1765">
        <f>(C8+D8)-E8</f>
        <v>2246964</v>
      </c>
      <c r="G8" s="681">
        <v>50</v>
      </c>
      <c r="H8" s="619">
        <v>1437335</v>
      </c>
      <c r="I8" s="619">
        <v>66503</v>
      </c>
      <c r="J8" s="619"/>
      <c r="K8" s="1442">
        <f>(H8+I8)-J8</f>
        <v>1503838</v>
      </c>
      <c r="L8" s="1442">
        <f>F8-K8</f>
        <v>743126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176024</v>
      </c>
      <c r="D10" s="1772">
        <v>21700</v>
      </c>
      <c r="E10" s="1772"/>
      <c r="F10" s="1773">
        <f>(C10+D10)-E10</f>
        <v>197724</v>
      </c>
      <c r="G10" s="681">
        <v>20</v>
      </c>
      <c r="H10" s="683">
        <v>107904</v>
      </c>
      <c r="I10" s="683">
        <v>6949</v>
      </c>
      <c r="J10" s="683"/>
      <c r="K10" s="1442">
        <f>(H10+I10)-J10</f>
        <v>114853</v>
      </c>
      <c r="L10" s="1442">
        <f>F10-K10</f>
        <v>82871</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1634437</v>
      </c>
      <c r="D12" s="1771"/>
      <c r="E12" s="1771"/>
      <c r="F12" s="1765">
        <f>(C12+D12)-E12</f>
        <v>1634437</v>
      </c>
      <c r="G12" s="681">
        <v>10</v>
      </c>
      <c r="H12" s="619">
        <v>1620313</v>
      </c>
      <c r="I12" s="619">
        <v>3018</v>
      </c>
      <c r="J12" s="619"/>
      <c r="K12" s="1442">
        <f>(H12+I12)-J12</f>
        <v>1623331</v>
      </c>
      <c r="L12" s="1442">
        <f>F12-K12</f>
        <v>11106</v>
      </c>
    </row>
    <row r="13" spans="1:14" ht="14.25" thickTop="1" thickBot="1" x14ac:dyDescent="0.25">
      <c r="A13" s="684" t="s">
        <v>1112</v>
      </c>
      <c r="B13" s="679">
        <v>252</v>
      </c>
      <c r="C13" s="1771">
        <v>66361</v>
      </c>
      <c r="D13" s="1771"/>
      <c r="E13" s="1771">
        <v>13615</v>
      </c>
      <c r="F13" s="1765">
        <f>(C13+D13)-E13</f>
        <v>52746</v>
      </c>
      <c r="G13" s="681">
        <v>5</v>
      </c>
      <c r="H13" s="619">
        <v>63574</v>
      </c>
      <c r="I13" s="619">
        <v>2787</v>
      </c>
      <c r="J13" s="619">
        <v>13615</v>
      </c>
      <c r="K13" s="1442">
        <f>(H13+I13)-J13</f>
        <v>52746</v>
      </c>
      <c r="L13" s="1442">
        <f>F13-K13</f>
        <v>0</v>
      </c>
    </row>
    <row r="14" spans="1:14" ht="14.25" thickTop="1" thickBot="1" x14ac:dyDescent="0.25">
      <c r="A14" s="684" t="s">
        <v>1113</v>
      </c>
      <c r="B14" s="679">
        <v>253</v>
      </c>
      <c r="C14" s="1745">
        <v>79833</v>
      </c>
      <c r="D14" s="1745">
        <v>4350</v>
      </c>
      <c r="E14" s="1745"/>
      <c r="F14" s="1765">
        <f>(C14+D14)-E14</f>
        <v>84183</v>
      </c>
      <c r="G14" s="681">
        <v>3</v>
      </c>
      <c r="H14" s="619">
        <v>66858</v>
      </c>
      <c r="I14" s="619">
        <v>2777</v>
      </c>
      <c r="J14" s="619"/>
      <c r="K14" s="1442">
        <f>(H14+I14)-J14</f>
        <v>69635</v>
      </c>
      <c r="L14" s="1442">
        <f>F14-K14</f>
        <v>14548</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4302931</v>
      </c>
      <c r="D16" s="1765">
        <f>SUM(D3,D5:D6,D8:D10,D12:D15)</f>
        <v>26050</v>
      </c>
      <c r="E16" s="1765">
        <f>SUM(E3,E5:E6,E8:E10,E12:E15)</f>
        <v>13615</v>
      </c>
      <c r="F16" s="1765">
        <f>SUM(F3,F5:F6,F8:F10,F12:F15)</f>
        <v>4315366</v>
      </c>
      <c r="G16" s="681"/>
      <c r="H16" s="1435">
        <f>SUM(H3,H6,H8:H10,H12:H14,)</f>
        <v>3295984</v>
      </c>
      <c r="I16" s="1435">
        <f>SUM(I3,I6,I8:I10,I12:I14,)</f>
        <v>82034</v>
      </c>
      <c r="J16" s="1435">
        <f>SUM(J3,J6,J8:J10,J12:J14,)</f>
        <v>13615</v>
      </c>
      <c r="K16" s="1435">
        <f>(H16+I16)-J16</f>
        <v>3364403</v>
      </c>
      <c r="L16" s="1435">
        <f>F16-K16</f>
        <v>950963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82034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4" colorId="8" zoomScale="110" zoomScaleNormal="110" workbookViewId="0">
      <selection activeCell="F183" sqref="F18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3466980</v>
      </c>
      <c r="G8" s="701"/>
    </row>
    <row r="9" spans="1:9" x14ac:dyDescent="0.2">
      <c r="A9" s="705" t="s">
        <v>457</v>
      </c>
      <c r="B9" s="706" t="s">
        <v>1848</v>
      </c>
      <c r="C9" s="707"/>
      <c r="D9" s="705" t="s">
        <v>498</v>
      </c>
      <c r="E9" s="704"/>
      <c r="F9" s="1775">
        <f>'Expenditures 15-22'!K151</f>
        <v>334198</v>
      </c>
      <c r="G9" s="708"/>
    </row>
    <row r="10" spans="1:9" x14ac:dyDescent="0.2">
      <c r="A10" s="705" t="s">
        <v>496</v>
      </c>
      <c r="B10" s="706" t="s">
        <v>1849</v>
      </c>
      <c r="C10" s="707"/>
      <c r="D10" s="705" t="s">
        <v>498</v>
      </c>
      <c r="E10" s="704"/>
      <c r="F10" s="1775">
        <f>'Expenditures 15-22'!K174</f>
        <v>70025</v>
      </c>
      <c r="G10" s="708"/>
    </row>
    <row r="11" spans="1:9" x14ac:dyDescent="0.2">
      <c r="A11" s="705" t="s">
        <v>458</v>
      </c>
      <c r="B11" s="706" t="s">
        <v>1850</v>
      </c>
      <c r="C11" s="707"/>
      <c r="D11" s="705" t="s">
        <v>498</v>
      </c>
      <c r="E11" s="704"/>
      <c r="F11" s="1775">
        <f>'Expenditures 15-22'!K210</f>
        <v>173365</v>
      </c>
      <c r="G11" s="708"/>
    </row>
    <row r="12" spans="1:9" x14ac:dyDescent="0.2">
      <c r="A12" s="705" t="s">
        <v>459</v>
      </c>
      <c r="B12" s="706" t="s">
        <v>1851</v>
      </c>
      <c r="C12" s="707"/>
      <c r="D12" s="705" t="s">
        <v>498</v>
      </c>
      <c r="E12" s="704"/>
      <c r="F12" s="1775">
        <f>'Expenditures 15-22'!K295</f>
        <v>122543</v>
      </c>
      <c r="G12" s="708"/>
    </row>
    <row r="13" spans="1:9" x14ac:dyDescent="0.2">
      <c r="A13" s="705" t="s">
        <v>106</v>
      </c>
      <c r="B13" s="706" t="s">
        <v>1852</v>
      </c>
      <c r="C13" s="707"/>
      <c r="D13" s="705" t="s">
        <v>498</v>
      </c>
      <c r="E13" s="704"/>
      <c r="F13" s="1775">
        <f>'Expenditures 15-22'!K342</f>
        <v>32465</v>
      </c>
      <c r="G13" s="709"/>
    </row>
    <row r="14" spans="1:9" ht="12" customHeight="1" thickBot="1" x14ac:dyDescent="0.25">
      <c r="A14" s="1443"/>
      <c r="B14" s="1444"/>
      <c r="C14" s="1445"/>
      <c r="D14" s="1446" t="s">
        <v>498</v>
      </c>
      <c r="E14" s="1447" t="s">
        <v>952</v>
      </c>
      <c r="F14" s="1776">
        <f>SUM(F8:F13)</f>
        <v>4199576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77295</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6566</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79708</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25518</v>
      </c>
      <c r="G52" s="701"/>
    </row>
    <row r="53" spans="1:7" x14ac:dyDescent="0.2">
      <c r="A53" s="705" t="s">
        <v>456</v>
      </c>
      <c r="B53" s="705" t="s">
        <v>1458</v>
      </c>
      <c r="C53" s="724">
        <f>'Expenditures 15-22'!B102</f>
        <v>4000</v>
      </c>
      <c r="D53" s="723" t="str">
        <f>'Expenditures 15-22'!A102</f>
        <v>Total Payments to Other Govt Units</v>
      </c>
      <c r="E53" s="704"/>
      <c r="F53" s="1782">
        <f>'Expenditures 15-22'!K102</f>
        <v>228756</v>
      </c>
      <c r="G53" s="701"/>
    </row>
    <row r="54" spans="1:7" x14ac:dyDescent="0.2">
      <c r="A54" s="705" t="s">
        <v>456</v>
      </c>
      <c r="B54" s="705" t="s">
        <v>1459</v>
      </c>
      <c r="C54" s="724" t="s">
        <v>975</v>
      </c>
      <c r="D54" s="720" t="s">
        <v>1086</v>
      </c>
      <c r="E54" s="704"/>
      <c r="F54" s="1782">
        <f>'Expenditures 15-22'!G114</f>
        <v>4350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21700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65000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13782</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10209</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3556</v>
      </c>
      <c r="G67" s="701"/>
    </row>
    <row r="68" spans="1:9" x14ac:dyDescent="0.2">
      <c r="A68" s="705" t="s">
        <v>459</v>
      </c>
      <c r="B68" s="705" t="s">
        <v>1462</v>
      </c>
      <c r="C68" s="721" t="str">
        <f>'Expenditures 15-22'!B218</f>
        <v>1225</v>
      </c>
      <c r="D68" s="727" t="str">
        <f>'Expenditures 15-22'!A218</f>
        <v>Special Education Programs - Pre-K</v>
      </c>
      <c r="E68" s="704"/>
      <c r="F68" s="1782">
        <f>'Expenditures 15-22'!K218</f>
        <v>84</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1896</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538420</v>
      </c>
      <c r="G77" s="701"/>
    </row>
    <row r="78" spans="1:9" s="728" customFormat="1" ht="12" customHeight="1" thickTop="1" thickBot="1" x14ac:dyDescent="0.25">
      <c r="A78" s="1450"/>
      <c r="B78" s="1448"/>
      <c r="C78" s="1445"/>
      <c r="D78" s="1449" t="s">
        <v>2012</v>
      </c>
      <c r="E78" s="1447"/>
      <c r="F78" s="1788">
        <f>(F14-F77)</f>
        <v>3661156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f>243.208+99.789</f>
        <v>342.99700000000001</v>
      </c>
      <c r="G79" s="733"/>
      <c r="H79" s="705"/>
      <c r="I79" s="705"/>
    </row>
    <row r="80" spans="1:9" s="728" customFormat="1" ht="12" customHeight="1" thickBot="1" x14ac:dyDescent="0.25">
      <c r="A80" s="1452"/>
      <c r="B80" s="1448"/>
      <c r="C80" s="1445"/>
      <c r="D80" s="1449" t="s">
        <v>2013</v>
      </c>
      <c r="E80" s="1447" t="s">
        <v>952</v>
      </c>
      <c r="F80" s="1790">
        <f>IF(F79&gt;0,F78/F79," Complete Line 79")</f>
        <v>10674.01755700487</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787</v>
      </c>
      <c r="G95" s="745"/>
    </row>
    <row r="96" spans="1:7" x14ac:dyDescent="0.2">
      <c r="A96" s="741" t="s">
        <v>139</v>
      </c>
      <c r="B96" s="741" t="s">
        <v>174</v>
      </c>
      <c r="C96" s="743">
        <v>1700</v>
      </c>
      <c r="D96" s="751" t="str">
        <f>'Revenues 9-14'!A82</f>
        <v>Total District/School Activity Income</v>
      </c>
      <c r="E96" s="739"/>
      <c r="F96" s="1793">
        <f>SUM('Revenues 9-14'!C82,'Revenues 9-14'!D82)</f>
        <v>10470</v>
      </c>
      <c r="G96" s="745"/>
    </row>
    <row r="97" spans="1:7" x14ac:dyDescent="0.2">
      <c r="A97" s="741" t="s">
        <v>456</v>
      </c>
      <c r="B97" s="741" t="s">
        <v>175</v>
      </c>
      <c r="C97" s="743">
        <f>'Revenues 9-14'!B84</f>
        <v>1811</v>
      </c>
      <c r="D97" s="744" t="str">
        <f>'Revenues 9-14'!A84</f>
        <v>Rentals - Regular Textbooks</v>
      </c>
      <c r="E97" s="739"/>
      <c r="F97" s="1793">
        <f>'Revenues 9-14'!C84</f>
        <v>12555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12811</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33317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4284</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4120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123055</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349839</v>
      </c>
      <c r="G126" s="763"/>
    </row>
    <row r="127" spans="1:7" x14ac:dyDescent="0.2">
      <c r="A127" s="760" t="s">
        <v>663</v>
      </c>
      <c r="B127" s="760" t="s">
        <v>1931</v>
      </c>
      <c r="C127" s="765">
        <v>4300</v>
      </c>
      <c r="D127" s="766" t="str">
        <f>'Revenues 9-14'!A204</f>
        <v>Total Title I</v>
      </c>
      <c r="E127" s="739"/>
      <c r="F127" s="1793">
        <f>SUM('Revenues 9-14'!C204,'Revenues 9-14'!D204,'Revenues 9-14'!F204,'Revenues 9-14'!G204)</f>
        <v>93189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1334</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14830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18405</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65520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190222</v>
      </c>
      <c r="G172" s="760"/>
    </row>
    <row r="173" spans="1:7" x14ac:dyDescent="0.2">
      <c r="A173" s="1529" t="s">
        <v>659</v>
      </c>
      <c r="B173" s="1530" t="s">
        <v>1885</v>
      </c>
      <c r="C173" s="1531">
        <v>3300</v>
      </c>
      <c r="D173" s="1532" t="s">
        <v>1888</v>
      </c>
      <c r="E173" s="739"/>
      <c r="F173" s="1794">
        <v>91958</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1076696</v>
      </c>
    </row>
    <row r="176" spans="1:7" ht="12" customHeight="1" x14ac:dyDescent="0.2">
      <c r="A176" s="1443"/>
      <c r="B176" s="1453"/>
      <c r="C176" s="1454"/>
      <c r="D176" s="1455" t="s">
        <v>2014</v>
      </c>
      <c r="E176" s="1456"/>
      <c r="F176" s="1793">
        <f>'PCTC-OEPP 27-28'!F78-F175</f>
        <v>2584460</v>
      </c>
    </row>
    <row r="177" spans="1:9" ht="12" customHeight="1" x14ac:dyDescent="0.2">
      <c r="A177" s="1443"/>
      <c r="B177" s="1453"/>
      <c r="C177" s="1454"/>
      <c r="D177" s="1455" t="s">
        <v>1794</v>
      </c>
      <c r="E177" s="1456"/>
      <c r="F177" s="1793">
        <f>'Cap Outlay Deprec 26'!I18</f>
        <v>82034</v>
      </c>
    </row>
    <row r="178" spans="1:9" ht="12" customHeight="1" x14ac:dyDescent="0.2">
      <c r="A178" s="1443"/>
      <c r="B178" s="1453"/>
      <c r="C178" s="1454"/>
      <c r="D178" s="1455" t="s">
        <v>2015</v>
      </c>
      <c r="E178" s="1456"/>
      <c r="F178" s="1793">
        <f>F176+F177</f>
        <v>2666494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342.99700000000001</v>
      </c>
      <c r="G179" s="763"/>
      <c r="I179" s="701"/>
    </row>
    <row r="180" spans="1:9" ht="12" customHeight="1" thickBot="1" x14ac:dyDescent="0.25">
      <c r="A180" s="1443"/>
      <c r="B180" s="1457"/>
      <c r="C180" s="1454"/>
      <c r="D180" s="1455" t="s">
        <v>2017</v>
      </c>
      <c r="E180" s="1456" t="s">
        <v>1528</v>
      </c>
      <c r="F180" s="1798">
        <f>F178/F179</f>
        <v>7774.1029804925402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0" zoomScaleNormal="100" workbookViewId="0">
      <selection activeCell="B20" sqref="B20"/>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2070</v>
      </c>
      <c r="B18" s="1908">
        <v>202540300</v>
      </c>
      <c r="C18" s="2036" t="s">
        <v>2071</v>
      </c>
      <c r="D18" s="1886">
        <f>45*12</f>
        <v>540</v>
      </c>
      <c r="E18" s="1906">
        <f t="shared" ref="E18:E81" si="0">IF(D18&lt;25000,D18,"25,000")</f>
        <v>540</v>
      </c>
      <c r="F18" s="1906" t="str">
        <f t="shared" ref="F18:F81" si="1">IF(D18&gt;=25000,(D18-E18),"0")</f>
        <v>0</v>
      </c>
      <c r="G18" s="1887"/>
    </row>
    <row r="19" spans="1:7" x14ac:dyDescent="0.25">
      <c r="A19" s="2035" t="s">
        <v>2070</v>
      </c>
      <c r="B19" s="1908">
        <v>202540300</v>
      </c>
      <c r="C19" s="2036" t="s">
        <v>2072</v>
      </c>
      <c r="D19" s="1886">
        <f>122*4</f>
        <v>488</v>
      </c>
      <c r="E19" s="1906">
        <f t="shared" si="0"/>
        <v>488</v>
      </c>
      <c r="F19" s="1906" t="str">
        <f t="shared" si="1"/>
        <v>0</v>
      </c>
    </row>
    <row r="20" spans="1:7" x14ac:dyDescent="0.25">
      <c r="A20" s="2035" t="s">
        <v>2070</v>
      </c>
      <c r="B20" s="1908">
        <v>202540300</v>
      </c>
      <c r="C20" s="2036" t="s">
        <v>2073</v>
      </c>
      <c r="D20" s="1886">
        <f>1122+5260</f>
        <v>6382</v>
      </c>
      <c r="E20" s="1906">
        <f t="shared" si="0"/>
        <v>6382</v>
      </c>
      <c r="F20" s="1906" t="str">
        <f t="shared" si="1"/>
        <v>0</v>
      </c>
    </row>
    <row r="21" spans="1:7" x14ac:dyDescent="0.25">
      <c r="A21" s="2035" t="s">
        <v>2070</v>
      </c>
      <c r="B21" s="1908">
        <v>202540300</v>
      </c>
      <c r="C21" s="2036" t="s">
        <v>2074</v>
      </c>
      <c r="D21" s="1886">
        <f>75.27*12</f>
        <v>903.24</v>
      </c>
      <c r="E21" s="1906">
        <f t="shared" si="0"/>
        <v>903.24</v>
      </c>
      <c r="F21" s="1906" t="str">
        <f t="shared" si="1"/>
        <v>0</v>
      </c>
    </row>
    <row r="22" spans="1:7" x14ac:dyDescent="0.25">
      <c r="A22" s="2035" t="s">
        <v>2070</v>
      </c>
      <c r="B22" s="1908">
        <v>202540300</v>
      </c>
      <c r="C22" s="2036" t="s">
        <v>2075</v>
      </c>
      <c r="D22" s="1886">
        <f>360+360</f>
        <v>720</v>
      </c>
      <c r="E22" s="1906">
        <f t="shared" si="0"/>
        <v>720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9033.24</v>
      </c>
      <c r="E142" s="1893">
        <f>SUM(E18:E141)</f>
        <v>9033.24</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22863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2345537</v>
      </c>
      <c r="F19" s="1802"/>
      <c r="G19" s="1804">
        <f>'Expenditures 15-22'!K33-SUM('Expenditures 15-22'!G33,'Expenditures 15-22'!I33)+'Expenditures 15-22'!D229</f>
        <v>2345537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182290</v>
      </c>
      <c r="F21" s="1805"/>
      <c r="G21" s="1808">
        <f>'Expenditures 15-22'!K42-SUM('Expenditures 15-22'!G42,'Expenditures 15-22'!I42)+'Expenditures 15-22'!K120-SUM('Expenditures 15-22'!G120,'Expenditures 15-22'!I120)+'Expenditures 15-22'!K180-SUM('Expenditures 15-22'!G180,'Expenditures 15-22'!I180)+'Expenditures 15-22'!D238</f>
        <v>182290</v>
      </c>
      <c r="H21" s="817"/>
      <c r="I21" s="157"/>
    </row>
    <row r="22" spans="1:9" s="542" customFormat="1" ht="12" customHeight="1" x14ac:dyDescent="0.2">
      <c r="A22" s="824" t="s">
        <v>560</v>
      </c>
      <c r="B22" s="825"/>
      <c r="C22" s="823">
        <v>2200</v>
      </c>
      <c r="D22" s="1805"/>
      <c r="E22" s="1807">
        <f>'Expenditures 15-22'!K47-SUM('Expenditures 15-22'!G47,'Expenditures 15-22'!I47)+'Expenditures 15-22'!D243</f>
        <v>145552</v>
      </c>
      <c r="F22" s="1805"/>
      <c r="G22" s="1808">
        <f>'Expenditures 15-22'!K47-SUM('Expenditures 15-22'!G47,'Expenditures 15-22'!I47)+'Expenditures 15-22'!D243</f>
        <v>145552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204276</v>
      </c>
      <c r="F23" s="1805"/>
      <c r="G23" s="1807">
        <f>'Expenditures 15-22'!K53-SUM('Expenditures 15-22'!G53,'Expenditures 15-22'!I53)+'Expenditures 15-22'!D257+'Expenditures 15-22'!K330-SUM('Expenditures 15-22'!G330,'Expenditures 15-22'!I330)</f>
        <v>204276</v>
      </c>
      <c r="H23" s="817"/>
      <c r="I23" s="157"/>
    </row>
    <row r="24" spans="1:9" s="542" customFormat="1" ht="12" customHeight="1" x14ac:dyDescent="0.2">
      <c r="A24" s="824" t="s">
        <v>562</v>
      </c>
      <c r="B24" s="825"/>
      <c r="C24" s="823">
        <v>2400</v>
      </c>
      <c r="D24" s="1805"/>
      <c r="E24" s="1807">
        <f>'Expenditures 15-22'!K57-SUM('Expenditures 15-22'!G57,'Expenditures 15-22'!I57)+'Expenditures 15-22'!D261</f>
        <v>174368</v>
      </c>
      <c r="F24" s="1805"/>
      <c r="G24" s="1808">
        <f>'Expenditures 15-22'!K57-SUM('Expenditures 15-22'!G57,'Expenditures 15-22'!I57)+'Expenditures 15-22'!D261</f>
        <v>174368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83973</v>
      </c>
      <c r="E27" s="1807">
        <f>E8</f>
        <v>0</v>
      </c>
      <c r="F27" s="1807">
        <f>'Expenditures 15-22'!K60-SUM('Expenditures 15-22'!G60,'Expenditures 15-22'!I60)+'Expenditures 15-22'!D264-E8</f>
        <v>83973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333155</v>
      </c>
      <c r="F28" s="1809">
        <f>'Expenditures 15-22'!K61-SUM('Expenditures 15-22'!G61,'Expenditures 15-22'!I61)+'Expenditures 15-22'!K124-SUM('Expenditures 15-22'!G124,'Expenditures 15-22'!I124)+'Expenditures 15-22'!D266-E9</f>
        <v>333155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152031</v>
      </c>
      <c r="F29" s="1805"/>
      <c r="G29" s="1808">
        <f>'Expenditures 15-22'!K62-SUM('Expenditures 15-22'!G62,'Expenditures 15-22'!I62)+'Expenditures 15-22'!K125-SUM('Expenditures 15-22'!G125,'Expenditures 15-22'!I125)+'Expenditures 15-22'!K182-SUM('Expenditures 15-22'!G182,'Expenditures 15-22'!I182)+'Expenditures 15-22'!D267</f>
        <v>152031</v>
      </c>
      <c r="H29" s="815"/>
    </row>
    <row r="30" spans="1:9" ht="12" customHeight="1" x14ac:dyDescent="0.2">
      <c r="A30" s="824" t="s">
        <v>100</v>
      </c>
      <c r="B30" s="827"/>
      <c r="C30" s="823">
        <v>2560</v>
      </c>
      <c r="D30" s="1805"/>
      <c r="E30" s="1807">
        <f>'Expenditures 15-22'!K63-SUM('Expenditures 15-22'!G63,'Expenditures 15-22'!I63)+'Expenditures 15-22'!D268-E10</f>
        <v>202158</v>
      </c>
      <c r="F30" s="1805"/>
      <c r="G30" s="1807">
        <f>'Expenditures 15-22'!K63-SUM('Expenditures 15-22'!G63,'Expenditures 15-22'!I63)+'Expenditures 15-22'!D268-E10</f>
        <v>202158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27414</v>
      </c>
      <c r="F39" s="1805"/>
      <c r="G39" s="1807">
        <f>'Expenditures 15-22'!K75-SUM('Expenditures 15-22'!G75,'Expenditures 15-22'!I75)+'Expenditures 15-22'!K130-SUM('Expenditures 15-22'!G130,'Expenditures 15-22'!I130)+'Expenditures 15-22'!K185-SUM('Expenditures 15-22'!G185,'Expenditures 15-22'!I185)+'Expenditures 15-22'!D280</f>
        <v>27414</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83973</v>
      </c>
      <c r="E41" s="1809">
        <f>SUM(E19:E40)</f>
        <v>3766781</v>
      </c>
      <c r="F41" s="1809">
        <f>SUM(F19:F39)</f>
        <v>417128</v>
      </c>
      <c r="G41" s="1809">
        <f>SUM(G19:G40)</f>
        <v>3433626</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83973</v>
      </c>
      <c r="F43" s="1458" t="s">
        <v>470</v>
      </c>
      <c r="G43" s="1810">
        <f>F41</f>
        <v>417128</v>
      </c>
    </row>
    <row r="44" spans="1:7" ht="12" customHeight="1" x14ac:dyDescent="0.2">
      <c r="A44" s="817"/>
      <c r="B44" s="157"/>
      <c r="C44" s="831"/>
      <c r="D44" s="1458" t="s">
        <v>471</v>
      </c>
      <c r="E44" s="1810">
        <f>E41</f>
        <v>3766781</v>
      </c>
      <c r="F44" s="1458" t="s">
        <v>471</v>
      </c>
      <c r="G44" s="1810">
        <f>G41</f>
        <v>3433626</v>
      </c>
    </row>
    <row r="45" spans="1:7" ht="12" customHeight="1" x14ac:dyDescent="0.2">
      <c r="A45" s="817"/>
      <c r="B45" s="157"/>
      <c r="C45" s="157"/>
      <c r="D45" s="1459" t="s">
        <v>999</v>
      </c>
      <c r="E45" s="1811">
        <f>(E43/E44)</f>
        <v>2.2293040131613703E-2</v>
      </c>
      <c r="F45" s="1459" t="s">
        <v>999</v>
      </c>
      <c r="G45" s="1811">
        <f>(G43/G44)</f>
        <v>0.12148323667167012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view="pageBreakPreview" zoomScale="60" zoomScaleNormal="110" workbookViewId="0">
      <selection activeCell="F32" sqref="F3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DePue USD 103</v>
      </c>
      <c r="D6" s="2404"/>
      <c r="E6" s="2404"/>
      <c r="F6" s="1482"/>
      <c r="G6" s="1507"/>
      <c r="L6" s="1507"/>
      <c r="M6" s="1855"/>
      <c r="N6" s="1855"/>
      <c r="O6" s="1855"/>
    </row>
    <row r="7" spans="1:15" ht="11.25" customHeight="1" thickBot="1" x14ac:dyDescent="0.3">
      <c r="A7" s="1480"/>
      <c r="B7" s="1481"/>
      <c r="C7" s="2405">
        <f>COVER!A13</f>
        <v>28006103022</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2068</v>
      </c>
      <c r="D26" s="1495" t="s">
        <v>2068</v>
      </c>
      <c r="E26" s="1498"/>
      <c r="F26" s="1497" t="s">
        <v>2076</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2068</v>
      </c>
      <c r="D31" s="1495" t="s">
        <v>2068</v>
      </c>
      <c r="E31" s="1498"/>
      <c r="F31" s="1497" t="s">
        <v>2078</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2068</v>
      </c>
      <c r="D32" s="1495" t="s">
        <v>2068</v>
      </c>
      <c r="E32" s="1498"/>
      <c r="F32" s="1497" t="s">
        <v>2077</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7" zoomScaleNormal="100" workbookViewId="0">
      <selection activeCell="K12" sqref="K12"/>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DePue USD 103</v>
      </c>
      <c r="K6" s="2420"/>
      <c r="L6" s="2421"/>
      <c r="M6" s="838"/>
      <c r="N6" s="1998"/>
    </row>
    <row r="7" spans="1:14" x14ac:dyDescent="0.2">
      <c r="A7" s="2422" t="s">
        <v>864</v>
      </c>
      <c r="B7" s="2423"/>
      <c r="C7" s="2423"/>
      <c r="D7" s="2423"/>
      <c r="E7" s="2424"/>
      <c r="F7" s="839"/>
      <c r="G7" s="838"/>
      <c r="H7" s="838"/>
      <c r="I7" s="1924" t="s">
        <v>369</v>
      </c>
      <c r="J7" s="2425">
        <f>COVER!A13</f>
        <v>28006103022</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140118</v>
      </c>
      <c r="F12" s="1942"/>
      <c r="G12" s="1968">
        <f>G68</f>
        <v>0</v>
      </c>
      <c r="H12" s="1944">
        <f t="shared" ref="H12:H18" si="0">SUM(E12:G12)</f>
        <v>140118</v>
      </c>
      <c r="I12" s="1943">
        <f>665+86700+24585+500+900+1500+400+3500</f>
        <v>118750</v>
      </c>
      <c r="J12" s="1942"/>
      <c r="K12" s="1943">
        <v>15300</v>
      </c>
      <c r="L12" s="1944">
        <f t="shared" ref="L12:L18" si="1">SUM(I12:K12)</f>
        <v>134050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140118</v>
      </c>
      <c r="F19" s="1950">
        <f t="shared" si="2"/>
        <v>0</v>
      </c>
      <c r="G19" s="1950">
        <f t="shared" ref="G19" si="3">SUM(G12:G17)-G18</f>
        <v>0</v>
      </c>
      <c r="H19" s="1950">
        <f t="shared" si="2"/>
        <v>140118</v>
      </c>
      <c r="I19" s="1950">
        <f t="shared" si="2"/>
        <v>118750</v>
      </c>
      <c r="J19" s="1950">
        <f t="shared" si="2"/>
        <v>0</v>
      </c>
      <c r="K19" s="1950">
        <f t="shared" si="2"/>
        <v>15300</v>
      </c>
      <c r="L19" s="1950">
        <f t="shared" si="2"/>
        <v>134050</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-4.3306356071311322E-2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DePue USD 103</v>
      </c>
      <c r="M52" s="2420"/>
      <c r="N52" s="2450"/>
    </row>
    <row r="53" spans="1:14" x14ac:dyDescent="0.2">
      <c r="A53" s="1982"/>
      <c r="B53" s="1983"/>
      <c r="C53" s="1983"/>
      <c r="D53" s="1983"/>
      <c r="E53" s="1983"/>
      <c r="F53" s="1983"/>
      <c r="G53" s="1983"/>
      <c r="H53" s="1983"/>
      <c r="I53" s="1983"/>
      <c r="J53" s="1983"/>
      <c r="K53" s="1924" t="s">
        <v>369</v>
      </c>
      <c r="L53" s="2425">
        <f>J7</f>
        <v>28006103022</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10776</v>
      </c>
      <c r="F58" s="1972"/>
      <c r="G58" s="2031"/>
      <c r="H58" s="2032"/>
      <c r="I58" s="2032"/>
      <c r="J58" s="2032"/>
      <c r="K58" s="2032"/>
      <c r="L58" s="2032"/>
      <c r="M58" s="2032">
        <v>10776</v>
      </c>
      <c r="N58" s="1975">
        <f>IF((SUM(G58:M58))=E58,SUM(G58:M58),"Column N does not agree with Column E")</f>
        <v>10776</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740</v>
      </c>
      <c r="F60" s="1972"/>
      <c r="G60" s="2031"/>
      <c r="H60" s="2032"/>
      <c r="I60" s="2032"/>
      <c r="J60" s="2032"/>
      <c r="K60" s="2032"/>
      <c r="L60" s="2032"/>
      <c r="M60" s="2032">
        <v>740</v>
      </c>
      <c r="N60" s="1975">
        <f t="shared" ref="N60:N67" si="4">IF((SUM(G60:M60))=E60,SUM(G60:M60),"Column N does not agree with Column E")</f>
        <v>740</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2965</v>
      </c>
      <c r="F63" s="1972"/>
      <c r="G63" s="2031"/>
      <c r="H63" s="2032"/>
      <c r="I63" s="2032"/>
      <c r="J63" s="2032"/>
      <c r="K63" s="2032"/>
      <c r="L63" s="2032"/>
      <c r="M63" s="2032">
        <v>2965</v>
      </c>
      <c r="N63" s="1975">
        <f t="shared" si="4"/>
        <v>2965</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0</v>
      </c>
      <c r="F65" s="1972"/>
      <c r="G65" s="2031"/>
      <c r="H65" s="2032"/>
      <c r="I65" s="2032"/>
      <c r="J65" s="2032"/>
      <c r="K65" s="2032"/>
      <c r="L65" s="2032"/>
      <c r="M65" s="2032"/>
      <c r="N65" s="1975">
        <f t="shared" si="4"/>
        <v>0</v>
      </c>
    </row>
    <row r="66" spans="1:14" ht="24" customHeight="1" x14ac:dyDescent="0.2">
      <c r="A66" s="2461" t="s">
        <v>469</v>
      </c>
      <c r="B66" s="2462"/>
      <c r="C66" s="2462"/>
      <c r="D66" s="1967">
        <v>2371</v>
      </c>
      <c r="E66" s="1977">
        <f>'Expenditures 15-22'!K328</f>
        <v>17984</v>
      </c>
      <c r="F66" s="1972"/>
      <c r="G66" s="2031"/>
      <c r="H66" s="2032"/>
      <c r="I66" s="2032"/>
      <c r="J66" s="2032"/>
      <c r="K66" s="2032"/>
      <c r="L66" s="2032"/>
      <c r="M66" s="2032">
        <v>17984</v>
      </c>
      <c r="N66" s="1975">
        <f t="shared" si="4"/>
        <v>17984</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32465</v>
      </c>
      <c r="F68" s="1973"/>
      <c r="G68" s="1974">
        <f t="shared" ref="G68:N68" si="5">SUM(G57:G67)</f>
        <v>0</v>
      </c>
      <c r="H68" s="1974">
        <f t="shared" si="5"/>
        <v>0</v>
      </c>
      <c r="I68" s="1974">
        <f t="shared" si="5"/>
        <v>0</v>
      </c>
      <c r="J68" s="1974">
        <f t="shared" si="5"/>
        <v>0</v>
      </c>
      <c r="K68" s="1974">
        <f t="shared" si="5"/>
        <v>0</v>
      </c>
      <c r="L68" s="1974">
        <f t="shared" si="5"/>
        <v>0</v>
      </c>
      <c r="M68" s="1974">
        <f t="shared" si="5"/>
        <v>32465</v>
      </c>
      <c r="N68" s="1988">
        <f t="shared" si="5"/>
        <v>32465</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6" sqref="B6"/>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2079</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DePue USD 103</v>
      </c>
    </row>
    <row r="65" spans="2:2" x14ac:dyDescent="0.2">
      <c r="B65" s="849">
        <f>COVER!A13</f>
        <v>28006103022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4301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3984631</v>
      </c>
      <c r="C8" s="1813">
        <f>'Acct Summary 7-8'!D8</f>
        <v>388850</v>
      </c>
      <c r="D8" s="1813">
        <f>'Acct Summary 7-8'!F8</f>
        <v>179566</v>
      </c>
      <c r="E8" s="1813">
        <f>'Acct Summary 7-8'!I8</f>
        <v>3856</v>
      </c>
      <c r="F8" s="1813">
        <f>SUM(B8:E8)</f>
        <v>4556903</v>
      </c>
    </row>
    <row r="9" spans="1:8" s="858" customFormat="1" ht="14.25" customHeight="1" thickBot="1" x14ac:dyDescent="0.25">
      <c r="A9" s="857" t="s">
        <v>1353</v>
      </c>
      <c r="B9" s="1814">
        <f>'Acct Summary 7-8'!C17</f>
        <v>3466980</v>
      </c>
      <c r="C9" s="1814">
        <f>'Acct Summary 7-8'!D17</f>
        <v>334198</v>
      </c>
      <c r="D9" s="1814">
        <f>'Acct Summary 7-8'!F17</f>
        <v>173365</v>
      </c>
      <c r="E9" s="1813"/>
      <c r="F9" s="1813">
        <f>SUM(B9:E9)</f>
        <v>3974543</v>
      </c>
    </row>
    <row r="10" spans="1:8" s="858" customFormat="1" ht="14.25" thickTop="1" thickBot="1" x14ac:dyDescent="0.25">
      <c r="A10" s="859" t="s">
        <v>1354</v>
      </c>
      <c r="B10" s="1815">
        <f>(B8-B9)</f>
        <v>517651</v>
      </c>
      <c r="C10" s="1815">
        <f>(C8-C9)</f>
        <v>54652</v>
      </c>
      <c r="D10" s="1815">
        <f>(D8-D9)</f>
        <v>6201</v>
      </c>
      <c r="E10" s="1814">
        <f>(E8-E9)</f>
        <v>3856</v>
      </c>
      <c r="F10" s="1816">
        <f>SUM(F8-F9)</f>
        <v>582360</v>
      </c>
    </row>
    <row r="11" spans="1:8" s="858" customFormat="1" ht="14.25" thickTop="1" thickBot="1" x14ac:dyDescent="0.25">
      <c r="A11" s="860" t="s">
        <v>1903</v>
      </c>
      <c r="B11" s="1817">
        <f>'Acct Summary 7-8'!C81</f>
        <v>1362798</v>
      </c>
      <c r="C11" s="1817">
        <f>'Acct Summary 7-8'!D81</f>
        <v>120835</v>
      </c>
      <c r="D11" s="1817">
        <f>'Acct Summary 7-8'!F81</f>
        <v>41807</v>
      </c>
      <c r="E11" s="1817">
        <f>'Acct Summary 7-8'!I81</f>
        <v>11325</v>
      </c>
      <c r="F11" s="1818">
        <f>SUM(B11:E11)</f>
        <v>1536765</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7" colorId="8" zoomScale="110" zoomScaleNormal="110" workbookViewId="0">
      <selection activeCell="G16" sqref="G16"/>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28006103022</v>
      </c>
      <c r="E2" s="1542">
        <v>2020</v>
      </c>
      <c r="F2" s="1542">
        <v>1</v>
      </c>
      <c r="G2" s="1899">
        <v>101000300</v>
      </c>
    </row>
    <row r="3" spans="1:7" ht="15" x14ac:dyDescent="0.25">
      <c r="A3" t="s">
        <v>950</v>
      </c>
      <c r="B3" s="135" t="str">
        <f>COVER!A15</f>
        <v>Bureau</v>
      </c>
      <c r="E3" s="1830" t="s">
        <v>1971</v>
      </c>
      <c r="F3" s="1830" t="s">
        <v>1970</v>
      </c>
      <c r="G3" s="1899">
        <v>101000400</v>
      </c>
    </row>
    <row r="4" spans="1:7" ht="15" x14ac:dyDescent="0.25">
      <c r="A4" t="s">
        <v>1000</v>
      </c>
      <c r="B4" s="135" t="str">
        <f>COVER!A17</f>
        <v xml:space="preserve">  DePue USD 103</v>
      </c>
      <c r="E4" s="1828">
        <v>44119</v>
      </c>
      <c r="F4" s="1829">
        <v>44151</v>
      </c>
      <c r="G4" s="1899">
        <v>101000600</v>
      </c>
    </row>
    <row r="5" spans="1:7" ht="15" x14ac:dyDescent="0.25">
      <c r="A5" t="s">
        <v>699</v>
      </c>
      <c r="B5" s="135" t="str">
        <f>COVER!A38</f>
        <v>Brad Kenser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066-004501</v>
      </c>
      <c r="G15" s="1899">
        <v>402100400</v>
      </c>
    </row>
    <row r="16" spans="1:7" ht="15" x14ac:dyDescent="0.25">
      <c r="A16" t="s">
        <v>419</v>
      </c>
      <c r="B16" s="135" t="str">
        <f>COVER!T13</f>
        <v>Hopkins &amp; Associates, CPAs</v>
      </c>
      <c r="G16" s="1899">
        <v>402100600</v>
      </c>
    </row>
    <row r="17" spans="1:7" ht="15" x14ac:dyDescent="0.25">
      <c r="A17" t="s">
        <v>878</v>
      </c>
      <c r="B17" s="135" t="str">
        <f>COVER!T15</f>
        <v>Kim Bird</v>
      </c>
      <c r="G17" s="1899">
        <v>402100800</v>
      </c>
    </row>
    <row r="18" spans="1:7" ht="15" x14ac:dyDescent="0.25">
      <c r="A18" t="s">
        <v>1140</v>
      </c>
      <c r="B18" s="135" t="str">
        <f>COVER!T17</f>
        <v>314 S McCoy St</v>
      </c>
      <c r="G18" s="1899">
        <v>102200300</v>
      </c>
    </row>
    <row r="19" spans="1:7" ht="15" x14ac:dyDescent="0.25">
      <c r="A19" t="s">
        <v>880</v>
      </c>
      <c r="B19" s="135" t="str">
        <f>COVER!T25</f>
        <v>kim@hopkinsoffice.com</v>
      </c>
      <c r="G19" s="1899">
        <v>102200400</v>
      </c>
    </row>
    <row r="20" spans="1:7" ht="15" x14ac:dyDescent="0.25">
      <c r="A20" t="s">
        <v>881</v>
      </c>
      <c r="B20" s="135" t="str">
        <f>COVER!T19</f>
        <v>Granville</v>
      </c>
      <c r="G20" s="1899">
        <v>102200600</v>
      </c>
    </row>
    <row r="21" spans="1:7" ht="15" x14ac:dyDescent="0.25">
      <c r="A21" t="s">
        <v>476</v>
      </c>
      <c r="B21" s="135" t="str">
        <f>COVER!X19</f>
        <v>IL</v>
      </c>
      <c r="G21" s="1899">
        <v>102200800</v>
      </c>
    </row>
    <row r="22" spans="1:7" ht="15" x14ac:dyDescent="0.25">
      <c r="A22" t="s">
        <v>882</v>
      </c>
      <c r="B22" s="135">
        <f>COVER!Z19</f>
        <v>61326</v>
      </c>
      <c r="G22" s="1899">
        <v>102300300</v>
      </c>
    </row>
    <row r="23" spans="1:7" ht="15" x14ac:dyDescent="0.25">
      <c r="A23" t="s">
        <v>1142</v>
      </c>
      <c r="B23" s="135" t="str">
        <f>COVER!T21</f>
        <v>815-339-6630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1362798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1362798</v>
      </c>
      <c r="D92" s="2" t="str">
        <f t="shared" si="0"/>
        <v>Error?</v>
      </c>
      <c r="G92" s="1899">
        <v>102640600</v>
      </c>
    </row>
    <row r="93" spans="1:7" ht="15" x14ac:dyDescent="0.25">
      <c r="A93" s="5">
        <v>32</v>
      </c>
      <c r="B93" s="1832">
        <f>'Assets-Liab 5-6'!C41</f>
        <v>1362798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120835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120835</v>
      </c>
      <c r="D123" s="2" t="str">
        <f t="shared" si="0"/>
        <v>Error?</v>
      </c>
      <c r="G123" s="1899">
        <v>203000400</v>
      </c>
    </row>
    <row r="124" spans="1:7" ht="15" x14ac:dyDescent="0.25">
      <c r="A124" s="5">
        <v>63</v>
      </c>
      <c r="B124" s="1832">
        <f>'Assets-Liab 5-6'!D41</f>
        <v>120835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16294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16294</v>
      </c>
      <c r="D140" s="2" t="str">
        <f t="shared" si="1"/>
        <v>Error?</v>
      </c>
    </row>
    <row r="141" spans="1:7" x14ac:dyDescent="0.2">
      <c r="A141" s="5">
        <v>80</v>
      </c>
      <c r="B141" s="1832">
        <f>'Assets-Liab 5-6'!E41</f>
        <v>16294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41807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41807</v>
      </c>
      <c r="D170" s="2" t="str">
        <f t="shared" si="1"/>
        <v>Error?</v>
      </c>
    </row>
    <row r="171" spans="1:4" x14ac:dyDescent="0.2">
      <c r="A171" s="5">
        <v>110</v>
      </c>
      <c r="B171" s="1832">
        <f>'Assets-Liab 5-6'!F41</f>
        <v>41807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187244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158267</v>
      </c>
      <c r="D189" s="2" t="str">
        <f t="shared" si="1"/>
        <v>Error?</v>
      </c>
    </row>
    <row r="190" spans="1:4" x14ac:dyDescent="0.2">
      <c r="A190" s="5">
        <v>129</v>
      </c>
      <c r="B190" s="1832">
        <f>'Assets-Liab 5-6'!G41</f>
        <v>187244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99312</v>
      </c>
      <c r="D273" s="2" t="str">
        <f t="shared" si="3"/>
        <v>Error?</v>
      </c>
    </row>
    <row r="274" spans="1:4" x14ac:dyDescent="0.2">
      <c r="A274" s="5">
        <v>213</v>
      </c>
      <c r="B274" s="1832">
        <f>'Assets-Liab 5-6'!M17</f>
        <v>2246964</v>
      </c>
      <c r="D274" s="2" t="str">
        <f t="shared" si="3"/>
        <v>Error?</v>
      </c>
    </row>
    <row r="275" spans="1:4" x14ac:dyDescent="0.2">
      <c r="A275" s="5">
        <v>214</v>
      </c>
      <c r="B275" s="1832">
        <f>'Assets-Liab 5-6'!M18</f>
        <v>197724</v>
      </c>
      <c r="D275" s="2" t="str">
        <f t="shared" si="3"/>
        <v>Error?</v>
      </c>
    </row>
    <row r="276" spans="1:4" x14ac:dyDescent="0.2">
      <c r="A276" s="5">
        <v>215</v>
      </c>
      <c r="B276" s="1832">
        <f>'Assets-Liab 5-6'!M19</f>
        <v>1771366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4315366</v>
      </c>
      <c r="C279" s="2" t="s">
        <v>569</v>
      </c>
      <c r="D279" s="2" t="str">
        <f t="shared" si="3"/>
        <v>Error?</v>
      </c>
    </row>
    <row r="280" spans="1:4" x14ac:dyDescent="0.2">
      <c r="A280" s="5">
        <v>219</v>
      </c>
      <c r="B280" s="1832">
        <f>'Assets-Liab 5-6'!M40</f>
        <v>4315366</v>
      </c>
      <c r="D280" s="2" t="str">
        <f t="shared" si="3"/>
        <v>Error?</v>
      </c>
    </row>
    <row r="281" spans="1:4" x14ac:dyDescent="0.2">
      <c r="A281" s="5">
        <v>220</v>
      </c>
      <c r="B281" s="1832">
        <f>'Assets-Liab 5-6'!M41</f>
        <v>4315366</v>
      </c>
      <c r="C281" s="2" t="s">
        <v>569</v>
      </c>
      <c r="D281" s="2" t="str">
        <f t="shared" si="3"/>
        <v>Error?</v>
      </c>
    </row>
    <row r="282" spans="1:4" x14ac:dyDescent="0.2">
      <c r="A282" s="5">
        <v>221</v>
      </c>
      <c r="B282" s="1832">
        <f>'Assets-Liab 5-6'!N21</f>
        <v>16294</v>
      </c>
      <c r="D282" s="2" t="str">
        <f t="shared" si="3"/>
        <v>Error?</v>
      </c>
    </row>
    <row r="283" spans="1:4" x14ac:dyDescent="0.2">
      <c r="A283" s="5">
        <v>222</v>
      </c>
      <c r="B283" s="1832">
        <f>'Assets-Liab 5-6'!N22</f>
        <v>113706</v>
      </c>
      <c r="D283" s="2" t="str">
        <f t="shared" si="3"/>
        <v>Error?</v>
      </c>
    </row>
    <row r="284" spans="1:4" x14ac:dyDescent="0.2">
      <c r="A284" s="5">
        <v>223</v>
      </c>
      <c r="B284" s="1832">
        <f>'Assets-Liab 5-6'!N23</f>
        <v>130000</v>
      </c>
      <c r="C284" s="2" t="s">
        <v>569</v>
      </c>
      <c r="D284" s="2" t="str">
        <f t="shared" si="3"/>
        <v>Error?</v>
      </c>
    </row>
    <row r="285" spans="1:4" x14ac:dyDescent="0.2">
      <c r="A285" s="5">
        <v>224</v>
      </c>
      <c r="B285" s="1832">
        <f>'Assets-Liab 5-6'!N36</f>
        <v>130000</v>
      </c>
      <c r="D285" s="2" t="str">
        <f t="shared" si="3"/>
        <v>Error?</v>
      </c>
    </row>
    <row r="286" spans="1:4" x14ac:dyDescent="0.2">
      <c r="A286" s="10">
        <v>225</v>
      </c>
      <c r="B286" s="1832"/>
      <c r="D286" s="2" t="str">
        <f t="shared" si="3"/>
        <v>OK</v>
      </c>
    </row>
    <row r="287" spans="1:4" x14ac:dyDescent="0.2">
      <c r="A287" s="5">
        <v>226</v>
      </c>
      <c r="B287" s="1832">
        <f>'Assets-Liab 5-6'!N37</f>
        <v>130000</v>
      </c>
      <c r="C287" s="2" t="s">
        <v>569</v>
      </c>
      <c r="D287" s="2" t="str">
        <f t="shared" si="3"/>
        <v>Error?</v>
      </c>
    </row>
    <row r="288" spans="1:4" x14ac:dyDescent="0.2">
      <c r="A288" s="5">
        <v>227</v>
      </c>
      <c r="B288" s="1832">
        <f>'Assets-Liab 5-6'!N41</f>
        <v>130000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1194912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168670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52453</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1836152</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66949</v>
      </c>
      <c r="D722" s="2" t="str">
        <f t="shared" si="10"/>
        <v>Error?</v>
      </c>
    </row>
    <row r="723" spans="1:4" x14ac:dyDescent="0.2">
      <c r="A723" s="5">
        <v>662</v>
      </c>
      <c r="B723" s="1832">
        <f>'Expenditures 15-22'!C38</f>
        <v>37039</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103988</v>
      </c>
      <c r="C727" s="2" t="s">
        <v>569</v>
      </c>
      <c r="D727" s="2" t="str">
        <f t="shared" si="10"/>
        <v>Error?</v>
      </c>
    </row>
    <row r="728" spans="1:4" x14ac:dyDescent="0.2">
      <c r="A728" s="5">
        <v>667</v>
      </c>
      <c r="B728" s="1832">
        <f>'Expenditures 15-22'!C44</f>
        <v>30769</v>
      </c>
      <c r="D728" s="2" t="str">
        <f t="shared" si="10"/>
        <v>Error?</v>
      </c>
    </row>
    <row r="729" spans="1:4" x14ac:dyDescent="0.2">
      <c r="A729" s="5">
        <v>668</v>
      </c>
      <c r="B729" s="1832">
        <f>'Expenditures 15-22'!C45</f>
        <v>54814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85583</v>
      </c>
      <c r="C731" s="2" t="s">
        <v>569</v>
      </c>
      <c r="D731" s="2" t="str">
        <f t="shared" si="10"/>
        <v>Error?</v>
      </c>
    </row>
    <row r="732" spans="1:4" x14ac:dyDescent="0.2">
      <c r="A732" s="5">
        <v>671</v>
      </c>
      <c r="B732" s="1832">
        <f>'Expenditures 15-22'!C49</f>
        <v>2433</v>
      </c>
      <c r="D732" s="2" t="str">
        <f t="shared" si="10"/>
        <v>Error?</v>
      </c>
    </row>
    <row r="733" spans="1:4" x14ac:dyDescent="0.2">
      <c r="A733" s="5">
        <v>672</v>
      </c>
      <c r="B733" s="1832">
        <f>'Expenditures 15-22'!C50</f>
        <v>128330</v>
      </c>
      <c r="D733" s="2" t="str">
        <f t="shared" si="10"/>
        <v>Error?</v>
      </c>
    </row>
    <row r="734" spans="1:4" x14ac:dyDescent="0.2">
      <c r="A734" s="5">
        <v>673</v>
      </c>
      <c r="B734" s="1832">
        <f>'Expenditures 15-22'!C53</f>
        <v>130763</v>
      </c>
      <c r="C734" s="2" t="s">
        <v>569</v>
      </c>
      <c r="D734" s="2" t="str">
        <f t="shared" si="10"/>
        <v>Error?</v>
      </c>
    </row>
    <row r="735" spans="1:4" x14ac:dyDescent="0.2">
      <c r="A735" s="5">
        <v>674</v>
      </c>
      <c r="B735" s="1832">
        <f>'Expenditures 15-22'!C55</f>
        <v>144117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144117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58901</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57329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116230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580681</v>
      </c>
      <c r="C755" s="2" t="s">
        <v>569</v>
      </c>
      <c r="D755" s="2" t="str">
        <f t="shared" si="10"/>
        <v>Error?</v>
      </c>
    </row>
    <row r="756" spans="1:4" x14ac:dyDescent="0.2">
      <c r="A756" s="5">
        <v>695</v>
      </c>
      <c r="B756" s="1832">
        <f>'Expenditures 15-22'!C75</f>
        <v>21789</v>
      </c>
      <c r="D756" s="2" t="str">
        <f t="shared" si="10"/>
        <v>Error?</v>
      </c>
    </row>
    <row r="757" spans="1:4" x14ac:dyDescent="0.2">
      <c r="A757" s="5">
        <v>696</v>
      </c>
      <c r="B757" s="1832">
        <f>'Expenditures 15-22'!C114</f>
        <v>2438622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182134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25564</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3258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250583</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9278</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9278</v>
      </c>
      <c r="C785" s="2" t="s">
        <v>569</v>
      </c>
      <c r="D785" s="2" t="str">
        <f t="shared" si="11"/>
        <v>Error?</v>
      </c>
    </row>
    <row r="786" spans="1:4" x14ac:dyDescent="0.2">
      <c r="A786" s="5">
        <v>725</v>
      </c>
      <c r="B786" s="1832">
        <f>'Expenditures 15-22'!D44</f>
        <v>4065</v>
      </c>
      <c r="D786" s="2" t="str">
        <f t="shared" si="11"/>
        <v>Error?</v>
      </c>
    </row>
    <row r="787" spans="1:4" x14ac:dyDescent="0.2">
      <c r="A787" s="5">
        <v>726</v>
      </c>
      <c r="B787" s="1832">
        <f>'Expenditures 15-22'!D45</f>
        <v>7006</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11071</v>
      </c>
      <c r="C789" s="2" t="s">
        <v>569</v>
      </c>
      <c r="D789" s="2" t="str">
        <f t="shared" si="11"/>
        <v>Error?</v>
      </c>
    </row>
    <row r="790" spans="1:4" x14ac:dyDescent="0.2">
      <c r="A790" s="5">
        <v>729</v>
      </c>
      <c r="B790" s="1832">
        <f>'Expenditures 15-22'!D49</f>
        <v>462</v>
      </c>
      <c r="D790" s="2" t="str">
        <f t="shared" si="11"/>
        <v>Error?</v>
      </c>
    </row>
    <row r="791" spans="1:4" x14ac:dyDescent="0.2">
      <c r="A791" s="5">
        <v>730</v>
      </c>
      <c r="B791" s="1832">
        <f>'Expenditures 15-22'!D50</f>
        <v>4898</v>
      </c>
      <c r="D791" s="2" t="str">
        <f t="shared" si="11"/>
        <v>Error?</v>
      </c>
    </row>
    <row r="792" spans="1:4" x14ac:dyDescent="0.2">
      <c r="A792" s="5">
        <v>731</v>
      </c>
      <c r="B792" s="1832">
        <f>'Expenditures 15-22'!D53</f>
        <v>5360</v>
      </c>
      <c r="C792" s="2" t="s">
        <v>569</v>
      </c>
      <c r="D792" s="2" t="str">
        <f t="shared" si="11"/>
        <v>Error?</v>
      </c>
    </row>
    <row r="793" spans="1:4" x14ac:dyDescent="0.2">
      <c r="A793" s="5">
        <v>732</v>
      </c>
      <c r="B793" s="1832">
        <f>'Expenditures 15-22'!D55</f>
        <v>15627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15627</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11093</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11093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52429</v>
      </c>
      <c r="C813" s="2" t="s">
        <v>569</v>
      </c>
      <c r="D813" s="2" t="str">
        <f t="shared" si="11"/>
        <v>Error?</v>
      </c>
    </row>
    <row r="814" spans="1:4" x14ac:dyDescent="0.2">
      <c r="A814" s="5">
        <v>753</v>
      </c>
      <c r="B814" s="1832">
        <f>'Expenditures 15-22'!D75</f>
        <v>2079</v>
      </c>
      <c r="D814" s="2" t="str">
        <f t="shared" si="11"/>
        <v>Error?</v>
      </c>
    </row>
    <row r="815" spans="1:4" x14ac:dyDescent="0.2">
      <c r="A815" s="5">
        <v>754</v>
      </c>
      <c r="B815" s="1832">
        <f>'Expenditures 15-22'!D114</f>
        <v>305091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14711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8992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46170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6979</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52646</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59625</v>
      </c>
      <c r="C843" s="2" t="s">
        <v>569</v>
      </c>
      <c r="D843" s="2" t="str">
        <f t="shared" si="12"/>
        <v>Error?</v>
      </c>
    </row>
    <row r="844" spans="1:4" x14ac:dyDescent="0.2">
      <c r="A844" s="5">
        <v>783</v>
      </c>
      <c r="B844" s="1832">
        <f>'Expenditures 15-22'!E44</f>
        <v>5842</v>
      </c>
      <c r="D844" s="2" t="str">
        <f t="shared" si="12"/>
        <v>Error?</v>
      </c>
    </row>
    <row r="845" spans="1:4" x14ac:dyDescent="0.2">
      <c r="A845" s="5">
        <v>784</v>
      </c>
      <c r="B845" s="1832">
        <f>'Expenditures 15-22'!E45</f>
        <v>7886</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13728</v>
      </c>
      <c r="C847" s="2" t="s">
        <v>569</v>
      </c>
      <c r="D847" s="2" t="str">
        <f t="shared" si="12"/>
        <v>Error?</v>
      </c>
    </row>
    <row r="848" spans="1:4" x14ac:dyDescent="0.2">
      <c r="A848" s="5">
        <v>787</v>
      </c>
      <c r="B848" s="1832">
        <f>'Expenditures 15-22'!E49</f>
        <v>19566</v>
      </c>
      <c r="D848" s="2" t="str">
        <f t="shared" si="12"/>
        <v>Error?</v>
      </c>
    </row>
    <row r="849" spans="1:4" x14ac:dyDescent="0.2">
      <c r="A849" s="5">
        <v>788</v>
      </c>
      <c r="B849" s="1832">
        <f>'Expenditures 15-22'!E50</f>
        <v>2148</v>
      </c>
      <c r="D849" s="2" t="str">
        <f t="shared" si="12"/>
        <v>Error?</v>
      </c>
    </row>
    <row r="850" spans="1:4" x14ac:dyDescent="0.2">
      <c r="A850" s="5">
        <v>789</v>
      </c>
      <c r="B850" s="1832">
        <f>'Expenditures 15-22'!E53</f>
        <v>21714</v>
      </c>
      <c r="C850" s="2" t="s">
        <v>569</v>
      </c>
      <c r="D850" s="2" t="str">
        <f t="shared" si="12"/>
        <v>Error?</v>
      </c>
    </row>
    <row r="851" spans="1:4" x14ac:dyDescent="0.2">
      <c r="A851" s="5">
        <v>790</v>
      </c>
      <c r="B851" s="1832">
        <f>'Expenditures 15-22'!E55</f>
        <v>1855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1855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4662</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4662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101584</v>
      </c>
      <c r="C871" s="2" t="s">
        <v>569</v>
      </c>
      <c r="D871" s="2" t="str">
        <f t="shared" si="12"/>
        <v>Error?</v>
      </c>
    </row>
    <row r="872" spans="1:4" x14ac:dyDescent="0.2">
      <c r="A872" s="5">
        <v>811</v>
      </c>
      <c r="B872" s="1832">
        <f>'Expenditures 15-22'!E75</f>
        <v>1362</v>
      </c>
      <c r="D872" s="2" t="str">
        <f t="shared" si="12"/>
        <v>Error?</v>
      </c>
    </row>
    <row r="873" spans="1:4" x14ac:dyDescent="0.2">
      <c r="A873" s="5">
        <v>812</v>
      </c>
      <c r="B873" s="1832">
        <f>'Expenditures 15-22'!E114</f>
        <v>194332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35922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2327</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6659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69833</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398</v>
      </c>
      <c r="D896" s="2" t="str">
        <f t="shared" si="13"/>
        <v>Error?</v>
      </c>
    </row>
    <row r="897" spans="1:4" x14ac:dyDescent="0.2">
      <c r="A897" s="5">
        <v>836</v>
      </c>
      <c r="B897" s="1832">
        <f>'Expenditures 15-22'!F38</f>
        <v>626</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1857</v>
      </c>
      <c r="D900" s="2" t="str">
        <f t="shared" si="13"/>
        <v>Error?</v>
      </c>
    </row>
    <row r="901" spans="1:4" x14ac:dyDescent="0.2">
      <c r="A901" s="5">
        <v>840</v>
      </c>
      <c r="B901" s="1832">
        <f>'Expenditures 15-22'!F42</f>
        <v>2881</v>
      </c>
      <c r="C901" s="2" t="s">
        <v>569</v>
      </c>
      <c r="D901" s="2" t="str">
        <f t="shared" si="13"/>
        <v>Error?</v>
      </c>
    </row>
    <row r="902" spans="1:4" x14ac:dyDescent="0.2">
      <c r="A902" s="5">
        <v>841</v>
      </c>
      <c r="B902" s="1832">
        <f>'Expenditures 15-22'!F44</f>
        <v>160</v>
      </c>
      <c r="D902" s="2" t="str">
        <f t="shared" si="13"/>
        <v>Error?</v>
      </c>
    </row>
    <row r="903" spans="1:4" x14ac:dyDescent="0.2">
      <c r="A903" s="5">
        <v>842</v>
      </c>
      <c r="B903" s="1832">
        <f>'Expenditures 15-22'!F45</f>
        <v>26383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26543</v>
      </c>
      <c r="C905" s="2" t="s">
        <v>569</v>
      </c>
      <c r="D905" s="2" t="str">
        <f t="shared" si="13"/>
        <v>Error?</v>
      </c>
    </row>
    <row r="906" spans="1:4" x14ac:dyDescent="0.2">
      <c r="A906" s="5">
        <v>845</v>
      </c>
      <c r="B906" s="1832">
        <f>'Expenditures 15-22'!F49</f>
        <v>861</v>
      </c>
      <c r="D906" s="2" t="str">
        <f t="shared" si="13"/>
        <v>Error?</v>
      </c>
    </row>
    <row r="907" spans="1:4" x14ac:dyDescent="0.2">
      <c r="A907" s="5">
        <v>846</v>
      </c>
      <c r="B907" s="1832">
        <f>'Expenditures 15-22'!F50</f>
        <v>1222</v>
      </c>
      <c r="D907" s="2" t="str">
        <f t="shared" si="13"/>
        <v>Error?</v>
      </c>
    </row>
    <row r="908" spans="1:4" x14ac:dyDescent="0.2">
      <c r="A908" s="5">
        <v>847</v>
      </c>
      <c r="B908" s="1832">
        <f>'Expenditures 15-22'!F53</f>
        <v>2083</v>
      </c>
      <c r="C908" s="2" t="s">
        <v>569</v>
      </c>
      <c r="D908" s="2" t="str">
        <f t="shared" si="13"/>
        <v>Error?</v>
      </c>
    </row>
    <row r="909" spans="1:4" x14ac:dyDescent="0.2">
      <c r="A909" s="5">
        <v>848</v>
      </c>
      <c r="B909" s="1832">
        <f>'Expenditures 15-22'!F55</f>
        <v>1531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1531</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536</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136805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137341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170379</v>
      </c>
      <c r="C929" s="2" t="s">
        <v>569</v>
      </c>
      <c r="D929" s="2" t="str">
        <f t="shared" si="13"/>
        <v>Error?</v>
      </c>
    </row>
    <row r="930" spans="1:4" x14ac:dyDescent="0.2">
      <c r="A930" s="5">
        <v>869</v>
      </c>
      <c r="B930" s="1832">
        <f>'Expenditures 15-22'!F75</f>
        <v>288</v>
      </c>
      <c r="D930" s="2" t="str">
        <f t="shared" si="13"/>
        <v>Error?</v>
      </c>
    </row>
    <row r="931" spans="1:4" x14ac:dyDescent="0.2">
      <c r="A931" s="5">
        <v>870</v>
      </c>
      <c r="B931" s="1832">
        <f>'Expenditures 15-22'!F114</f>
        <v>240500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4350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4350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4350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4350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6514</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1765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88344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39</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39</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4378</v>
      </c>
      <c r="D1022" s="2" t="str">
        <f t="shared" si="14"/>
        <v>Error?</v>
      </c>
    </row>
    <row r="1023" spans="1:4" x14ac:dyDescent="0.2">
      <c r="A1023" s="5">
        <v>962</v>
      </c>
      <c r="B1023" s="1832">
        <f>'Expenditures 15-22'!H50</f>
        <v>3520</v>
      </c>
      <c r="D1023" s="2" t="str">
        <f t="shared" ref="D1023:D1086" si="15">IF(ISBLANK(B1023),"OK",IF(A1023-B1023=0,"OK","Error?"))</f>
        <v>Error?</v>
      </c>
    </row>
    <row r="1024" spans="1:4" x14ac:dyDescent="0.2">
      <c r="A1024" s="5">
        <v>963</v>
      </c>
      <c r="B1024" s="1832">
        <f>'Expenditures 15-22'!H53</f>
        <v>7898</v>
      </c>
      <c r="C1024" s="2" t="s">
        <v>569</v>
      </c>
      <c r="D1024" s="2" t="str">
        <f t="shared" si="15"/>
        <v>Error?</v>
      </c>
    </row>
    <row r="1025" spans="1:4" x14ac:dyDescent="0.2">
      <c r="A1025" s="5">
        <v>964</v>
      </c>
      <c r="B1025" s="1832">
        <f>'Expenditures 15-22'!H55</f>
        <v>3893</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3893</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371</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371</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12201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183540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284085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1434193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196561</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73127</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2291082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76664</v>
      </c>
      <c r="C1110" s="2" t="s">
        <v>569</v>
      </c>
      <c r="D1110" s="2" t="str">
        <f t="shared" si="16"/>
        <v>Error?</v>
      </c>
    </row>
    <row r="1111" spans="1:4" x14ac:dyDescent="0.2">
      <c r="A1111" s="5">
        <v>1050</v>
      </c>
      <c r="B1111" s="1832">
        <f>'Expenditures 15-22'!K38</f>
        <v>44644</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52646</v>
      </c>
      <c r="C1113" s="2" t="s">
        <v>569</v>
      </c>
      <c r="D1113" s="2" t="str">
        <f t="shared" si="16"/>
        <v>Error?</v>
      </c>
    </row>
    <row r="1114" spans="1:4" x14ac:dyDescent="0.2">
      <c r="A1114" s="5">
        <v>1053</v>
      </c>
      <c r="B1114" s="1832">
        <f>'Expenditures 15-22'!K41</f>
        <v>1857</v>
      </c>
      <c r="C1114" s="2" t="s">
        <v>569</v>
      </c>
      <c r="D1114" s="2" t="str">
        <f t="shared" si="16"/>
        <v>Error?</v>
      </c>
    </row>
    <row r="1115" spans="1:4" x14ac:dyDescent="0.2">
      <c r="A1115" s="5">
        <v>1054</v>
      </c>
      <c r="B1115" s="1832">
        <f>'Expenditures 15-22'!K42</f>
        <v>175811</v>
      </c>
      <c r="C1115" s="2" t="s">
        <v>569</v>
      </c>
      <c r="D1115" s="2" t="str">
        <f t="shared" si="16"/>
        <v>Error?</v>
      </c>
    </row>
    <row r="1116" spans="1:4" x14ac:dyDescent="0.2">
      <c r="A1116" s="5">
        <v>1055</v>
      </c>
      <c r="B1116" s="1832">
        <f>'Expenditures 15-22'!K44</f>
        <v>40836</v>
      </c>
      <c r="C1116" s="2" t="s">
        <v>569</v>
      </c>
      <c r="D1116" s="2" t="str">
        <f t="shared" si="16"/>
        <v>Error?</v>
      </c>
    </row>
    <row r="1117" spans="1:4" x14ac:dyDescent="0.2">
      <c r="A1117" s="5">
        <v>1056</v>
      </c>
      <c r="B1117" s="1832">
        <f>'Expenditures 15-22'!K45</f>
        <v>96089</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136925</v>
      </c>
      <c r="C1119" s="2" t="s">
        <v>569</v>
      </c>
      <c r="D1119" s="2" t="str">
        <f t="shared" si="16"/>
        <v>Error?</v>
      </c>
    </row>
    <row r="1120" spans="1:4" x14ac:dyDescent="0.2">
      <c r="A1120" s="5">
        <v>1059</v>
      </c>
      <c r="B1120" s="1832">
        <f>'Expenditures 15-22'!K49</f>
        <v>27700</v>
      </c>
      <c r="C1120" s="2" t="s">
        <v>569</v>
      </c>
      <c r="D1120" s="2" t="str">
        <f t="shared" si="16"/>
        <v>Error?</v>
      </c>
    </row>
    <row r="1121" spans="1:4" x14ac:dyDescent="0.2">
      <c r="A1121" s="5">
        <v>1060</v>
      </c>
      <c r="B1121" s="1832">
        <f>'Expenditures 15-22'!K50</f>
        <v>140118</v>
      </c>
      <c r="C1121" s="2" t="s">
        <v>569</v>
      </c>
      <c r="D1121" s="2" t="str">
        <f t="shared" si="16"/>
        <v>Error?</v>
      </c>
    </row>
    <row r="1122" spans="1:4" x14ac:dyDescent="0.2">
      <c r="A1122" s="5">
        <v>1061</v>
      </c>
      <c r="B1122" s="1832">
        <f>'Expenditures 15-22'!K53</f>
        <v>167818</v>
      </c>
      <c r="C1122" s="2" t="s">
        <v>569</v>
      </c>
      <c r="D1122" s="2" t="str">
        <f t="shared" si="16"/>
        <v>Error?</v>
      </c>
    </row>
    <row r="1123" spans="1:4" x14ac:dyDescent="0.2">
      <c r="A1123" s="5">
        <v>1062</v>
      </c>
      <c r="B1123" s="1832">
        <f>'Expenditures 15-22'!K55</f>
        <v>167023</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167023</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75192</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198855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274047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921624</v>
      </c>
      <c r="C1143" s="2" t="s">
        <v>569</v>
      </c>
      <c r="D1143" s="2" t="str">
        <f t="shared" si="16"/>
        <v>Error?</v>
      </c>
    </row>
    <row r="1144" spans="1:4" x14ac:dyDescent="0.2">
      <c r="A1144" s="5">
        <v>1083</v>
      </c>
      <c r="B1144" s="1832">
        <f>'Expenditures 15-22'!K75</f>
        <v>25518</v>
      </c>
      <c r="C1144" s="2" t="s">
        <v>569</v>
      </c>
      <c r="D1144" s="2" t="str">
        <f t="shared" si="16"/>
        <v>Error?</v>
      </c>
    </row>
    <row r="1145" spans="1:4" x14ac:dyDescent="0.2">
      <c r="A1145" s="5">
        <v>1084</v>
      </c>
      <c r="B1145" s="1832">
        <f>'Expenditures 15-22'!K102</f>
        <v>228756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3466980</v>
      </c>
      <c r="C1152" s="2" t="s">
        <v>569</v>
      </c>
      <c r="D1152" s="2" t="str">
        <f t="shared" si="17"/>
        <v>Error?</v>
      </c>
    </row>
    <row r="1153" spans="1:4" x14ac:dyDescent="0.2">
      <c r="A1153" s="5">
        <v>1092</v>
      </c>
      <c r="B1153" s="1832">
        <f>'Expenditures 15-22'!K115</f>
        <v>517651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151189</v>
      </c>
      <c r="D1221" s="2" t="str">
        <f t="shared" si="18"/>
        <v>Error?</v>
      </c>
    </row>
    <row r="1222" spans="1:4" x14ac:dyDescent="0.2">
      <c r="A1222" s="10">
        <v>1161</v>
      </c>
      <c r="B1222" s="1832"/>
      <c r="D1222" s="2" t="str">
        <f t="shared" si="18"/>
        <v>OK</v>
      </c>
    </row>
    <row r="1223" spans="1:4" x14ac:dyDescent="0.2">
      <c r="A1223" s="5">
        <v>1162</v>
      </c>
      <c r="B1223" s="1832">
        <f>'Expenditures 15-22'!C127</f>
        <v>151189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151189</v>
      </c>
      <c r="C1225" s="2" t="s">
        <v>569</v>
      </c>
      <c r="D1225" s="2" t="str">
        <f t="shared" si="18"/>
        <v>Error?</v>
      </c>
    </row>
    <row r="1226" spans="1:4" x14ac:dyDescent="0.2">
      <c r="A1226" s="5">
        <v>1165</v>
      </c>
      <c r="B1226" s="1832">
        <f>'Expenditures 15-22'!C151</f>
        <v>151189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21475</v>
      </c>
      <c r="D1229" s="2" t="str">
        <f t="shared" si="18"/>
        <v>Error?</v>
      </c>
    </row>
    <row r="1230" spans="1:4" x14ac:dyDescent="0.2">
      <c r="A1230" s="10">
        <v>1169</v>
      </c>
      <c r="B1230" s="1832"/>
      <c r="D1230" s="2" t="str">
        <f t="shared" si="18"/>
        <v>OK</v>
      </c>
    </row>
    <row r="1231" spans="1:4" x14ac:dyDescent="0.2">
      <c r="A1231" s="5">
        <v>1170</v>
      </c>
      <c r="B1231" s="1832">
        <f>'Expenditures 15-22'!D127</f>
        <v>21475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21475</v>
      </c>
      <c r="C1233" s="2" t="s">
        <v>569</v>
      </c>
      <c r="D1233" s="2" t="str">
        <f t="shared" si="18"/>
        <v>Error?</v>
      </c>
    </row>
    <row r="1234" spans="1:4" x14ac:dyDescent="0.2">
      <c r="A1234" s="5">
        <v>1173</v>
      </c>
      <c r="B1234" s="1832">
        <f>'Expenditures 15-22'!D151</f>
        <v>21475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69290</v>
      </c>
      <c r="D1237" s="2" t="str">
        <f t="shared" si="18"/>
        <v>Error?</v>
      </c>
    </row>
    <row r="1238" spans="1:4" x14ac:dyDescent="0.2">
      <c r="A1238" s="10">
        <v>1177</v>
      </c>
      <c r="B1238" s="1832"/>
      <c r="D1238" s="2" t="str">
        <f t="shared" si="18"/>
        <v>OK</v>
      </c>
    </row>
    <row r="1239" spans="1:4" x14ac:dyDescent="0.2">
      <c r="A1239" s="5">
        <v>1178</v>
      </c>
      <c r="B1239" s="1832">
        <f>'Expenditures 15-22'!E127</f>
        <v>69290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69290</v>
      </c>
      <c r="C1241" s="2" t="s">
        <v>569</v>
      </c>
      <c r="D1241" s="2" t="str">
        <f t="shared" si="18"/>
        <v>Error?</v>
      </c>
    </row>
    <row r="1242" spans="1:4" x14ac:dyDescent="0.2">
      <c r="A1242" s="5">
        <v>1181</v>
      </c>
      <c r="B1242" s="1832">
        <f>'Expenditures 15-22'!E151</f>
        <v>69290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70544</v>
      </c>
      <c r="D1245" s="2" t="str">
        <f t="shared" si="18"/>
        <v>Error?</v>
      </c>
    </row>
    <row r="1246" spans="1:4" x14ac:dyDescent="0.2">
      <c r="A1246" s="10">
        <v>1185</v>
      </c>
      <c r="B1246" s="1832"/>
      <c r="D1246" s="2" t="str">
        <f t="shared" si="18"/>
        <v>OK</v>
      </c>
    </row>
    <row r="1247" spans="1:4" x14ac:dyDescent="0.2">
      <c r="A1247" s="5">
        <v>1186</v>
      </c>
      <c r="B1247" s="1832">
        <f>'Expenditures 15-22'!F127</f>
        <v>70544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70544</v>
      </c>
      <c r="C1249" s="2" t="s">
        <v>569</v>
      </c>
      <c r="D1249" s="2" t="str">
        <f t="shared" si="18"/>
        <v>Error?</v>
      </c>
    </row>
    <row r="1250" spans="1:4" x14ac:dyDescent="0.2">
      <c r="A1250" s="5">
        <v>1189</v>
      </c>
      <c r="B1250" s="1832">
        <f>'Expenditures 15-22'!F151</f>
        <v>70544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21700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21700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21700</v>
      </c>
      <c r="C1258" s="2" t="s">
        <v>569</v>
      </c>
      <c r="D1258" s="2" t="str">
        <f t="shared" si="18"/>
        <v>Error?</v>
      </c>
    </row>
    <row r="1259" spans="1:4" x14ac:dyDescent="0.2">
      <c r="A1259" s="5">
        <v>1198</v>
      </c>
      <c r="B1259" s="1832">
        <f>'Expenditures 15-22'!G151</f>
        <v>21700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334198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334198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334198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334198</v>
      </c>
      <c r="C1288" s="2" t="s">
        <v>569</v>
      </c>
      <c r="D1288" s="2" t="str">
        <f t="shared" si="19"/>
        <v>Error?</v>
      </c>
    </row>
    <row r="1289" spans="1:4" x14ac:dyDescent="0.2">
      <c r="A1289" s="5">
        <v>1228</v>
      </c>
      <c r="B1289" s="1832">
        <f>'Expenditures 15-22'!K152</f>
        <v>54652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5025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65000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70025</v>
      </c>
      <c r="C1317" s="2" t="s">
        <v>569</v>
      </c>
      <c r="D1317" s="2" t="str">
        <f t="shared" si="19"/>
        <v>Error?</v>
      </c>
    </row>
    <row r="1318" spans="1:4" x14ac:dyDescent="0.2">
      <c r="A1318" s="5">
        <v>1257</v>
      </c>
      <c r="B1318" s="1832">
        <f>'Expenditures 15-22'!H174</f>
        <v>70025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5025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65000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70025</v>
      </c>
      <c r="C1331" s="2" t="s">
        <v>569</v>
      </c>
      <c r="D1331" s="2" t="str">
        <f t="shared" si="19"/>
        <v>Error?</v>
      </c>
    </row>
    <row r="1332" spans="1:4" x14ac:dyDescent="0.2">
      <c r="A1332" s="5">
        <v>1271</v>
      </c>
      <c r="B1332" s="1832">
        <f>'Expenditures 15-22'!K174</f>
        <v>70025</v>
      </c>
      <c r="C1332" s="2" t="s">
        <v>569</v>
      </c>
      <c r="D1332" s="2" t="str">
        <f t="shared" si="19"/>
        <v>Error?</v>
      </c>
    </row>
    <row r="1333" spans="1:4" x14ac:dyDescent="0.2">
      <c r="A1333" s="5">
        <v>1272</v>
      </c>
      <c r="B1333" s="1832">
        <f>'Expenditures 15-22'!K175</f>
        <v>19035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26450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26450</v>
      </c>
      <c r="C1339" s="2" t="s">
        <v>569</v>
      </c>
      <c r="D1339" s="2" t="str">
        <f t="shared" si="19"/>
        <v>Error?</v>
      </c>
    </row>
    <row r="1340" spans="1:4" x14ac:dyDescent="0.2">
      <c r="A1340" s="5">
        <v>1279</v>
      </c>
      <c r="B1340" s="1832">
        <f>'Expenditures 15-22'!C210</f>
        <v>26450</v>
      </c>
      <c r="C1340" s="2" t="s">
        <v>569</v>
      </c>
      <c r="D1340" s="2" t="str">
        <f t="shared" si="19"/>
        <v>Error?</v>
      </c>
    </row>
    <row r="1341" spans="1:4" x14ac:dyDescent="0.2">
      <c r="A1341" s="5">
        <v>1280</v>
      </c>
      <c r="B1341" s="1832">
        <f>'Expenditures 15-22'!D182</f>
        <v>1745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1745</v>
      </c>
      <c r="C1345" s="2" t="s">
        <v>569</v>
      </c>
      <c r="D1345" s="2" t="str">
        <f t="shared" si="20"/>
        <v>Error?</v>
      </c>
    </row>
    <row r="1346" spans="1:4" x14ac:dyDescent="0.2">
      <c r="A1346" s="5">
        <v>1285</v>
      </c>
      <c r="B1346" s="1832">
        <f>'Expenditures 15-22'!D210</f>
        <v>1745</v>
      </c>
      <c r="C1346" s="2" t="s">
        <v>569</v>
      </c>
      <c r="D1346" s="2" t="str">
        <f t="shared" si="20"/>
        <v>Error?</v>
      </c>
    </row>
    <row r="1347" spans="1:4" x14ac:dyDescent="0.2">
      <c r="A1347" s="5">
        <v>1286</v>
      </c>
      <c r="B1347" s="1832">
        <f>'Expenditures 15-22'!E182</f>
        <v>115669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115669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115669</v>
      </c>
      <c r="C1353" s="2" t="s">
        <v>569</v>
      </c>
      <c r="D1353" s="2" t="str">
        <f t="shared" si="20"/>
        <v>Error?</v>
      </c>
    </row>
    <row r="1354" spans="1:4" x14ac:dyDescent="0.2">
      <c r="A1354" s="5">
        <v>1293</v>
      </c>
      <c r="B1354" s="1832">
        <f>'Expenditures 15-22'!F182</f>
        <v>5510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5510</v>
      </c>
      <c r="C1358" s="2" t="s">
        <v>569</v>
      </c>
      <c r="D1358" s="2" t="str">
        <f t="shared" si="20"/>
        <v>Error?</v>
      </c>
    </row>
    <row r="1359" spans="1:4" x14ac:dyDescent="0.2">
      <c r="A1359" s="5">
        <v>1298</v>
      </c>
      <c r="B1359" s="1832">
        <f>'Expenditures 15-22'!F210</f>
        <v>5510</v>
      </c>
      <c r="C1359" s="2" t="s">
        <v>569</v>
      </c>
      <c r="D1359" s="2" t="str">
        <f t="shared" si="20"/>
        <v>Error?</v>
      </c>
    </row>
    <row r="1360" spans="1:4" x14ac:dyDescent="0.2">
      <c r="A1360" s="5">
        <v>1299</v>
      </c>
      <c r="B1360" s="1832">
        <f>'Expenditures 15-22'!G182</f>
        <v>10209</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10209</v>
      </c>
      <c r="C1364" s="2" t="s">
        <v>569</v>
      </c>
      <c r="D1364" s="2" t="str">
        <f t="shared" si="20"/>
        <v>Error?</v>
      </c>
    </row>
    <row r="1365" spans="1:4" x14ac:dyDescent="0.2">
      <c r="A1365" s="5">
        <v>1304</v>
      </c>
      <c r="B1365" s="1832">
        <f>'Expenditures 15-22'!G210</f>
        <v>10209</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13782</v>
      </c>
      <c r="C1376" s="2" t="s">
        <v>569</v>
      </c>
      <c r="D1376" s="2" t="str">
        <f t="shared" si="20"/>
        <v>Error?</v>
      </c>
    </row>
    <row r="1377" spans="1:4" x14ac:dyDescent="0.2">
      <c r="A1377" s="5">
        <v>1316</v>
      </c>
      <c r="B1377" s="1832">
        <f>'Expenditures 15-22'!K182</f>
        <v>159583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159583</v>
      </c>
      <c r="C1381" s="2" t="s">
        <v>569</v>
      </c>
      <c r="D1381" s="2" t="str">
        <f t="shared" si="20"/>
        <v>Error?</v>
      </c>
    </row>
    <row r="1382" spans="1:4" x14ac:dyDescent="0.2">
      <c r="A1382" s="5">
        <v>1321</v>
      </c>
      <c r="B1382" s="1832">
        <f>'Expenditures 15-22'!K196</f>
        <v>13782</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173365</v>
      </c>
      <c r="C1388" s="2" t="s">
        <v>569</v>
      </c>
      <c r="D1388" s="2" t="str">
        <f t="shared" si="20"/>
        <v>Error?</v>
      </c>
    </row>
    <row r="1389" spans="1:4" x14ac:dyDescent="0.2">
      <c r="A1389" s="5">
        <v>1328</v>
      </c>
      <c r="B1389" s="1832">
        <f>'Expenditures 15-22'!K211</f>
        <v>6201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2515</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3404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54455</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971</v>
      </c>
      <c r="D1412" s="2" t="str">
        <f t="shared" si="21"/>
        <v>Error?</v>
      </c>
    </row>
    <row r="1413" spans="1:4" x14ac:dyDescent="0.2">
      <c r="A1413" s="5">
        <v>1352</v>
      </c>
      <c r="B1413" s="1832">
        <f>'Expenditures 15-22'!D234</f>
        <v>5508</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6479</v>
      </c>
      <c r="C1417" s="2" t="s">
        <v>569</v>
      </c>
      <c r="D1417" s="2" t="str">
        <f t="shared" si="21"/>
        <v>Error?</v>
      </c>
    </row>
    <row r="1418" spans="1:4" x14ac:dyDescent="0.2">
      <c r="A1418" s="5">
        <v>1357</v>
      </c>
      <c r="B1418" s="1832">
        <f>'Expenditures 15-22'!D240</f>
        <v>446</v>
      </c>
      <c r="D1418" s="2" t="str">
        <f t="shared" si="21"/>
        <v>Error?</v>
      </c>
    </row>
    <row r="1419" spans="1:4" x14ac:dyDescent="0.2">
      <c r="A1419" s="5">
        <v>1358</v>
      </c>
      <c r="B1419" s="1832">
        <f>'Expenditures 15-22'!D241</f>
        <v>8181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8627</v>
      </c>
      <c r="C1421" s="2" t="s">
        <v>569</v>
      </c>
      <c r="D1421" s="2" t="str">
        <f t="shared" si="21"/>
        <v>Error?</v>
      </c>
    </row>
    <row r="1422" spans="1:4" x14ac:dyDescent="0.2">
      <c r="A1422" s="5">
        <v>1361</v>
      </c>
      <c r="B1422" s="1832">
        <f>'Expenditures 15-22'!D245</f>
        <v>365</v>
      </c>
      <c r="D1422" s="2" t="str">
        <f t="shared" si="21"/>
        <v>Error?</v>
      </c>
    </row>
    <row r="1423" spans="1:4" x14ac:dyDescent="0.2">
      <c r="A1423" s="5">
        <v>1362</v>
      </c>
      <c r="B1423" s="1832">
        <f>'Expenditures 15-22'!D246</f>
        <v>3590</v>
      </c>
      <c r="D1423" s="2" t="str">
        <f t="shared" si="21"/>
        <v>Error?</v>
      </c>
    </row>
    <row r="1424" spans="1:4" x14ac:dyDescent="0.2">
      <c r="A1424" s="5">
        <v>1363</v>
      </c>
      <c r="B1424" s="1832">
        <f>'Expenditures 15-22'!D257</f>
        <v>3993</v>
      </c>
      <c r="C1424" s="2" t="s">
        <v>569</v>
      </c>
      <c r="D1424" s="2" t="str">
        <f t="shared" si="21"/>
        <v>Error?</v>
      </c>
    </row>
    <row r="1425" spans="1:4" x14ac:dyDescent="0.2">
      <c r="A1425" s="5">
        <v>1364</v>
      </c>
      <c r="B1425" s="1832">
        <f>'Expenditures 15-22'!D259</f>
        <v>7345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7345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8781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20657</v>
      </c>
      <c r="D1431" s="2" t="str">
        <f t="shared" si="21"/>
        <v>Error?</v>
      </c>
    </row>
    <row r="1432" spans="1:4" x14ac:dyDescent="0.2">
      <c r="A1432" s="5">
        <v>1371</v>
      </c>
      <c r="B1432" s="1832">
        <f>'Expenditures 15-22'!D267</f>
        <v>2657</v>
      </c>
      <c r="D1432" s="2" t="str">
        <f t="shared" si="21"/>
        <v>Error?</v>
      </c>
    </row>
    <row r="1433" spans="1:4" x14ac:dyDescent="0.2">
      <c r="A1433" s="5">
        <v>1372</v>
      </c>
      <c r="B1433" s="1832">
        <f>'Expenditures 15-22'!D268</f>
        <v>7653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39748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66192</v>
      </c>
      <c r="C1446" s="2" t="s">
        <v>569</v>
      </c>
      <c r="D1446" s="2" t="str">
        <f t="shared" si="21"/>
        <v>Error?</v>
      </c>
    </row>
    <row r="1447" spans="1:4" x14ac:dyDescent="0.2">
      <c r="A1447" s="5">
        <v>1386</v>
      </c>
      <c r="B1447" s="1832">
        <f>'Expenditures 15-22'!D280</f>
        <v>1896</v>
      </c>
      <c r="D1447" s="2" t="str">
        <f t="shared" si="21"/>
        <v>Error?</v>
      </c>
    </row>
    <row r="1448" spans="1:4" x14ac:dyDescent="0.2">
      <c r="A1448" s="5">
        <v>1387</v>
      </c>
      <c r="B1448" s="1832">
        <f>'Expenditures 15-22'!D295</f>
        <v>122543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2515</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3404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54455</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971</v>
      </c>
      <c r="C1476" s="2" t="s">
        <v>569</v>
      </c>
      <c r="D1476" s="2" t="str">
        <f t="shared" si="22"/>
        <v>Error?</v>
      </c>
    </row>
    <row r="1477" spans="1:4" x14ac:dyDescent="0.2">
      <c r="A1477" s="5">
        <v>1416</v>
      </c>
      <c r="B1477" s="1832">
        <f>'Expenditures 15-22'!K234</f>
        <v>5508</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6479</v>
      </c>
      <c r="C1481" s="2" t="s">
        <v>569</v>
      </c>
      <c r="D1481" s="2" t="str">
        <f t="shared" si="22"/>
        <v>Error?</v>
      </c>
    </row>
    <row r="1482" spans="1:4" x14ac:dyDescent="0.2">
      <c r="A1482" s="5">
        <v>1421</v>
      </c>
      <c r="B1482" s="1832">
        <f>'Expenditures 15-22'!K240</f>
        <v>446</v>
      </c>
      <c r="C1482" s="2" t="s">
        <v>569</v>
      </c>
      <c r="D1482" s="2" t="str">
        <f t="shared" si="22"/>
        <v>Error?</v>
      </c>
    </row>
    <row r="1483" spans="1:4" x14ac:dyDescent="0.2">
      <c r="A1483" s="5">
        <v>1422</v>
      </c>
      <c r="B1483" s="1832">
        <f>'Expenditures 15-22'!K241</f>
        <v>8181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8627</v>
      </c>
      <c r="C1485" s="2" t="s">
        <v>569</v>
      </c>
      <c r="D1485" s="2" t="str">
        <f t="shared" si="22"/>
        <v>Error?</v>
      </c>
    </row>
    <row r="1486" spans="1:4" x14ac:dyDescent="0.2">
      <c r="A1486" s="5">
        <v>1425</v>
      </c>
      <c r="B1486" s="1832">
        <f>'Expenditures 15-22'!K245</f>
        <v>365</v>
      </c>
      <c r="C1486" s="2" t="s">
        <v>569</v>
      </c>
      <c r="D1486" s="2" t="str">
        <f t="shared" si="22"/>
        <v>Error?</v>
      </c>
    </row>
    <row r="1487" spans="1:4" x14ac:dyDescent="0.2">
      <c r="A1487" s="5">
        <v>1426</v>
      </c>
      <c r="B1487" s="1832">
        <f>'Expenditures 15-22'!K246</f>
        <v>3590</v>
      </c>
      <c r="C1487" s="2" t="s">
        <v>569</v>
      </c>
      <c r="D1487" s="2" t="str">
        <f t="shared" si="22"/>
        <v>Error?</v>
      </c>
    </row>
    <row r="1488" spans="1:4" x14ac:dyDescent="0.2">
      <c r="A1488" s="5">
        <v>1427</v>
      </c>
      <c r="B1488" s="1832">
        <f>'Expenditures 15-22'!K257</f>
        <v>3993</v>
      </c>
      <c r="C1488" s="2" t="s">
        <v>569</v>
      </c>
      <c r="D1488" s="2" t="str">
        <f t="shared" si="22"/>
        <v>Error?</v>
      </c>
    </row>
    <row r="1489" spans="1:4" x14ac:dyDescent="0.2">
      <c r="A1489" s="5">
        <v>1428</v>
      </c>
      <c r="B1489" s="1832">
        <f>'Expenditures 15-22'!K259</f>
        <v>7345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7345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8781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20657</v>
      </c>
      <c r="C1495" s="2" t="s">
        <v>569</v>
      </c>
      <c r="D1495" s="2" t="str">
        <f t="shared" si="22"/>
        <v>Error?</v>
      </c>
    </row>
    <row r="1496" spans="1:4" x14ac:dyDescent="0.2">
      <c r="A1496" s="5">
        <v>1435</v>
      </c>
      <c r="B1496" s="1832">
        <f>'Expenditures 15-22'!K267</f>
        <v>2657</v>
      </c>
      <c r="C1496" s="2" t="s">
        <v>569</v>
      </c>
      <c r="D1496" s="2" t="str">
        <f t="shared" si="22"/>
        <v>Error?</v>
      </c>
    </row>
    <row r="1497" spans="1:4" x14ac:dyDescent="0.2">
      <c r="A1497" s="5">
        <v>1436</v>
      </c>
      <c r="B1497" s="1832">
        <f>'Expenditures 15-22'!K268</f>
        <v>7653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39748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66192</v>
      </c>
      <c r="C1510" s="2" t="s">
        <v>569</v>
      </c>
      <c r="D1510" s="2" t="str">
        <f t="shared" si="22"/>
        <v>Error?</v>
      </c>
    </row>
    <row r="1511" spans="1:4" x14ac:dyDescent="0.2">
      <c r="A1511" s="5">
        <v>1450</v>
      </c>
      <c r="B1511" s="1832">
        <f>'Expenditures 15-22'!K280</f>
        <v>1896</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122543</v>
      </c>
      <c r="C1517" s="2" t="s">
        <v>569</v>
      </c>
      <c r="D1517" s="2" t="str">
        <f t="shared" si="22"/>
        <v>Error?</v>
      </c>
    </row>
    <row r="1518" spans="1:4" x14ac:dyDescent="0.2">
      <c r="A1518" s="5">
        <v>1457</v>
      </c>
      <c r="B1518" s="1832">
        <f>'Expenditures 15-22'!K296</f>
        <v>3289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845147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1362798</v>
      </c>
      <c r="C1630" s="2" t="s">
        <v>569</v>
      </c>
      <c r="D1630" s="2" t="str">
        <f t="shared" si="24"/>
        <v>Error?</v>
      </c>
    </row>
    <row r="1631" spans="1:4" x14ac:dyDescent="0.2">
      <c r="A1631" s="5">
        <v>1570</v>
      </c>
      <c r="B1631" s="1832">
        <f>'Acct Summary 7-8'!D79</f>
        <v>66183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120835</v>
      </c>
      <c r="C1644" s="2" t="s">
        <v>569</v>
      </c>
      <c r="D1644" s="2" t="str">
        <f t="shared" si="24"/>
        <v>Error?</v>
      </c>
    </row>
    <row r="1645" spans="1:4" x14ac:dyDescent="0.2">
      <c r="A1645" s="5">
        <v>1584</v>
      </c>
      <c r="B1645" s="1832">
        <f>'Acct Summary 7-8'!E79</f>
        <v>-2741</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16294</v>
      </c>
      <c r="C1658" s="2" t="s">
        <v>569</v>
      </c>
      <c r="D1658" s="2" t="str">
        <f t="shared" si="24"/>
        <v>Error?</v>
      </c>
    </row>
    <row r="1659" spans="1:4" x14ac:dyDescent="0.2">
      <c r="A1659" s="5">
        <v>1598</v>
      </c>
      <c r="B1659" s="1832">
        <f>'Acct Summary 7-8'!F79</f>
        <v>35606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41807</v>
      </c>
      <c r="C1672" s="2" t="s">
        <v>569</v>
      </c>
      <c r="D1672" s="2" t="str">
        <f t="shared" si="25"/>
        <v>Error?</v>
      </c>
    </row>
    <row r="1673" spans="1:4" x14ac:dyDescent="0.2">
      <c r="A1673" s="5">
        <v>1612</v>
      </c>
      <c r="B1673" s="1832">
        <f>'Acct Summary 7-8'!G79</f>
        <v>183955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187244</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200774</v>
      </c>
      <c r="C1744" s="2" t="s">
        <v>569</v>
      </c>
      <c r="D1744" s="2" t="str">
        <f t="shared" si="26"/>
        <v>Error?</v>
      </c>
    </row>
    <row r="1745" spans="1:5" x14ac:dyDescent="0.2">
      <c r="A1745" s="5">
        <v>1684</v>
      </c>
      <c r="B1745" s="1832">
        <f>'Tax Sched 23'!B5</f>
        <v>38700</v>
      </c>
      <c r="C1745" s="2" t="s">
        <v>569</v>
      </c>
      <c r="D1745" s="2" t="str">
        <f t="shared" si="26"/>
        <v>Error?</v>
      </c>
    </row>
    <row r="1746" spans="1:5" x14ac:dyDescent="0.2">
      <c r="A1746" s="5">
        <v>1685</v>
      </c>
      <c r="B1746" s="1832">
        <f>'Tax Sched 23'!B6</f>
        <v>67460</v>
      </c>
      <c r="C1746" s="2" t="s">
        <v>569</v>
      </c>
      <c r="D1746" s="2" t="str">
        <f t="shared" si="26"/>
        <v>Error?</v>
      </c>
    </row>
    <row r="1747" spans="1:5" x14ac:dyDescent="0.2">
      <c r="A1747" s="5">
        <v>1686</v>
      </c>
      <c r="B1747" s="1832">
        <f>'Tax Sched 23'!B7</f>
        <v>16511</v>
      </c>
      <c r="C1747" s="2" t="s">
        <v>569</v>
      </c>
      <c r="D1747" s="2" t="str">
        <f t="shared" si="26"/>
        <v>Error?</v>
      </c>
    </row>
    <row r="1748" spans="1:5" x14ac:dyDescent="0.2">
      <c r="A1748" s="5">
        <v>1687</v>
      </c>
      <c r="B1748" s="1832">
        <f>'Tax Sched 23'!B8</f>
        <v>62555</v>
      </c>
      <c r="C1748" s="2" t="s">
        <v>569</v>
      </c>
      <c r="D1748" s="2" t="str">
        <f t="shared" si="26"/>
        <v>Error?</v>
      </c>
    </row>
    <row r="1749" spans="1:5" x14ac:dyDescent="0.2">
      <c r="A1749" s="5">
        <v>1688</v>
      </c>
      <c r="B1749" s="1832">
        <f>'Tax Sched 23'!B10</f>
        <v>3856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115433</v>
      </c>
      <c r="C1752" s="2" t="s">
        <v>569</v>
      </c>
      <c r="D1752" s="2" t="str">
        <f t="shared" si="26"/>
        <v>Error?</v>
      </c>
    </row>
    <row r="1753" spans="1:5" x14ac:dyDescent="0.2">
      <c r="A1753" s="5">
        <v>1692</v>
      </c>
      <c r="B1753" s="1832">
        <f>'Tax Sched 23'!B12</f>
        <v>4074</v>
      </c>
      <c r="C1753" s="2" t="s">
        <v>569</v>
      </c>
      <c r="D1753" s="2" t="str">
        <f t="shared" si="26"/>
        <v>Error?</v>
      </c>
    </row>
    <row r="1754" spans="1:5" x14ac:dyDescent="0.2">
      <c r="A1754" s="5">
        <v>1693</v>
      </c>
      <c r="B1754" s="1832">
        <f>'Tax Sched 23'!B14</f>
        <v>3259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579251</v>
      </c>
      <c r="C1759" s="2" t="s">
        <v>569</v>
      </c>
      <c r="D1759" s="2" t="str">
        <f t="shared" si="26"/>
        <v>Error?</v>
      </c>
    </row>
    <row r="1760" spans="1:5" x14ac:dyDescent="0.2">
      <c r="A1760" s="5">
        <v>1699</v>
      </c>
      <c r="B1760" s="1832">
        <f>'Tax Sched 23'!D4</f>
        <v>200774</v>
      </c>
      <c r="C1760" s="2" t="s">
        <v>569</v>
      </c>
      <c r="D1760" s="2" t="str">
        <f t="shared" si="26"/>
        <v>Error?</v>
      </c>
    </row>
    <row r="1761" spans="1:7" x14ac:dyDescent="0.2">
      <c r="A1761" s="5">
        <v>1700</v>
      </c>
      <c r="B1761" s="1832">
        <f>'Tax Sched 23'!D5</f>
        <v>38700</v>
      </c>
      <c r="C1761" s="2" t="s">
        <v>569</v>
      </c>
      <c r="D1761" s="2" t="str">
        <f t="shared" si="26"/>
        <v>Error?</v>
      </c>
    </row>
    <row r="1762" spans="1:7" s="8" customFormat="1" x14ac:dyDescent="0.2">
      <c r="A1762" s="5">
        <v>1701</v>
      </c>
      <c r="B1762" s="1832">
        <f>'Tax Sched 23'!D6</f>
        <v>67460</v>
      </c>
      <c r="C1762" s="2" t="s">
        <v>569</v>
      </c>
      <c r="D1762" s="2" t="str">
        <f t="shared" si="26"/>
        <v>Error?</v>
      </c>
      <c r="E1762" s="9"/>
      <c r="G1762"/>
    </row>
    <row r="1763" spans="1:7" x14ac:dyDescent="0.2">
      <c r="A1763" s="5">
        <v>1702</v>
      </c>
      <c r="B1763" s="1832">
        <f>'Tax Sched 23'!D7</f>
        <v>16511</v>
      </c>
      <c r="C1763" s="2" t="s">
        <v>569</v>
      </c>
      <c r="D1763" s="2" t="str">
        <f t="shared" si="26"/>
        <v>Error?</v>
      </c>
    </row>
    <row r="1764" spans="1:7" x14ac:dyDescent="0.2">
      <c r="A1764" s="5">
        <v>1703</v>
      </c>
      <c r="B1764" s="1832">
        <f>'Tax Sched 23'!D8</f>
        <v>62555</v>
      </c>
      <c r="C1764" s="2" t="s">
        <v>569</v>
      </c>
      <c r="D1764" s="2" t="str">
        <f t="shared" si="26"/>
        <v>Error?</v>
      </c>
    </row>
    <row r="1765" spans="1:7" x14ac:dyDescent="0.2">
      <c r="A1765" s="5">
        <v>1704</v>
      </c>
      <c r="B1765" s="1832">
        <f>'Tax Sched 23'!D10</f>
        <v>3856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115433</v>
      </c>
      <c r="C1768" s="2" t="s">
        <v>569</v>
      </c>
      <c r="D1768" s="2" t="str">
        <f t="shared" si="26"/>
        <v>Error?</v>
      </c>
    </row>
    <row r="1769" spans="1:7" x14ac:dyDescent="0.2">
      <c r="A1769" s="5">
        <v>1708</v>
      </c>
      <c r="B1769" s="1832">
        <f>'Tax Sched 23'!D12</f>
        <v>4074</v>
      </c>
      <c r="C1769" s="2" t="s">
        <v>569</v>
      </c>
      <c r="D1769" s="2" t="str">
        <f t="shared" si="26"/>
        <v>Error?</v>
      </c>
    </row>
    <row r="1770" spans="1:7" x14ac:dyDescent="0.2">
      <c r="A1770" s="5">
        <v>1709</v>
      </c>
      <c r="B1770" s="1832">
        <f>'Tax Sched 23'!D14</f>
        <v>3259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579251</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216087</v>
      </c>
      <c r="C1792" s="2" t="s">
        <v>569</v>
      </c>
      <c r="D1792" s="2" t="str">
        <f t="shared" si="27"/>
        <v>Error?</v>
      </c>
    </row>
    <row r="1793" spans="1:4" x14ac:dyDescent="0.2">
      <c r="A1793" s="5">
        <v>1732</v>
      </c>
      <c r="B1793" s="1832">
        <f>'Tax Sched 23'!F5</f>
        <v>42767</v>
      </c>
      <c r="C1793" s="2" t="s">
        <v>569</v>
      </c>
      <c r="D1793" s="2" t="str">
        <f t="shared" si="27"/>
        <v>Error?</v>
      </c>
    </row>
    <row r="1794" spans="1:4" x14ac:dyDescent="0.2">
      <c r="A1794" s="5">
        <v>1733</v>
      </c>
      <c r="B1794" s="1832">
        <f>'Tax Sched 23'!F6</f>
        <v>67493</v>
      </c>
      <c r="C1794" s="2" t="s">
        <v>569</v>
      </c>
      <c r="D1794" s="2" t="str">
        <f t="shared" si="27"/>
        <v>Error?</v>
      </c>
    </row>
    <row r="1795" spans="1:4" x14ac:dyDescent="0.2">
      <c r="A1795" s="5">
        <v>1734</v>
      </c>
      <c r="B1795" s="1832">
        <f>'Tax Sched 23'!F7</f>
        <v>18007</v>
      </c>
      <c r="C1795" s="2" t="s">
        <v>569</v>
      </c>
      <c r="D1795" s="2" t="str">
        <f t="shared" si="27"/>
        <v>Error?</v>
      </c>
    </row>
    <row r="1796" spans="1:4" x14ac:dyDescent="0.2">
      <c r="A1796" s="5">
        <v>1735</v>
      </c>
      <c r="B1796" s="1832">
        <f>'Tax Sched 23'!F8</f>
        <v>61001</v>
      </c>
      <c r="C1796" s="2" t="s">
        <v>569</v>
      </c>
      <c r="D1796" s="2" t="str">
        <f t="shared" si="27"/>
        <v>Error?</v>
      </c>
    </row>
    <row r="1797" spans="1:4" x14ac:dyDescent="0.2">
      <c r="A1797" s="5">
        <v>1736</v>
      </c>
      <c r="B1797" s="1832">
        <f>'Tax Sched 23'!F10</f>
        <v>4502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124001</v>
      </c>
      <c r="C1800" s="2" t="s">
        <v>569</v>
      </c>
      <c r="D1800" s="2" t="str">
        <f t="shared" si="27"/>
        <v>Error?</v>
      </c>
    </row>
    <row r="1801" spans="1:4" x14ac:dyDescent="0.2">
      <c r="A1801" s="5">
        <v>1740</v>
      </c>
      <c r="B1801" s="1832">
        <f>'Tax Sched 23'!F12</f>
        <v>4502</v>
      </c>
      <c r="C1801" s="2" t="s">
        <v>569</v>
      </c>
      <c r="D1801" s="2" t="str">
        <f t="shared" si="27"/>
        <v>Error?</v>
      </c>
    </row>
    <row r="1802" spans="1:4" x14ac:dyDescent="0.2">
      <c r="A1802" s="5">
        <v>1741</v>
      </c>
      <c r="B1802" s="1832">
        <f>'Tax Sched 23'!F14</f>
        <v>3601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607463</v>
      </c>
      <c r="C1807" s="2" t="s">
        <v>569</v>
      </c>
      <c r="D1807" s="2" t="str">
        <f t="shared" si="27"/>
        <v>Error?</v>
      </c>
    </row>
    <row r="1808" spans="1:4" x14ac:dyDescent="0.2">
      <c r="A1808" s="5">
        <v>1747</v>
      </c>
      <c r="B1808" s="1832">
        <f>'Tax Sched 23'!E4</f>
        <v>216087</v>
      </c>
      <c r="D1808" s="2" t="str">
        <f t="shared" si="27"/>
        <v>Error?</v>
      </c>
    </row>
    <row r="1809" spans="1:4" x14ac:dyDescent="0.2">
      <c r="A1809" s="5">
        <v>1748</v>
      </c>
      <c r="B1809" s="1832">
        <f>'Tax Sched 23'!E5</f>
        <v>42767</v>
      </c>
      <c r="D1809" s="2" t="str">
        <f t="shared" si="27"/>
        <v>Error?</v>
      </c>
    </row>
    <row r="1810" spans="1:4" x14ac:dyDescent="0.2">
      <c r="A1810" s="5">
        <v>1749</v>
      </c>
      <c r="B1810" s="1832">
        <f>'Tax Sched 23'!E6</f>
        <v>67493</v>
      </c>
      <c r="D1810" s="2" t="str">
        <f t="shared" si="27"/>
        <v>Error?</v>
      </c>
    </row>
    <row r="1811" spans="1:4" x14ac:dyDescent="0.2">
      <c r="A1811" s="5">
        <v>1750</v>
      </c>
      <c r="B1811" s="1832">
        <f>'Tax Sched 23'!E7</f>
        <v>18007</v>
      </c>
      <c r="D1811" s="2" t="str">
        <f t="shared" si="27"/>
        <v>Error?</v>
      </c>
    </row>
    <row r="1812" spans="1:4" x14ac:dyDescent="0.2">
      <c r="A1812" s="5">
        <v>1751</v>
      </c>
      <c r="B1812" s="1832">
        <f>'Tax Sched 23'!E8</f>
        <v>61001</v>
      </c>
      <c r="D1812" s="2" t="str">
        <f t="shared" si="27"/>
        <v>Error?</v>
      </c>
    </row>
    <row r="1813" spans="1:4" x14ac:dyDescent="0.2">
      <c r="A1813" s="5">
        <v>1752</v>
      </c>
      <c r="B1813" s="1832">
        <f>'Tax Sched 23'!E10</f>
        <v>4502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124001</v>
      </c>
      <c r="D1816" s="2" t="str">
        <f t="shared" si="27"/>
        <v>Error?</v>
      </c>
    </row>
    <row r="1817" spans="1:4" x14ac:dyDescent="0.2">
      <c r="A1817" s="5">
        <v>1756</v>
      </c>
      <c r="B1817" s="1832">
        <f>'Tax Sched 23'!E12</f>
        <v>4502</v>
      </c>
      <c r="D1817" s="2" t="str">
        <f t="shared" si="27"/>
        <v>Error?</v>
      </c>
    </row>
    <row r="1818" spans="1:4" x14ac:dyDescent="0.2">
      <c r="A1818" s="5">
        <v>1757</v>
      </c>
      <c r="B1818" s="1832">
        <f>'Tax Sched 23'!E14</f>
        <v>3601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607463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195000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3259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3259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3259</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99312</v>
      </c>
      <c r="D2008" s="2" t="str">
        <f t="shared" si="30"/>
        <v>Error?</v>
      </c>
    </row>
    <row r="2009" spans="1:4" x14ac:dyDescent="0.2">
      <c r="A2009" s="5">
        <v>1948</v>
      </c>
      <c r="B2009" s="1832">
        <f>'Cap Outlay Deprec 26'!C8</f>
        <v>2246964</v>
      </c>
      <c r="D2009" s="2" t="str">
        <f t="shared" si="30"/>
        <v>Error?</v>
      </c>
    </row>
    <row r="2010" spans="1:4" x14ac:dyDescent="0.2">
      <c r="A2010" s="5">
        <v>1949</v>
      </c>
      <c r="B2010" s="1832">
        <f>'Cap Outlay Deprec 26'!C10</f>
        <v>176024</v>
      </c>
      <c r="D2010" s="2" t="str">
        <f t="shared" si="30"/>
        <v>Error?</v>
      </c>
    </row>
    <row r="2011" spans="1:4" x14ac:dyDescent="0.2">
      <c r="A2011" s="5">
        <v>1950</v>
      </c>
      <c r="B2011" s="1832">
        <f>'Cap Outlay Deprec 26'!C12</f>
        <v>1634437</v>
      </c>
      <c r="D2011" s="2" t="str">
        <f t="shared" si="30"/>
        <v>Error?</v>
      </c>
    </row>
    <row r="2012" spans="1:4" x14ac:dyDescent="0.2">
      <c r="A2012" s="5">
        <v>1951</v>
      </c>
      <c r="B2012" s="1832">
        <f>'Cap Outlay Deprec 26'!C13</f>
        <v>66361</v>
      </c>
      <c r="D2012" s="2" t="str">
        <f t="shared" si="30"/>
        <v>Error?</v>
      </c>
    </row>
    <row r="2013" spans="1:4" x14ac:dyDescent="0.2">
      <c r="A2013" s="5">
        <v>1952</v>
      </c>
      <c r="B2013" s="1832">
        <f>'Cap Outlay Deprec 26'!C16</f>
        <v>4302931</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21700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26050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13615</v>
      </c>
      <c r="D2024" s="2" t="str">
        <f t="shared" si="30"/>
        <v>Error?</v>
      </c>
    </row>
    <row r="2025" spans="1:4" x14ac:dyDescent="0.2">
      <c r="A2025" s="5">
        <v>1964</v>
      </c>
      <c r="B2025" s="1832">
        <f>'Cap Outlay Deprec 26'!E16</f>
        <v>13615</v>
      </c>
      <c r="C2025" s="2" t="s">
        <v>569</v>
      </c>
      <c r="D2025" s="2" t="str">
        <f t="shared" si="30"/>
        <v>Error?</v>
      </c>
    </row>
    <row r="2026" spans="1:4" x14ac:dyDescent="0.2">
      <c r="A2026" s="5">
        <v>1965</v>
      </c>
      <c r="B2026" s="1832">
        <f>'Cap Outlay Deprec 26'!F5</f>
        <v>99312</v>
      </c>
      <c r="C2026" s="2" t="s">
        <v>569</v>
      </c>
      <c r="D2026" s="2" t="str">
        <f t="shared" si="30"/>
        <v>Error?</v>
      </c>
    </row>
    <row r="2027" spans="1:4" x14ac:dyDescent="0.2">
      <c r="A2027" s="5">
        <v>1966</v>
      </c>
      <c r="B2027" s="1832">
        <f>'Cap Outlay Deprec 26'!F8</f>
        <v>2246964</v>
      </c>
      <c r="C2027" s="2" t="s">
        <v>569</v>
      </c>
      <c r="D2027" s="2" t="str">
        <f t="shared" si="30"/>
        <v>Error?</v>
      </c>
    </row>
    <row r="2028" spans="1:4" x14ac:dyDescent="0.2">
      <c r="A2028" s="5">
        <v>1967</v>
      </c>
      <c r="B2028" s="1832">
        <f>'Cap Outlay Deprec 26'!F10</f>
        <v>197724</v>
      </c>
      <c r="C2028" s="2" t="s">
        <v>569</v>
      </c>
      <c r="D2028" s="2" t="str">
        <f t="shared" si="30"/>
        <v>Error?</v>
      </c>
    </row>
    <row r="2029" spans="1:4" x14ac:dyDescent="0.2">
      <c r="A2029" s="5">
        <v>1968</v>
      </c>
      <c r="B2029" s="1832">
        <f>'Cap Outlay Deprec 26'!F12</f>
        <v>1634437</v>
      </c>
      <c r="C2029" s="2" t="s">
        <v>569</v>
      </c>
      <c r="D2029" s="2" t="str">
        <f t="shared" si="30"/>
        <v>Error?</v>
      </c>
    </row>
    <row r="2030" spans="1:4" x14ac:dyDescent="0.2">
      <c r="A2030" s="5">
        <v>1969</v>
      </c>
      <c r="B2030" s="1832">
        <f>'Cap Outlay Deprec 26'!F13</f>
        <v>52746</v>
      </c>
      <c r="C2030" s="2" t="s">
        <v>569</v>
      </c>
      <c r="D2030" s="2" t="str">
        <f t="shared" si="30"/>
        <v>Error?</v>
      </c>
    </row>
    <row r="2031" spans="1:4" x14ac:dyDescent="0.2">
      <c r="A2031" s="5">
        <v>1970</v>
      </c>
      <c r="B2031" s="1832">
        <f>'Cap Outlay Deprec 26'!F16</f>
        <v>4315366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1437335</v>
      </c>
      <c r="D2033" s="2" t="str">
        <f t="shared" si="30"/>
        <v>Error?</v>
      </c>
    </row>
    <row r="2034" spans="1:4" x14ac:dyDescent="0.2">
      <c r="A2034" s="5">
        <v>1973</v>
      </c>
      <c r="B2034" s="1832">
        <f>'Cap Outlay Deprec 26'!H10</f>
        <v>107904</v>
      </c>
      <c r="D2034" s="2" t="str">
        <f t="shared" si="30"/>
        <v>Error?</v>
      </c>
    </row>
    <row r="2035" spans="1:4" x14ac:dyDescent="0.2">
      <c r="A2035" s="5">
        <v>1974</v>
      </c>
      <c r="B2035" s="1832">
        <f>'Cap Outlay Deprec 26'!H12</f>
        <v>1620313</v>
      </c>
      <c r="D2035" s="2" t="str">
        <f t="shared" si="30"/>
        <v>Error?</v>
      </c>
    </row>
    <row r="2036" spans="1:4" x14ac:dyDescent="0.2">
      <c r="A2036" s="5">
        <v>1975</v>
      </c>
      <c r="B2036" s="1832">
        <f>'Cap Outlay Deprec 26'!H13</f>
        <v>63574</v>
      </c>
      <c r="D2036" s="2" t="str">
        <f t="shared" si="30"/>
        <v>Error?</v>
      </c>
    </row>
    <row r="2037" spans="1:4" x14ac:dyDescent="0.2">
      <c r="A2037" s="5">
        <v>1976</v>
      </c>
      <c r="B2037" s="1832">
        <f>'Cap Outlay Deprec 26'!H16</f>
        <v>3295984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66503</v>
      </c>
      <c r="D2039" s="2" t="str">
        <f t="shared" si="30"/>
        <v>Error?</v>
      </c>
    </row>
    <row r="2040" spans="1:4" x14ac:dyDescent="0.2">
      <c r="A2040" s="5">
        <v>1979</v>
      </c>
      <c r="B2040" s="1832">
        <f>'Cap Outlay Deprec 26'!I10</f>
        <v>6949</v>
      </c>
      <c r="D2040" s="2" t="str">
        <f t="shared" si="30"/>
        <v>Error?</v>
      </c>
    </row>
    <row r="2041" spans="1:4" x14ac:dyDescent="0.2">
      <c r="A2041" s="5">
        <v>1980</v>
      </c>
      <c r="B2041" s="1832">
        <f>'Cap Outlay Deprec 26'!I12</f>
        <v>3018</v>
      </c>
      <c r="D2041" s="2" t="str">
        <f t="shared" si="30"/>
        <v>Error?</v>
      </c>
    </row>
    <row r="2042" spans="1:4" x14ac:dyDescent="0.2">
      <c r="A2042" s="5">
        <v>1981</v>
      </c>
      <c r="B2042" s="1832">
        <f>'Cap Outlay Deprec 26'!I13</f>
        <v>2787</v>
      </c>
      <c r="D2042" s="2" t="str">
        <f t="shared" si="30"/>
        <v>Error?</v>
      </c>
    </row>
    <row r="2043" spans="1:4" x14ac:dyDescent="0.2">
      <c r="A2043" s="5">
        <v>1982</v>
      </c>
      <c r="B2043" s="1832">
        <f>'Cap Outlay Deprec 26'!I16</f>
        <v>82034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13615</v>
      </c>
      <c r="D2048" s="2" t="str">
        <f t="shared" si="31"/>
        <v>Error?</v>
      </c>
    </row>
    <row r="2049" spans="1:4" x14ac:dyDescent="0.2">
      <c r="A2049" s="5">
        <v>1988</v>
      </c>
      <c r="B2049" s="1832">
        <f>'Cap Outlay Deprec 26'!J16</f>
        <v>13615</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1503838</v>
      </c>
      <c r="C2051" s="2" t="s">
        <v>569</v>
      </c>
      <c r="D2051" s="2" t="str">
        <f t="shared" si="31"/>
        <v>Error?</v>
      </c>
    </row>
    <row r="2052" spans="1:4" x14ac:dyDescent="0.2">
      <c r="A2052" s="5">
        <v>1991</v>
      </c>
      <c r="B2052" s="1832">
        <f>'Cap Outlay Deprec 26'!K10</f>
        <v>114853</v>
      </c>
      <c r="C2052" s="2" t="s">
        <v>569</v>
      </c>
      <c r="D2052" s="2" t="str">
        <f t="shared" si="31"/>
        <v>Error?</v>
      </c>
    </row>
    <row r="2053" spans="1:4" x14ac:dyDescent="0.2">
      <c r="A2053" s="5">
        <v>1992</v>
      </c>
      <c r="B2053" s="1832">
        <f>'Cap Outlay Deprec 26'!K12</f>
        <v>1623331</v>
      </c>
      <c r="C2053" s="2" t="s">
        <v>569</v>
      </c>
      <c r="D2053" s="2" t="str">
        <f t="shared" si="31"/>
        <v>Error?</v>
      </c>
    </row>
    <row r="2054" spans="1:4" x14ac:dyDescent="0.2">
      <c r="A2054" s="5">
        <v>1993</v>
      </c>
      <c r="B2054" s="1832">
        <f>'Cap Outlay Deprec 26'!K13</f>
        <v>52746</v>
      </c>
      <c r="C2054" s="2" t="s">
        <v>569</v>
      </c>
      <c r="D2054" s="2" t="str">
        <f t="shared" si="31"/>
        <v>Error?</v>
      </c>
    </row>
    <row r="2055" spans="1:4" x14ac:dyDescent="0.2">
      <c r="A2055" s="5">
        <v>1994</v>
      </c>
      <c r="B2055" s="1832">
        <f>'Cap Outlay Deprec 26'!K16</f>
        <v>3364403</v>
      </c>
      <c r="C2055" s="2" t="s">
        <v>569</v>
      </c>
      <c r="D2055" s="2" t="str">
        <f t="shared" si="31"/>
        <v>Error?</v>
      </c>
    </row>
    <row r="2056" spans="1:4" x14ac:dyDescent="0.2">
      <c r="A2056" s="5">
        <v>1995</v>
      </c>
      <c r="B2056" s="1832">
        <f>'Cap Outlay Deprec 26'!L5</f>
        <v>99312</v>
      </c>
      <c r="C2056" s="2" t="s">
        <v>569</v>
      </c>
      <c r="D2056" s="2" t="str">
        <f t="shared" si="31"/>
        <v>Error?</v>
      </c>
    </row>
    <row r="2057" spans="1:4" x14ac:dyDescent="0.2">
      <c r="A2057" s="5">
        <v>1996</v>
      </c>
      <c r="B2057" s="1832">
        <f>'Cap Outlay Deprec 26'!L8</f>
        <v>743126</v>
      </c>
      <c r="C2057" s="2" t="s">
        <v>569</v>
      </c>
      <c r="D2057" s="2" t="str">
        <f t="shared" si="31"/>
        <v>Error?</v>
      </c>
    </row>
    <row r="2058" spans="1:4" x14ac:dyDescent="0.2">
      <c r="A2058" s="5">
        <v>1997</v>
      </c>
      <c r="B2058" s="1832">
        <f>'Cap Outlay Deprec 26'!L10</f>
        <v>82871</v>
      </c>
      <c r="C2058" s="2" t="s">
        <v>569</v>
      </c>
      <c r="D2058" s="2" t="str">
        <f t="shared" si="31"/>
        <v>Error?</v>
      </c>
    </row>
    <row r="2059" spans="1:4" x14ac:dyDescent="0.2">
      <c r="A2059" s="5">
        <v>1998</v>
      </c>
      <c r="B2059" s="1832">
        <f>'Cap Outlay Deprec 26'!L12</f>
        <v>11106</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950963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1669</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46885</v>
      </c>
      <c r="C2088" s="2" t="s">
        <v>569</v>
      </c>
      <c r="D2088" s="2" t="str">
        <f t="shared" si="31"/>
        <v>Error?</v>
      </c>
    </row>
    <row r="2089" spans="1:4" x14ac:dyDescent="0.2">
      <c r="A2089" s="5">
        <v>2028</v>
      </c>
      <c r="B2089" s="1832">
        <f>'Expenditures 15-22'!K92</f>
        <v>177629</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28977</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421440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3020074</v>
      </c>
      <c r="C2553" s="2" t="s">
        <v>569</v>
      </c>
      <c r="D2553" s="2" t="str">
        <f t="shared" si="38"/>
        <v>Error?</v>
      </c>
    </row>
    <row r="2554" spans="1:4" x14ac:dyDescent="0.2">
      <c r="A2554" s="5">
        <v>2493</v>
      </c>
      <c r="B2554" s="1832">
        <f>'Acct Summary 7-8'!C7</f>
        <v>543117</v>
      </c>
      <c r="C2554" s="2" t="s">
        <v>569</v>
      </c>
      <c r="D2554" s="2" t="str">
        <f t="shared" si="38"/>
        <v>Error?</v>
      </c>
    </row>
    <row r="2555" spans="1:4" x14ac:dyDescent="0.2">
      <c r="A2555" s="5">
        <v>2494</v>
      </c>
      <c r="B2555" s="1832">
        <f>'Acct Summary 7-8'!C8</f>
        <v>3984631</v>
      </c>
      <c r="C2555" s="2" t="s">
        <v>569</v>
      </c>
      <c r="D2555" s="2" t="str">
        <f t="shared" si="38"/>
        <v>Error?</v>
      </c>
    </row>
    <row r="2556" spans="1:4" x14ac:dyDescent="0.2">
      <c r="A2556" s="5">
        <v>2495</v>
      </c>
      <c r="B2556" s="1832">
        <f>'Acct Summary 7-8'!C12</f>
        <v>2291082</v>
      </c>
      <c r="C2556" s="2" t="s">
        <v>569</v>
      </c>
      <c r="D2556" s="2" t="str">
        <f t="shared" si="38"/>
        <v>Error?</v>
      </c>
    </row>
    <row r="2557" spans="1:4" x14ac:dyDescent="0.2">
      <c r="A2557" s="5">
        <v>2496</v>
      </c>
      <c r="B2557" s="1832">
        <f>'Acct Summary 7-8'!C13</f>
        <v>921624</v>
      </c>
      <c r="C2557" s="2" t="s">
        <v>569</v>
      </c>
      <c r="D2557" s="2" t="str">
        <f t="shared" si="38"/>
        <v>Error?</v>
      </c>
    </row>
    <row r="2558" spans="1:4" x14ac:dyDescent="0.2">
      <c r="A2558" s="5">
        <v>2497</v>
      </c>
      <c r="B2558" s="1832">
        <f>'Acct Summary 7-8'!C14</f>
        <v>25518</v>
      </c>
      <c r="C2558" s="2" t="s">
        <v>569</v>
      </c>
      <c r="D2558" s="2" t="str">
        <f t="shared" si="38"/>
        <v>Error?</v>
      </c>
    </row>
    <row r="2559" spans="1:4" x14ac:dyDescent="0.2">
      <c r="A2559" s="5">
        <v>2498</v>
      </c>
      <c r="B2559" s="1832">
        <f>'Acct Summary 7-8'!C15</f>
        <v>228756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3466980</v>
      </c>
      <c r="C2561" s="2" t="s">
        <v>569</v>
      </c>
      <c r="D2561" s="2" t="str">
        <f t="shared" si="39"/>
        <v>Error?</v>
      </c>
    </row>
    <row r="2562" spans="1:4" x14ac:dyDescent="0.2">
      <c r="A2562" s="5">
        <v>2501</v>
      </c>
      <c r="B2562" s="1832">
        <f>'Acct Summary 7-8'!C20</f>
        <v>517651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38700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350150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388850</v>
      </c>
      <c r="C2568" s="2" t="s">
        <v>569</v>
      </c>
      <c r="D2568" s="2" t="str">
        <f t="shared" si="39"/>
        <v>Error?</v>
      </c>
    </row>
    <row r="2569" spans="1:4" x14ac:dyDescent="0.2">
      <c r="A2569" s="5">
        <v>2508</v>
      </c>
      <c r="B2569" s="1832">
        <f>'Acct Summary 7-8'!D13</f>
        <v>334198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334198</v>
      </c>
      <c r="C2573" s="2" t="s">
        <v>569</v>
      </c>
      <c r="D2573" s="2" t="str">
        <f t="shared" si="39"/>
        <v>Error?</v>
      </c>
    </row>
    <row r="2574" spans="1:4" x14ac:dyDescent="0.2">
      <c r="A2574" s="5">
        <v>2513</v>
      </c>
      <c r="B2574" s="1832">
        <f>'Acct Summary 7-8'!D20</f>
        <v>54652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16511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163055</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179566</v>
      </c>
      <c r="C2595" s="2" t="s">
        <v>569</v>
      </c>
      <c r="D2595" s="2" t="str">
        <f t="shared" si="39"/>
        <v>Error?</v>
      </c>
    </row>
    <row r="2596" spans="1:4" x14ac:dyDescent="0.2">
      <c r="A2596" s="5">
        <v>2535</v>
      </c>
      <c r="B2596" s="1832">
        <f>'Acct Summary 7-8'!F13</f>
        <v>159583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13782</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173365</v>
      </c>
      <c r="C2600" s="2" t="s">
        <v>569</v>
      </c>
      <c r="D2600" s="2" t="str">
        <f t="shared" si="39"/>
        <v>Error?</v>
      </c>
    </row>
    <row r="2601" spans="1:4" x14ac:dyDescent="0.2">
      <c r="A2601" s="5">
        <v>2540</v>
      </c>
      <c r="B2601" s="1832">
        <f>'Acct Summary 7-8'!F20</f>
        <v>6201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125832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125832</v>
      </c>
      <c r="C2606" s="2" t="s">
        <v>569</v>
      </c>
      <c r="D2606" s="2" t="str">
        <f t="shared" si="39"/>
        <v>Error?</v>
      </c>
    </row>
    <row r="2607" spans="1:4" x14ac:dyDescent="0.2">
      <c r="A2607" s="5">
        <v>2546</v>
      </c>
      <c r="B2607" s="1832">
        <f>'Acct Summary 7-8'!G12</f>
        <v>54455</v>
      </c>
      <c r="C2607" s="2" t="s">
        <v>569</v>
      </c>
      <c r="D2607" s="2" t="str">
        <f t="shared" si="39"/>
        <v>Error?</v>
      </c>
    </row>
    <row r="2608" spans="1:4" x14ac:dyDescent="0.2">
      <c r="A2608" s="5">
        <v>2547</v>
      </c>
      <c r="B2608" s="1832">
        <f>'Acct Summary 7-8'!G13</f>
        <v>66192</v>
      </c>
      <c r="C2608" s="2" t="s">
        <v>569</v>
      </c>
      <c r="D2608" s="2" t="str">
        <f t="shared" si="39"/>
        <v>Error?</v>
      </c>
    </row>
    <row r="2609" spans="1:4" x14ac:dyDescent="0.2">
      <c r="A2609" s="5">
        <v>2548</v>
      </c>
      <c r="B2609" s="1832">
        <f>'Acct Summary 7-8'!G14</f>
        <v>1896</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122543</v>
      </c>
      <c r="C2612" s="2" t="s">
        <v>569</v>
      </c>
      <c r="D2612" s="2" t="str">
        <f t="shared" si="39"/>
        <v>Error?</v>
      </c>
    </row>
    <row r="2613" spans="1:4" x14ac:dyDescent="0.2">
      <c r="A2613" s="5">
        <v>2552</v>
      </c>
      <c r="B2613" s="1832">
        <f>'Acct Summary 7-8'!G20</f>
        <v>3289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67460</v>
      </c>
      <c r="C2630" s="2" t="s">
        <v>569</v>
      </c>
      <c r="D2630" s="2" t="str">
        <f t="shared" si="40"/>
        <v>Error?</v>
      </c>
    </row>
    <row r="2631" spans="1:4" x14ac:dyDescent="0.2">
      <c r="A2631" s="5">
        <v>2570</v>
      </c>
      <c r="B2631" s="1832">
        <f>'Acct Summary 7-8'!E6</f>
        <v>21600</v>
      </c>
      <c r="C2631" s="2" t="s">
        <v>569</v>
      </c>
      <c r="D2631" s="2" t="str">
        <f t="shared" si="40"/>
        <v>Error?</v>
      </c>
    </row>
    <row r="2632" spans="1:4" x14ac:dyDescent="0.2">
      <c r="A2632" s="5">
        <v>2571</v>
      </c>
      <c r="B2632" s="1832">
        <f>'Acct Summary 7-8'!E8</f>
        <v>89060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70025</v>
      </c>
      <c r="C2634" s="2" t="s">
        <v>569</v>
      </c>
      <c r="D2634" s="2" t="str">
        <f t="shared" si="40"/>
        <v>Error?</v>
      </c>
    </row>
    <row r="2635" spans="1:4" x14ac:dyDescent="0.2">
      <c r="A2635" s="5">
        <v>2574</v>
      </c>
      <c r="B2635" s="1832">
        <f>'Acct Summary 7-8'!E17</f>
        <v>70025</v>
      </c>
      <c r="C2635" s="2" t="s">
        <v>569</v>
      </c>
      <c r="D2635" s="2" t="str">
        <f t="shared" si="40"/>
        <v>Error?</v>
      </c>
    </row>
    <row r="2636" spans="1:4" x14ac:dyDescent="0.2">
      <c r="A2636" s="5">
        <v>2575</v>
      </c>
      <c r="B2636" s="1832">
        <f>'Acct Summary 7-8'!E20</f>
        <v>19035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45216</v>
      </c>
      <c r="C2789" s="2" t="s">
        <v>569</v>
      </c>
      <c r="D2789" s="2" t="str">
        <f t="shared" si="42"/>
        <v>Error?</v>
      </c>
    </row>
    <row r="2790" spans="1:4" x14ac:dyDescent="0.2">
      <c r="A2790" s="5">
        <v>2729</v>
      </c>
      <c r="B2790" s="1832">
        <f>'Expenditures 15-22'!E102</f>
        <v>45216</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13782</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13782</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13782</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11325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38044</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11325</v>
      </c>
      <c r="D2912" s="2" t="str">
        <f t="shared" si="44"/>
        <v>Error?</v>
      </c>
    </row>
    <row r="2913" spans="1:4" x14ac:dyDescent="0.2">
      <c r="A2913" s="5">
        <v>2852</v>
      </c>
      <c r="B2913" s="1832">
        <f>'Assets-Liab 5-6'!I41</f>
        <v>11325</v>
      </c>
      <c r="C2913" s="2" t="s">
        <v>569</v>
      </c>
      <c r="D2913" s="2" t="str">
        <f t="shared" si="44"/>
        <v>Error?</v>
      </c>
    </row>
    <row r="2914" spans="1:4" x14ac:dyDescent="0.2">
      <c r="A2914" s="5">
        <v>2853</v>
      </c>
      <c r="B2914" s="1832">
        <f>'Assets-Liab 5-6'!L33</f>
        <v>38044</v>
      </c>
      <c r="D2914" s="2" t="str">
        <f t="shared" si="44"/>
        <v>Error?</v>
      </c>
    </row>
    <row r="2915" spans="1:4" x14ac:dyDescent="0.2">
      <c r="A2915" s="10">
        <v>2854</v>
      </c>
      <c r="B2915" s="1832"/>
      <c r="D2915" s="2" t="str">
        <f t="shared" si="44"/>
        <v>OK</v>
      </c>
    </row>
    <row r="2916" spans="1:4" x14ac:dyDescent="0.2">
      <c r="A2916" s="5">
        <v>2855</v>
      </c>
      <c r="B2916" s="1832">
        <f>'Assets-Liab 5-6'!L34</f>
        <v>38044</v>
      </c>
      <c r="C2916" s="2" t="s">
        <v>569</v>
      </c>
      <c r="D2916" s="2" t="str">
        <f t="shared" si="44"/>
        <v>Error?</v>
      </c>
    </row>
    <row r="2917" spans="1:4" x14ac:dyDescent="0.2">
      <c r="A2917" s="5">
        <v>2856</v>
      </c>
      <c r="B2917" s="1832">
        <f>'Assets-Liab 5-6'!L41</f>
        <v>38044</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45216</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1669</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46885</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13782</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13782</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67227</v>
      </c>
      <c r="D3055" s="2" t="str">
        <f t="shared" si="46"/>
        <v>Error?</v>
      </c>
    </row>
    <row r="3056" spans="1:4" x14ac:dyDescent="0.2">
      <c r="A3056" s="5">
        <v>2995</v>
      </c>
      <c r="B3056" s="1832">
        <f>'Expenditures 15-22'!D10</f>
        <v>8121</v>
      </c>
      <c r="D3056" s="2" t="str">
        <f t="shared" si="46"/>
        <v>Error?</v>
      </c>
    </row>
    <row r="3057" spans="1:4" x14ac:dyDescent="0.2">
      <c r="A3057" s="5">
        <v>2996</v>
      </c>
      <c r="B3057" s="1832">
        <f>'Expenditures 15-22'!E10</f>
        <v>17138</v>
      </c>
      <c r="D3057" s="2" t="str">
        <f t="shared" si="46"/>
        <v>Error?</v>
      </c>
    </row>
    <row r="3058" spans="1:4" x14ac:dyDescent="0.2">
      <c r="A3058" s="5">
        <v>2997</v>
      </c>
      <c r="B3058" s="1832">
        <f>'Expenditures 15-22'!F10</f>
        <v>17755</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110241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2941</v>
      </c>
      <c r="D3064" s="2" t="str">
        <f t="shared" si="46"/>
        <v>Error?</v>
      </c>
    </row>
    <row r="3065" spans="1:4" x14ac:dyDescent="0.2">
      <c r="A3065" s="5">
        <v>3004</v>
      </c>
      <c r="B3065" s="1832">
        <f>'Expenditures 15-22'!K219</f>
        <v>2941</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3856</v>
      </c>
      <c r="C3225" s="2" t="s">
        <v>569</v>
      </c>
      <c r="D3225" s="2" t="str">
        <f t="shared" si="49"/>
        <v>Error?</v>
      </c>
    </row>
    <row r="3226" spans="1:4" x14ac:dyDescent="0.2">
      <c r="A3226" s="5">
        <v>3165</v>
      </c>
      <c r="B3226" s="1832">
        <f>'Acct Summary 7-8'!I8</f>
        <v>3856</v>
      </c>
      <c r="C3226" s="2" t="s">
        <v>569</v>
      </c>
      <c r="D3226" s="2" t="str">
        <f t="shared" si="49"/>
        <v>Error?</v>
      </c>
    </row>
    <row r="3227" spans="1:4" x14ac:dyDescent="0.2">
      <c r="A3227" s="5">
        <v>3166</v>
      </c>
      <c r="B3227" s="1832">
        <f>'Acct Summary 7-8'!I20</f>
        <v>3856</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517651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54652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6201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3289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19035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3856</v>
      </c>
      <c r="C3320" s="2" t="s">
        <v>569</v>
      </c>
      <c r="D3320" s="2" t="str">
        <f t="shared" si="50"/>
        <v>Error?</v>
      </c>
    </row>
    <row r="3321" spans="1:4" x14ac:dyDescent="0.2">
      <c r="A3321" s="5">
        <v>3260</v>
      </c>
      <c r="B3321" s="1832">
        <f>'Acct Summary 7-8'!I79</f>
        <v>7469</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11325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273032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22292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5329</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7170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307823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30110</v>
      </c>
      <c r="D3387" s="2" t="str">
        <f t="shared" si="51"/>
        <v>Error?</v>
      </c>
    </row>
    <row r="3388" spans="1:4" x14ac:dyDescent="0.2">
      <c r="A3388" s="5">
        <v>3327</v>
      </c>
      <c r="B3388" s="1832">
        <f>'Expenditures 15-22'!D217</f>
        <v>11777</v>
      </c>
      <c r="D3388" s="2" t="str">
        <f t="shared" si="51"/>
        <v>Error?</v>
      </c>
    </row>
    <row r="3389" spans="1:4" x14ac:dyDescent="0.2">
      <c r="A3389" s="5">
        <v>3328</v>
      </c>
      <c r="B3389" s="1832">
        <f>'Expenditures 15-22'!D228</f>
        <v>3</v>
      </c>
      <c r="D3389" s="2" t="str">
        <f t="shared" si="51"/>
        <v>Error?</v>
      </c>
    </row>
    <row r="3390" spans="1:4" x14ac:dyDescent="0.2">
      <c r="A3390" s="5">
        <v>3329</v>
      </c>
      <c r="B3390" s="1832">
        <f>'Expenditures 15-22'!K215</f>
        <v>30110</v>
      </c>
      <c r="C3390" s="2" t="s">
        <v>569</v>
      </c>
      <c r="D3390" s="2" t="str">
        <f t="shared" si="51"/>
        <v>Error?</v>
      </c>
    </row>
    <row r="3391" spans="1:4" x14ac:dyDescent="0.2">
      <c r="A3391" s="5">
        <v>3330</v>
      </c>
      <c r="B3391" s="1832">
        <f>'Expenditures 15-22'!K217</f>
        <v>11777</v>
      </c>
      <c r="C3391" s="2" t="s">
        <v>569</v>
      </c>
      <c r="D3391" s="2" t="str">
        <f t="shared" ref="D3391:D3454" si="52">IF(ISBLANK(B3391),"OK",IF(A3391-B3391=0,"OK","Error?"))</f>
        <v>Error?</v>
      </c>
    </row>
    <row r="3392" spans="1:4" x14ac:dyDescent="0.2">
      <c r="A3392" s="5">
        <v>3331</v>
      </c>
      <c r="B3392" s="1832">
        <f>'Expenditures 15-22'!K228</f>
        <v>3</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1362798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120835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16294</v>
      </c>
      <c r="D3417" s="2" t="str">
        <f t="shared" si="52"/>
        <v>Error?</v>
      </c>
    </row>
    <row r="3418" spans="1:4" x14ac:dyDescent="0.2">
      <c r="A3418" s="10">
        <v>3357</v>
      </c>
      <c r="B3418" s="1832"/>
      <c r="D3418" s="2" t="str">
        <f t="shared" si="52"/>
        <v>OK</v>
      </c>
    </row>
    <row r="3419" spans="1:4" x14ac:dyDescent="0.2">
      <c r="A3419" s="5">
        <v>3358</v>
      </c>
      <c r="B3419" s="1832">
        <f>'Assets-Liab 5-6'!F4</f>
        <v>41807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187244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11325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38044</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62555</v>
      </c>
      <c r="C3446" s="2" t="s">
        <v>569</v>
      </c>
      <c r="D3446" s="2" t="str">
        <f t="shared" si="52"/>
        <v>Error?</v>
      </c>
    </row>
    <row r="3447" spans="1:4" x14ac:dyDescent="0.2">
      <c r="A3447" s="5">
        <v>3386</v>
      </c>
      <c r="B3447" s="1832">
        <f>'Tax Sched 23'!D16</f>
        <v>62555</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61000</v>
      </c>
      <c r="C3449" s="2" t="s">
        <v>569</v>
      </c>
      <c r="D3449" s="2" t="str">
        <f t="shared" si="52"/>
        <v>Error?</v>
      </c>
    </row>
    <row r="3450" spans="1:4" x14ac:dyDescent="0.2">
      <c r="A3450" s="5">
        <v>3389</v>
      </c>
      <c r="B3450" s="1832">
        <f>'Tax Sched 23'!E16</f>
        <v>61000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9710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9710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9710</v>
      </c>
      <c r="D3567" s="2" t="str">
        <f t="shared" si="54"/>
        <v>Error?</v>
      </c>
    </row>
    <row r="3568" spans="1:4" x14ac:dyDescent="0.2">
      <c r="A3568" s="5">
        <v>3507</v>
      </c>
      <c r="B3568" s="1832">
        <f>'Assets-Liab 5-6'!K41</f>
        <v>9710</v>
      </c>
      <c r="C3568" s="2" t="s">
        <v>569</v>
      </c>
      <c r="D3568" s="2" t="str">
        <f t="shared" si="54"/>
        <v>Error?</v>
      </c>
    </row>
    <row r="3569" spans="1:4" x14ac:dyDescent="0.2">
      <c r="A3569" s="5">
        <v>3508</v>
      </c>
      <c r="B3569" s="1832">
        <f>'Acct Summary 7-8'!K4</f>
        <v>4074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4074</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4074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4074</v>
      </c>
      <c r="C3588" s="2" t="s">
        <v>569</v>
      </c>
      <c r="D3588" s="2" t="str">
        <f t="shared" si="55"/>
        <v>Error?</v>
      </c>
    </row>
    <row r="3589" spans="1:4" x14ac:dyDescent="0.2">
      <c r="A3589" s="5">
        <v>3528</v>
      </c>
      <c r="B3589" s="1832">
        <f>'Acct Summary 7-8'!K79</f>
        <v>5636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9710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4074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4074</v>
      </c>
      <c r="C3725" s="2" t="s">
        <v>569</v>
      </c>
      <c r="D3725" s="2" t="str">
        <f t="shared" si="57"/>
        <v>Error?</v>
      </c>
    </row>
    <row r="3726" spans="1:4" x14ac:dyDescent="0.2">
      <c r="A3726" s="5">
        <v>3665</v>
      </c>
      <c r="B3726" s="1832">
        <f>'Tax Sched 23'!D13</f>
        <v>4074</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4502</v>
      </c>
      <c r="C3728" s="2" t="s">
        <v>569</v>
      </c>
      <c r="D3728" s="2" t="str">
        <f t="shared" si="57"/>
        <v>Error?</v>
      </c>
    </row>
    <row r="3729" spans="1:4" x14ac:dyDescent="0.2">
      <c r="A3729" s="5">
        <v>3668</v>
      </c>
      <c r="B3729" s="1832">
        <f>'Tax Sched 23'!E13</f>
        <v>4502</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1643609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5628240</v>
      </c>
      <c r="C4122" s="2" t="s">
        <v>569</v>
      </c>
      <c r="D4122" s="2" t="str">
        <f t="shared" si="63"/>
        <v>Error?</v>
      </c>
    </row>
    <row r="4123" spans="1:4" x14ac:dyDescent="0.2">
      <c r="A4123" s="5">
        <v>4062</v>
      </c>
      <c r="B4123" s="1832">
        <f>'Acct Summary 7-8'!D10</f>
        <v>388850</v>
      </c>
      <c r="C4123" s="2" t="s">
        <v>569</v>
      </c>
      <c r="D4123" s="2" t="str">
        <f t="shared" si="63"/>
        <v>Error?</v>
      </c>
    </row>
    <row r="4124" spans="1:4" x14ac:dyDescent="0.2">
      <c r="A4124" s="5">
        <v>4063</v>
      </c>
      <c r="B4124" s="1832">
        <f>'Acct Summary 7-8'!E10</f>
        <v>89060</v>
      </c>
      <c r="C4124" s="2" t="s">
        <v>569</v>
      </c>
      <c r="D4124" s="2" t="str">
        <f t="shared" si="63"/>
        <v>Error?</v>
      </c>
    </row>
    <row r="4125" spans="1:4" x14ac:dyDescent="0.2">
      <c r="A4125" s="5">
        <v>4064</v>
      </c>
      <c r="B4125" s="1832">
        <f>'Acct Summary 7-8'!F10</f>
        <v>179566</v>
      </c>
      <c r="C4125" s="2" t="s">
        <v>569</v>
      </c>
      <c r="D4125" s="2" t="str">
        <f t="shared" si="63"/>
        <v>Error?</v>
      </c>
    </row>
    <row r="4126" spans="1:4" x14ac:dyDescent="0.2">
      <c r="A4126" s="5">
        <v>4065</v>
      </c>
      <c r="B4126" s="1832">
        <f>'Acct Summary 7-8'!G10</f>
        <v>125832</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3856</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4074</v>
      </c>
      <c r="C4130" s="2" t="s">
        <v>569</v>
      </c>
      <c r="D4130" s="2" t="str">
        <f t="shared" si="63"/>
        <v>Error?</v>
      </c>
    </row>
    <row r="4131" spans="1:4" x14ac:dyDescent="0.2">
      <c r="A4131" s="5">
        <v>4070</v>
      </c>
      <c r="B4131" s="1832">
        <f>'Acct Summary 7-8'!C18</f>
        <v>1643609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5110589</v>
      </c>
      <c r="C4136" s="2" t="s">
        <v>569</v>
      </c>
      <c r="D4136" s="2" t="str">
        <f t="shared" si="63"/>
        <v>Error?</v>
      </c>
    </row>
    <row r="4137" spans="1:4" x14ac:dyDescent="0.2">
      <c r="A4137" s="5">
        <v>4076</v>
      </c>
      <c r="B4137" s="1832">
        <f>'Acct Summary 7-8'!D19</f>
        <v>334198</v>
      </c>
      <c r="C4137" s="2" t="s">
        <v>569</v>
      </c>
      <c r="D4137" s="2" t="str">
        <f t="shared" si="63"/>
        <v>Error?</v>
      </c>
    </row>
    <row r="4138" spans="1:4" x14ac:dyDescent="0.2">
      <c r="A4138" s="5">
        <v>4077</v>
      </c>
      <c r="B4138" s="1832">
        <f>'Acct Summary 7-8'!E19</f>
        <v>70025</v>
      </c>
      <c r="C4138" s="2" t="s">
        <v>569</v>
      </c>
      <c r="D4138" s="2" t="str">
        <f t="shared" si="63"/>
        <v>Error?</v>
      </c>
    </row>
    <row r="4139" spans="1:4" x14ac:dyDescent="0.2">
      <c r="A4139" s="5">
        <v>4078</v>
      </c>
      <c r="B4139" s="1832">
        <f>'Acct Summary 7-8'!F19</f>
        <v>173365</v>
      </c>
      <c r="C4139" s="2" t="s">
        <v>569</v>
      </c>
      <c r="D4139" s="2" t="str">
        <f t="shared" si="63"/>
        <v>Error?</v>
      </c>
    </row>
    <row r="4140" spans="1:4" x14ac:dyDescent="0.2">
      <c r="A4140" s="5">
        <v>4079</v>
      </c>
      <c r="B4140" s="1832">
        <f>'Acct Summary 7-8'!G19</f>
        <v>122543</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130000</v>
      </c>
      <c r="C4171" s="2" t="s">
        <v>569</v>
      </c>
      <c r="D4171" s="2" t="str">
        <f t="shared" si="64"/>
        <v>Error?</v>
      </c>
    </row>
    <row r="4172" spans="1:4" x14ac:dyDescent="0.2">
      <c r="A4172" s="5">
        <v>4111</v>
      </c>
      <c r="B4172" s="1832">
        <f>'Short-Term Long-Term Debt 24'!J49</f>
        <v>113706</v>
      </c>
      <c r="C4172" s="2" t="s">
        <v>569</v>
      </c>
      <c r="D4172" s="2" t="str">
        <f t="shared" si="64"/>
        <v>Error?</v>
      </c>
    </row>
    <row r="4173" spans="1:4" x14ac:dyDescent="0.2">
      <c r="A4173" s="5">
        <v>4112</v>
      </c>
      <c r="B4173" s="1832">
        <f>'Short-Term Long-Term Debt 24'!H49</f>
        <v>65000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2400</v>
      </c>
      <c r="C4265" s="2" t="s">
        <v>569</v>
      </c>
      <c r="D4265" s="2" t="str">
        <f t="shared" si="65"/>
        <v>Error?</v>
      </c>
      <c r="E4265" s="125"/>
    </row>
    <row r="4266" spans="1:5" x14ac:dyDescent="0.2">
      <c r="A4266" s="12">
        <v>4205</v>
      </c>
      <c r="B4266" s="1832">
        <f>('FP Info 3'!F10)*100000</f>
        <v>475</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3075</v>
      </c>
      <c r="C4268" s="2" t="s">
        <v>569</v>
      </c>
      <c r="D4268" s="2" t="str">
        <f t="shared" si="65"/>
        <v>Error?</v>
      </c>
    </row>
    <row r="4269" spans="1:5" x14ac:dyDescent="0.2">
      <c r="A4269" s="12">
        <v>4208</v>
      </c>
      <c r="B4269" s="1832">
        <f>'FP Info 3'!J16</f>
        <v>1536765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9550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65520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14830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18405</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9003641</v>
      </c>
      <c r="D4995" s="2" t="str">
        <f t="shared" si="77"/>
        <v>Error?</v>
      </c>
    </row>
    <row r="4996" spans="1:4" x14ac:dyDescent="0.2">
      <c r="A4996" s="12">
        <v>4935</v>
      </c>
      <c r="B4996" s="1832">
        <f>'FP Info 3'!H31</f>
        <v>1242502.4580000001</v>
      </c>
      <c r="D4996" s="2" t="str">
        <f t="shared" si="77"/>
        <v>Error?</v>
      </c>
    </row>
    <row r="4997" spans="1:4" x14ac:dyDescent="0.2">
      <c r="A4997" s="12">
        <v>4936</v>
      </c>
      <c r="B4997" s="1832">
        <f>'FP Info 3'!H37</f>
        <v>130000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4074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200774</v>
      </c>
      <c r="D5061" s="2" t="str">
        <f t="shared" si="78"/>
        <v>Error?</v>
      </c>
    </row>
    <row r="5062" spans="1:4" x14ac:dyDescent="0.2">
      <c r="A5062" s="10">
        <v>5001</v>
      </c>
      <c r="B5062" s="1832"/>
      <c r="D5062" s="2" t="str">
        <f t="shared" si="78"/>
        <v>OK</v>
      </c>
    </row>
    <row r="5063" spans="1:4" x14ac:dyDescent="0.2">
      <c r="A5063" s="5">
        <v>5002</v>
      </c>
      <c r="B5063" s="1832">
        <f>'Revenues 9-14'!C7</f>
        <v>3259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208107</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88475</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88475</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8768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8768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281</v>
      </c>
      <c r="D5094" s="2" t="str">
        <f t="shared" si="78"/>
        <v>Error?</v>
      </c>
    </row>
    <row r="5095" spans="1:4" x14ac:dyDescent="0.2">
      <c r="A5095" s="5">
        <v>5034</v>
      </c>
      <c r="B5095" s="1832">
        <f>'Revenues 9-14'!C74</f>
        <v>506</v>
      </c>
      <c r="D5095" s="2" t="str">
        <f t="shared" si="78"/>
        <v>Error?</v>
      </c>
    </row>
    <row r="5096" spans="1:4" x14ac:dyDescent="0.2">
      <c r="A5096" s="5">
        <v>5035</v>
      </c>
      <c r="B5096" s="1832">
        <f>'Revenues 9-14'!C75</f>
        <v>787</v>
      </c>
      <c r="C5096" s="2" t="s">
        <v>569</v>
      </c>
      <c r="D5096" s="2" t="str">
        <f t="shared" si="78"/>
        <v>Error?</v>
      </c>
    </row>
    <row r="5097" spans="1:4" x14ac:dyDescent="0.2">
      <c r="A5097" s="5">
        <v>5036</v>
      </c>
      <c r="B5097" s="1832">
        <f>'Revenues 9-14'!C77</f>
        <v>7578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2892</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10470</v>
      </c>
      <c r="C5102" s="2" t="s">
        <v>569</v>
      </c>
      <c r="D5102" s="2" t="str">
        <f t="shared" si="78"/>
        <v>Error?</v>
      </c>
    </row>
    <row r="5103" spans="1:4" x14ac:dyDescent="0.2">
      <c r="A5103" s="5">
        <v>5042</v>
      </c>
      <c r="B5103" s="1832">
        <f>'Revenues 9-14'!C84</f>
        <v>12555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12555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41000</v>
      </c>
      <c r="D5114" s="2" t="str">
        <f t="shared" si="78"/>
        <v>Error?</v>
      </c>
    </row>
    <row r="5115" spans="1:4" x14ac:dyDescent="0.2">
      <c r="A5115" s="5">
        <v>5054</v>
      </c>
      <c r="B5115" s="1832">
        <f>'Revenues 9-14'!C98</f>
        <v>12811</v>
      </c>
      <c r="D5115" s="2" t="str">
        <f t="shared" si="78"/>
        <v>Error?</v>
      </c>
    </row>
    <row r="5116" spans="1:4" x14ac:dyDescent="0.2">
      <c r="A5116" s="5">
        <v>5055</v>
      </c>
      <c r="B5116" s="1832">
        <f>'Revenues 9-14'!C99</f>
        <v>3259</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35208</v>
      </c>
      <c r="D5119" s="2" t="str">
        <f t="shared" ref="D5119:D5182" si="79">IF(ISBLANK(B5119),"OK",IF(A5119-B5119=0,"OK","Error?"))</f>
        <v>Error?</v>
      </c>
    </row>
    <row r="5120" spans="1:4" x14ac:dyDescent="0.2">
      <c r="A5120" s="5">
        <v>5059</v>
      </c>
      <c r="B5120" s="1832">
        <f>'Revenues 9-14'!C108</f>
        <v>92278</v>
      </c>
      <c r="C5120" s="2" t="s">
        <v>569</v>
      </c>
      <c r="D5120" s="2" t="str">
        <f t="shared" si="79"/>
        <v>Error?</v>
      </c>
    </row>
    <row r="5121" spans="1:4" x14ac:dyDescent="0.2">
      <c r="A5121" s="5">
        <v>5060</v>
      </c>
      <c r="B5121" s="1832">
        <f>'Revenues 9-14'!C109</f>
        <v>421440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2829903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2829903</v>
      </c>
      <c r="C5132" s="2" t="s">
        <v>569</v>
      </c>
      <c r="D5132" s="2" t="str">
        <f t="shared" si="79"/>
        <v>Error?</v>
      </c>
    </row>
    <row r="5133" spans="1:4" x14ac:dyDescent="0.2">
      <c r="A5133" s="5">
        <v>5072</v>
      </c>
      <c r="B5133" s="1832">
        <f>'Revenues 9-14'!C125</f>
        <v>33317</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33317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4284</v>
      </c>
      <c r="D5167" s="2" t="str">
        <f t="shared" si="79"/>
        <v>Error?</v>
      </c>
    </row>
    <row r="5168" spans="1:4" x14ac:dyDescent="0.2">
      <c r="A5168" s="5">
        <v>5107</v>
      </c>
      <c r="B5168" s="1832">
        <f>'Revenues 9-14'!C148</f>
        <v>4120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148450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190171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3020074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134971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84449</v>
      </c>
      <c r="D5241" s="2" t="str">
        <f t="shared" si="80"/>
        <v>Error?</v>
      </c>
    </row>
    <row r="5242" spans="1:4" x14ac:dyDescent="0.2">
      <c r="A5242" s="5">
        <v>5181</v>
      </c>
      <c r="B5242" s="1832">
        <f>'Revenues 9-14'!C194</f>
        <v>130419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349839</v>
      </c>
      <c r="C5246" s="2" t="s">
        <v>569</v>
      </c>
      <c r="D5246" s="2" t="str">
        <f t="shared" si="80"/>
        <v>Error?</v>
      </c>
    </row>
    <row r="5247" spans="1:4" x14ac:dyDescent="0.2">
      <c r="A5247" s="5">
        <v>5186</v>
      </c>
      <c r="B5247" s="1832">
        <f>'Revenues 9-14'!C200</f>
        <v>93189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93189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1334</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1334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543117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543117</v>
      </c>
      <c r="C5326" s="2" t="s">
        <v>569</v>
      </c>
      <c r="D5326" s="2" t="str">
        <f t="shared" si="82"/>
        <v>Error?</v>
      </c>
    </row>
    <row r="5327" spans="1:5" x14ac:dyDescent="0.2">
      <c r="A5327" s="5">
        <v>5266</v>
      </c>
      <c r="B5327" s="1832">
        <f>'Revenues 9-14'!C268</f>
        <v>3984631</v>
      </c>
      <c r="C5327" s="2" t="s">
        <v>569</v>
      </c>
      <c r="D5327" s="2" t="str">
        <f t="shared" si="82"/>
        <v>Error?</v>
      </c>
    </row>
    <row r="5328" spans="1:5" x14ac:dyDescent="0.2">
      <c r="A5328" s="5">
        <v>5267</v>
      </c>
      <c r="B5328" s="1832">
        <f>'Revenues 9-14'!D5</f>
        <v>38700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38700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38700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300150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300150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350150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388850</v>
      </c>
      <c r="C5508" s="2" t="s">
        <v>569</v>
      </c>
      <c r="D5508" s="2" t="str">
        <f t="shared" si="85"/>
        <v>Error?</v>
      </c>
    </row>
    <row r="5509" spans="1:4" x14ac:dyDescent="0.2">
      <c r="A5509" s="5">
        <v>5448</v>
      </c>
      <c r="B5509" s="1832">
        <f>'Revenues 9-14'!E5</f>
        <v>67460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67460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67460</v>
      </c>
      <c r="C5527" s="2" t="s">
        <v>569</v>
      </c>
      <c r="D5527" s="2" t="str">
        <f t="shared" si="85"/>
        <v>Error?</v>
      </c>
    </row>
    <row r="5528" spans="1:4" x14ac:dyDescent="0.2">
      <c r="A5528" s="5">
        <v>5467</v>
      </c>
      <c r="B5528" s="1832">
        <f>'Revenues 9-14'!E117</f>
        <v>21600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21600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21600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89060</v>
      </c>
      <c r="C5552" s="2" t="s">
        <v>569</v>
      </c>
      <c r="D5552" s="2" t="str">
        <f t="shared" si="85"/>
        <v>Error?</v>
      </c>
    </row>
    <row r="5553" spans="1:4" x14ac:dyDescent="0.2">
      <c r="A5553" s="5">
        <v>5492</v>
      </c>
      <c r="B5553" s="1832">
        <f>'Revenues 9-14'!F5</f>
        <v>16511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16511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16511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40000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40000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87786</v>
      </c>
      <c r="D5615" s="2" t="str">
        <f t="shared" si="86"/>
        <v>Error?</v>
      </c>
    </row>
    <row r="5616" spans="1:4" x14ac:dyDescent="0.2">
      <c r="A5616" s="10">
        <v>5555</v>
      </c>
      <c r="B5616" s="1832"/>
      <c r="D5616" s="2" t="str">
        <f t="shared" si="86"/>
        <v>OK</v>
      </c>
    </row>
    <row r="5617" spans="1:5" x14ac:dyDescent="0.2">
      <c r="A5617" s="5">
        <v>5556</v>
      </c>
      <c r="B5617" s="1832">
        <f>'Revenues 9-14'!F153</f>
        <v>25719</v>
      </c>
      <c r="D5617" s="2" t="str">
        <f t="shared" si="86"/>
        <v>Error?</v>
      </c>
    </row>
    <row r="5618" spans="1:5" x14ac:dyDescent="0.2">
      <c r="A5618" s="5">
        <v>5557</v>
      </c>
      <c r="B5618" s="1832">
        <f>'Revenues 9-14'!F155</f>
        <v>123055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123055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163055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179566</v>
      </c>
      <c r="C5720" s="2" t="s">
        <v>569</v>
      </c>
      <c r="D5720" s="2" t="str">
        <f t="shared" si="88"/>
        <v>Error?</v>
      </c>
    </row>
    <row r="5721" spans="1:4" x14ac:dyDescent="0.2">
      <c r="A5721" s="5">
        <v>5660</v>
      </c>
      <c r="B5721" s="1832">
        <f>'Revenues 9-14'!G5</f>
        <v>62555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62555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125110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722</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722</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125832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3856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3856</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3856</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4074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4074</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4074</v>
      </c>
      <c r="C6023" s="2" t="s">
        <v>569</v>
      </c>
      <c r="D6023" s="2" t="str">
        <f t="shared" si="93"/>
        <v>Error?</v>
      </c>
    </row>
    <row r="6024" spans="1:5" x14ac:dyDescent="0.2">
      <c r="A6024" s="5">
        <v>5963</v>
      </c>
      <c r="B6024" s="1832">
        <f>'Revenues 9-14'!G109</f>
        <v>125832</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3856</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4074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22863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342.99700000000001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123923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65616</v>
      </c>
      <c r="D6214" s="2" t="str">
        <f t="shared" si="96"/>
        <v>Error?</v>
      </c>
      <c r="E6214" s="2" t="s">
        <v>189</v>
      </c>
    </row>
    <row r="6215" spans="1:5" x14ac:dyDescent="0.2">
      <c r="A6215">
        <v>6154</v>
      </c>
      <c r="B6215" s="1832">
        <f>'Assets-Liab 5-6'!J39</f>
        <v>58307</v>
      </c>
      <c r="D6215" s="2" t="str">
        <f t="shared" si="96"/>
        <v>Error?</v>
      </c>
      <c r="E6215" s="2" t="s">
        <v>189</v>
      </c>
    </row>
    <row r="6216" spans="1:5" x14ac:dyDescent="0.2">
      <c r="A6216">
        <v>6155</v>
      </c>
      <c r="B6216" s="1832">
        <f>'Assets-Liab 5-6'!J41</f>
        <v>123923</v>
      </c>
      <c r="D6216" s="2" t="str">
        <f t="shared" si="96"/>
        <v>Error?</v>
      </c>
      <c r="E6216" s="2" t="s">
        <v>189</v>
      </c>
    </row>
    <row r="6217" spans="1:5" x14ac:dyDescent="0.2">
      <c r="A6217">
        <v>6156</v>
      </c>
      <c r="B6217" s="1832">
        <f>'Assets-Liab 5-6'!J4</f>
        <v>123923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115433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115433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115433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32465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32465</v>
      </c>
      <c r="D6229" s="2" t="str">
        <f t="shared" si="96"/>
        <v>Error?</v>
      </c>
      <c r="E6229" s="2" t="s">
        <v>189</v>
      </c>
    </row>
    <row r="6230" spans="1:5" x14ac:dyDescent="0.2">
      <c r="A6230">
        <v>6169</v>
      </c>
      <c r="B6230" s="1832">
        <f>'Acct Summary 7-8'!J20</f>
        <v>82968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82968</v>
      </c>
      <c r="D6263" s="2" t="str">
        <f t="shared" si="96"/>
        <v>Error?</v>
      </c>
      <c r="E6263" s="2" t="s">
        <v>189</v>
      </c>
    </row>
    <row r="6264" spans="1:5" x14ac:dyDescent="0.2">
      <c r="A6264">
        <v>6203</v>
      </c>
      <c r="B6264" s="1832">
        <f>'Acct Summary 7-8'!J79</f>
        <v>40955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123923</v>
      </c>
      <c r="D6266" s="2" t="str">
        <f t="shared" si="96"/>
        <v>Error?</v>
      </c>
      <c r="E6266" s="2" t="s">
        <v>189</v>
      </c>
    </row>
    <row r="6267" spans="1:5" x14ac:dyDescent="0.2">
      <c r="A6267">
        <v>6206</v>
      </c>
      <c r="B6267" s="1832">
        <f>'Acct Summary 7-8'!C82</f>
        <v>517651</v>
      </c>
      <c r="D6267" s="2" t="str">
        <f t="shared" si="96"/>
        <v>Error?</v>
      </c>
      <c r="E6267" s="2" t="s">
        <v>189</v>
      </c>
    </row>
    <row r="6268" spans="1:5" x14ac:dyDescent="0.2">
      <c r="A6268">
        <v>6207</v>
      </c>
      <c r="B6268" s="1832">
        <f>'Acct Summary 7-8'!D82</f>
        <v>54652</v>
      </c>
      <c r="D6268" s="2" t="str">
        <f t="shared" si="96"/>
        <v>Error?</v>
      </c>
      <c r="E6268" s="2" t="s">
        <v>189</v>
      </c>
    </row>
    <row r="6269" spans="1:5" x14ac:dyDescent="0.2">
      <c r="A6269">
        <v>6208</v>
      </c>
      <c r="B6269" s="1832">
        <f>'Acct Summary 7-8'!E82</f>
        <v>19035</v>
      </c>
      <c r="D6269" s="2" t="str">
        <f t="shared" si="96"/>
        <v>Error?</v>
      </c>
      <c r="E6269" s="2" t="s">
        <v>189</v>
      </c>
    </row>
    <row r="6270" spans="1:5" x14ac:dyDescent="0.2">
      <c r="A6270">
        <v>6209</v>
      </c>
      <c r="B6270" s="1832">
        <f>'Acct Summary 7-8'!F82</f>
        <v>6201</v>
      </c>
      <c r="D6270" s="2" t="str">
        <f t="shared" si="96"/>
        <v>Error?</v>
      </c>
      <c r="E6270" s="2" t="s">
        <v>189</v>
      </c>
    </row>
    <row r="6271" spans="1:5" x14ac:dyDescent="0.2">
      <c r="A6271">
        <v>6210</v>
      </c>
      <c r="B6271" s="1832">
        <f>'Acct Summary 7-8'!G82</f>
        <v>3289</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3856</v>
      </c>
      <c r="D6273" s="2" t="str">
        <f t="shared" si="97"/>
        <v>Error?</v>
      </c>
      <c r="E6273" s="2" t="s">
        <v>189</v>
      </c>
    </row>
    <row r="6274" spans="1:5" x14ac:dyDescent="0.2">
      <c r="A6274">
        <v>6213</v>
      </c>
      <c r="B6274" s="1832">
        <f>'Acct Summary 7-8'!J82</f>
        <v>82968</v>
      </c>
      <c r="D6274" s="2" t="str">
        <f t="shared" si="97"/>
        <v>Error?</v>
      </c>
      <c r="E6274" s="2" t="s">
        <v>189</v>
      </c>
    </row>
    <row r="6275" spans="1:5" x14ac:dyDescent="0.2">
      <c r="A6275">
        <v>6214</v>
      </c>
      <c r="B6275" s="1832">
        <f>'Acct Summary 7-8'!K82</f>
        <v>4074</v>
      </c>
      <c r="D6275" s="2" t="str">
        <f t="shared" si="97"/>
        <v>Error?</v>
      </c>
      <c r="E6275" s="2" t="s">
        <v>189</v>
      </c>
    </row>
    <row r="6276" spans="1:5" x14ac:dyDescent="0.2">
      <c r="A6276">
        <v>6215</v>
      </c>
      <c r="B6276" s="1832">
        <f>'Acct Summary 7-8'!C83</f>
        <v>0.379844261585356</v>
      </c>
      <c r="D6276" s="2" t="str">
        <f t="shared" si="97"/>
        <v>Error?</v>
      </c>
      <c r="E6276" s="2" t="s">
        <v>189</v>
      </c>
    </row>
    <row r="6277" spans="1:5" x14ac:dyDescent="0.2">
      <c r="A6277">
        <v>6216</v>
      </c>
      <c r="B6277" s="1832">
        <f>'Acct Summary 7-8'!D83</f>
        <v>0.45228617536309845</v>
      </c>
      <c r="D6277" s="2" t="str">
        <f t="shared" si="97"/>
        <v>Error?</v>
      </c>
      <c r="E6277" s="2" t="s">
        <v>189</v>
      </c>
    </row>
    <row r="6278" spans="1:5" x14ac:dyDescent="0.2">
      <c r="A6278">
        <v>6217</v>
      </c>
      <c r="B6278" s="1832">
        <f>'Acct Summary 7-8'!E83</f>
        <v>1.1682214312016694</v>
      </c>
      <c r="D6278" s="2" t="str">
        <f t="shared" si="97"/>
        <v>Error?</v>
      </c>
      <c r="E6278" s="2" t="s">
        <v>189</v>
      </c>
    </row>
    <row r="6279" spans="1:5" x14ac:dyDescent="0.2">
      <c r="A6279">
        <v>6218</v>
      </c>
      <c r="B6279" s="1832">
        <f>'Acct Summary 7-8'!F83</f>
        <v>0.14832444327504962</v>
      </c>
      <c r="D6279" s="2" t="str">
        <f t="shared" si="97"/>
        <v>Error?</v>
      </c>
      <c r="E6279" s="2" t="s">
        <v>189</v>
      </c>
    </row>
    <row r="6280" spans="1:5" x14ac:dyDescent="0.2">
      <c r="A6280">
        <v>6219</v>
      </c>
      <c r="B6280" s="1832">
        <f>'Acct Summary 7-8'!G83</f>
        <v>1.756531584456645E-2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0.34048565121412805</v>
      </c>
      <c r="D6282" s="2" t="str">
        <f t="shared" si="97"/>
        <v>Error?</v>
      </c>
      <c r="E6282" s="2" t="s">
        <v>189</v>
      </c>
    </row>
    <row r="6283" spans="1:5" x14ac:dyDescent="0.2">
      <c r="A6283">
        <v>6222</v>
      </c>
      <c r="B6283" s="1832">
        <f>'Acct Summary 7-8'!J83</f>
        <v>0.6695125198712103</v>
      </c>
      <c r="D6283" s="2" t="str">
        <f t="shared" si="97"/>
        <v>Error?</v>
      </c>
      <c r="E6283" s="2" t="s">
        <v>189</v>
      </c>
    </row>
    <row r="6284" spans="1:5" x14ac:dyDescent="0.2">
      <c r="A6284">
        <v>6223</v>
      </c>
      <c r="B6284" s="1832">
        <f>'Acct Summary 7-8'!K83</f>
        <v>0.41956745623069003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115433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115433</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115433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69588</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77295</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6566</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5568</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79708</v>
      </c>
      <c r="D6880" s="2" t="str">
        <f t="shared" si="106"/>
        <v>Error?</v>
      </c>
    </row>
    <row r="6881" spans="1:4" x14ac:dyDescent="0.2">
      <c r="A6881">
        <v>6820</v>
      </c>
      <c r="B6881" s="1832">
        <f>'Expenditures 15-22'!K22</f>
        <v>79708</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107879</v>
      </c>
      <c r="D6983" s="2" t="str">
        <f t="shared" si="108"/>
        <v>Error?</v>
      </c>
    </row>
    <row r="6984" spans="1:4" x14ac:dyDescent="0.2">
      <c r="A6984">
        <v>6923</v>
      </c>
      <c r="B6984" s="1832">
        <f>'Expenditures 15-22'!K86</f>
        <v>107879</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69750</v>
      </c>
      <c r="D6987" s="2" t="str">
        <f t="shared" si="108"/>
        <v>Error?</v>
      </c>
    </row>
    <row r="6988" spans="1:4" x14ac:dyDescent="0.2">
      <c r="A6988">
        <v>6927</v>
      </c>
      <c r="B6988" s="1832">
        <f>'Expenditures 15-22'!K88</f>
        <v>69750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177629</v>
      </c>
      <c r="D6995" s="2" t="str">
        <f t="shared" si="108"/>
        <v>Error?</v>
      </c>
    </row>
    <row r="6996" spans="1:4" x14ac:dyDescent="0.2">
      <c r="A6996">
        <v>6935</v>
      </c>
      <c r="B6996" s="1832">
        <f>'Expenditures 15-22'!H93</f>
        <v>4242</v>
      </c>
      <c r="D6996" s="2" t="str">
        <f t="shared" si="108"/>
        <v>Error?</v>
      </c>
    </row>
    <row r="6997" spans="1:4" x14ac:dyDescent="0.2">
      <c r="A6997">
        <v>6936</v>
      </c>
      <c r="B6997" s="1832">
        <f>'Expenditures 15-22'!K93</f>
        <v>4242</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4242</v>
      </c>
      <c r="D7012" s="2" t="str">
        <f t="shared" si="108"/>
        <v>Error?</v>
      </c>
    </row>
    <row r="7013" spans="1:4" x14ac:dyDescent="0.2">
      <c r="A7013">
        <v>6952</v>
      </c>
      <c r="B7013" s="1832">
        <f>'Expenditures 15-22'!K100</f>
        <v>4242</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32465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115433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3556</v>
      </c>
      <c r="D7073" s="2" t="str">
        <f t="shared" si="109"/>
        <v>Error?</v>
      </c>
    </row>
    <row r="7074" spans="1:4" x14ac:dyDescent="0.2">
      <c r="A7074">
        <v>7013</v>
      </c>
      <c r="B7074" s="1832">
        <f>'Expenditures 15-22'!K216</f>
        <v>3556</v>
      </c>
      <c r="D7074" s="2" t="str">
        <f t="shared" si="109"/>
        <v>Error?</v>
      </c>
    </row>
    <row r="7075" spans="1:4" x14ac:dyDescent="0.2">
      <c r="A7075">
        <v>7014</v>
      </c>
      <c r="B7075" s="1832">
        <f>'Expenditures 15-22'!D218</f>
        <v>84</v>
      </c>
      <c r="D7075" s="2" t="str">
        <f t="shared" si="109"/>
        <v>Error?</v>
      </c>
    </row>
    <row r="7076" spans="1:4" x14ac:dyDescent="0.2">
      <c r="A7076">
        <v>7015</v>
      </c>
      <c r="B7076" s="1832">
        <f>'Expenditures 15-22'!K218</f>
        <v>84</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65</v>
      </c>
      <c r="D7079" s="2" t="str">
        <f t="shared" si="109"/>
        <v>Error?</v>
      </c>
    </row>
    <row r="7080" spans="1:4" x14ac:dyDescent="0.2">
      <c r="A7080">
        <v>7019</v>
      </c>
      <c r="B7080" s="1832">
        <f>'Expenditures 15-22'!K226</f>
        <v>65</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38</v>
      </c>
      <c r="D7093" s="2" t="str">
        <f t="shared" si="109"/>
        <v>Error?</v>
      </c>
    </row>
    <row r="7094" spans="1:4" x14ac:dyDescent="0.2">
      <c r="A7094">
        <v>7033</v>
      </c>
      <c r="B7094" s="1832">
        <f>'Expenditures 15-22'!K254</f>
        <v>38</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10776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10776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740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740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2598</v>
      </c>
      <c r="D7172" s="2" t="str">
        <f t="shared" si="111"/>
        <v>Error?</v>
      </c>
    </row>
    <row r="7173" spans="1:4" x14ac:dyDescent="0.2">
      <c r="A7173">
        <v>7112</v>
      </c>
      <c r="B7173" s="1832">
        <f>'Expenditures 15-22'!D325</f>
        <v>367</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2965</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2598</v>
      </c>
      <c r="D7199" s="2" t="str">
        <f t="shared" si="111"/>
        <v>Error?</v>
      </c>
    </row>
    <row r="7200" spans="1:4" x14ac:dyDescent="0.2">
      <c r="A7200">
        <v>7139</v>
      </c>
      <c r="B7200" s="1832">
        <f>'Expenditures 15-22'!D330</f>
        <v>367</v>
      </c>
      <c r="D7200" s="2" t="str">
        <f t="shared" si="111"/>
        <v>Error?</v>
      </c>
    </row>
    <row r="7201" spans="1:4" x14ac:dyDescent="0.2">
      <c r="A7201">
        <v>7140</v>
      </c>
      <c r="B7201" s="1832">
        <f>'Expenditures 15-22'!E330</f>
        <v>29500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32465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2598</v>
      </c>
      <c r="D7216" s="2" t="str">
        <f t="shared" si="111"/>
        <v>Error?</v>
      </c>
    </row>
    <row r="7217" spans="1:4" x14ac:dyDescent="0.2">
      <c r="A7217">
        <v>7156</v>
      </c>
      <c r="B7217" s="1832">
        <f>'Expenditures 15-22'!D342</f>
        <v>367</v>
      </c>
      <c r="D7217" s="2" t="str">
        <f t="shared" si="111"/>
        <v>Error?</v>
      </c>
    </row>
    <row r="7218" spans="1:4" x14ac:dyDescent="0.2">
      <c r="A7218">
        <v>7157</v>
      </c>
      <c r="B7218" s="1832">
        <f>'Expenditures 15-22'!E342</f>
        <v>29500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32465</v>
      </c>
      <c r="D7224" s="2" t="str">
        <f t="shared" si="111"/>
        <v>Error?</v>
      </c>
    </row>
    <row r="7225" spans="1:4" x14ac:dyDescent="0.2">
      <c r="A7225">
        <v>7164</v>
      </c>
      <c r="B7225" s="1832">
        <f>'Expenditures 15-22'!K343</f>
        <v>82968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7707</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5769</v>
      </c>
      <c r="D7251" s="2" t="str">
        <f t="shared" si="112"/>
        <v>Error?</v>
      </c>
    </row>
    <row r="7252" spans="1:4" x14ac:dyDescent="0.2">
      <c r="A7252">
        <f t="shared" si="113"/>
        <v>7191</v>
      </c>
      <c r="B7252" s="1832">
        <f>'Expenditures 15-22'!D9</f>
        <v>797</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4501</v>
      </c>
      <c r="D7263" s="2" t="str">
        <f t="shared" si="112"/>
        <v>Error?</v>
      </c>
    </row>
    <row r="7264" spans="1:4" x14ac:dyDescent="0.2">
      <c r="A7264">
        <f t="shared" si="113"/>
        <v>7203</v>
      </c>
      <c r="B7264" s="1832">
        <f>'Expenditures 15-22'!D17</f>
        <v>710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357</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79833</v>
      </c>
      <c r="D7615" s="2" t="str">
        <f t="shared" ref="D7615:D7678" si="124">IF(ISBLANK(B7615),"OK",IF(A7615-B7615=0,"OK","Error?"))</f>
        <v>Error?</v>
      </c>
      <c r="E7615" s="2" t="s">
        <v>19</v>
      </c>
    </row>
    <row r="7616" spans="1:5" x14ac:dyDescent="0.2">
      <c r="A7616">
        <f t="shared" si="123"/>
        <v>7555</v>
      </c>
      <c r="B7616" s="1832">
        <f>'Cap Outlay Deprec 26'!D14</f>
        <v>4350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84183</v>
      </c>
      <c r="D7618" s="2" t="str">
        <f t="shared" si="124"/>
        <v>Error?</v>
      </c>
      <c r="E7618" s="2" t="s">
        <v>19</v>
      </c>
    </row>
    <row r="7619" spans="1:5" x14ac:dyDescent="0.2">
      <c r="A7619">
        <f t="shared" si="123"/>
        <v>7558</v>
      </c>
      <c r="B7619" s="1832">
        <f>'Cap Outlay Deprec 26'!H14</f>
        <v>66858</v>
      </c>
      <c r="D7619" s="2" t="str">
        <f t="shared" si="124"/>
        <v>Error?</v>
      </c>
      <c r="E7619" s="2" t="s">
        <v>19</v>
      </c>
    </row>
    <row r="7620" spans="1:5" x14ac:dyDescent="0.2">
      <c r="A7620">
        <f t="shared" si="123"/>
        <v>7559</v>
      </c>
      <c r="B7620" s="1832">
        <f>'Cap Outlay Deprec 26'!I14</f>
        <v>2777</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69635</v>
      </c>
      <c r="D7622" s="2" t="str">
        <f t="shared" si="124"/>
        <v>Error?</v>
      </c>
      <c r="E7622" s="2" t="s">
        <v>19</v>
      </c>
    </row>
    <row r="7623" spans="1:5" x14ac:dyDescent="0.2">
      <c r="A7623">
        <f t="shared" si="123"/>
        <v>7562</v>
      </c>
      <c r="B7623" s="1832">
        <f>'Cap Outlay Deprec 26'!L14</f>
        <v>14548</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82034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17984</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17984</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4120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4120</v>
      </c>
      <c r="D7719" s="2" t="str">
        <f t="shared" si="126"/>
        <v>Error?</v>
      </c>
      <c r="E7719" s="2" t="s">
        <v>822</v>
      </c>
    </row>
    <row r="7720" spans="1:6" x14ac:dyDescent="0.2">
      <c r="A7720">
        <v>7659</v>
      </c>
      <c r="B7720" s="1832">
        <f>'Rest Tax Levies-Tort Im 25'!H14</f>
        <v>3259</v>
      </c>
      <c r="D7720" s="2" t="str">
        <f t="shared" si="126"/>
        <v>Error?</v>
      </c>
      <c r="E7720" s="2" t="s">
        <v>822</v>
      </c>
    </row>
    <row r="7721" spans="1:6" x14ac:dyDescent="0.2">
      <c r="A7721">
        <v>7660</v>
      </c>
      <c r="B7721" s="1832">
        <f>'Rest Tax Levies-Tort Im 25'!K14</f>
        <v>4120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4120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275000</v>
      </c>
      <c r="D7817" s="2" t="str">
        <f t="shared" si="128"/>
        <v>Error?</v>
      </c>
      <c r="E7817" s="4" t="s">
        <v>1966</v>
      </c>
    </row>
    <row r="7818" spans="1:5" x14ac:dyDescent="0.2">
      <c r="A7818">
        <v>7757</v>
      </c>
      <c r="B7818" s="1832">
        <f>'PCTC-OEPP 27-28'!F172</f>
        <v>190222</v>
      </c>
      <c r="D7818" s="2" t="str">
        <f t="shared" si="128"/>
        <v>Error?</v>
      </c>
      <c r="E7818" s="4" t="s">
        <v>1980</v>
      </c>
    </row>
    <row r="7819" spans="1:5" x14ac:dyDescent="0.2">
      <c r="A7819">
        <v>7758</v>
      </c>
      <c r="B7819" s="1832">
        <f>'PCTC-OEPP 27-28'!F173</f>
        <v>91958</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4199576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77295</v>
      </c>
      <c r="D7826" s="2" t="str">
        <f t="shared" si="129"/>
        <v>Error?</v>
      </c>
      <c r="E7826" s="4" t="s">
        <v>1998</v>
      </c>
    </row>
    <row r="7827" spans="1:5" x14ac:dyDescent="0.2">
      <c r="A7827">
        <v>7766</v>
      </c>
      <c r="B7827" s="1832">
        <f>'PCTC-OEPP 27-28'!F35</f>
        <v>6566</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25518</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538420</v>
      </c>
      <c r="D7834" s="2" t="str">
        <f t="shared" si="129"/>
        <v>Error?</v>
      </c>
      <c r="E7834" s="4" t="s">
        <v>1998</v>
      </c>
    </row>
    <row r="7835" spans="1:5" x14ac:dyDescent="0.2">
      <c r="A7835">
        <v>7774</v>
      </c>
      <c r="B7835" s="1832">
        <f>'PCTC-OEPP 27-28'!F78</f>
        <v>3661156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10674.01755700487</v>
      </c>
      <c r="D7837" s="2" t="str">
        <f t="shared" si="129"/>
        <v>Error?</v>
      </c>
      <c r="E7837" s="4" t="s">
        <v>1998</v>
      </c>
    </row>
    <row r="7838" spans="1:5" x14ac:dyDescent="0.2">
      <c r="A7838">
        <v>7777</v>
      </c>
      <c r="B7838" s="1832">
        <f>'PCTC-OEPP 27-28'!F96</f>
        <v>10470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12811</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33317</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4120</v>
      </c>
      <c r="D7846" s="2" t="str">
        <f t="shared" si="129"/>
        <v>Error?</v>
      </c>
      <c r="E7846" s="4" t="s">
        <v>1998</v>
      </c>
    </row>
    <row r="7847" spans="1:5" x14ac:dyDescent="0.2">
      <c r="A7847">
        <v>7786</v>
      </c>
      <c r="B7847" s="1832">
        <f>'PCTC-OEPP 27-28'!F112</f>
        <v>123055</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349839</v>
      </c>
      <c r="D7858" s="2" t="str">
        <f t="shared" si="129"/>
        <v>Error?</v>
      </c>
      <c r="E7858" s="4" t="s">
        <v>1998</v>
      </c>
    </row>
    <row r="7859" spans="1:5" x14ac:dyDescent="0.2">
      <c r="A7859">
        <v>7798</v>
      </c>
      <c r="B7859" s="1832">
        <f>'PCTC-OEPP 27-28'!F127</f>
        <v>93189</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1334</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14830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18405</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65520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1076696</v>
      </c>
      <c r="D7877" s="2" t="str">
        <f t="shared" si="129"/>
        <v>Error?</v>
      </c>
      <c r="E7877" s="4" t="s">
        <v>1998</v>
      </c>
    </row>
    <row r="7878" spans="1:5" x14ac:dyDescent="0.2">
      <c r="A7878">
        <v>7817</v>
      </c>
      <c r="B7878" s="1832">
        <f>'PCTC-OEPP 27-28'!F176</f>
        <v>2584460</v>
      </c>
      <c r="D7878" s="2" t="str">
        <f t="shared" si="129"/>
        <v>Error?</v>
      </c>
      <c r="E7878" s="4" t="s">
        <v>1998</v>
      </c>
    </row>
    <row r="7879" spans="1:5" x14ac:dyDescent="0.2">
      <c r="A7879">
        <v>7818</v>
      </c>
      <c r="B7879" s="1832">
        <f>'PCTC-OEPP 27-28'!F178</f>
        <v>2666494</v>
      </c>
      <c r="D7879" s="2" t="str">
        <f t="shared" si="129"/>
        <v>Error?</v>
      </c>
      <c r="E7879" s="4" t="s">
        <v>1998</v>
      </c>
    </row>
    <row r="7880" spans="1:5" x14ac:dyDescent="0.2">
      <c r="A7880">
        <v>7819</v>
      </c>
      <c r="B7880" s="1832">
        <f>'PCTC-OEPP 27-28'!F180</f>
        <v>7774.1029804925402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DePue USD 103</v>
      </c>
      <c r="B7" s="2536"/>
      <c r="C7" s="2536"/>
      <c r="D7" s="2537"/>
      <c r="E7" s="2538">
        <f>COVER!A13</f>
        <v>28006103022</v>
      </c>
      <c r="F7" s="2539"/>
      <c r="G7" s="2545" t="str">
        <f>COVER!T23</f>
        <v>066-004501</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Hopkins &amp; Associates, CPAs</v>
      </c>
      <c r="H9" s="2551"/>
      <c r="I9" s="2551"/>
      <c r="J9" s="2551"/>
      <c r="K9" s="2551"/>
      <c r="L9" s="2552"/>
    </row>
    <row r="10" spans="1:29" ht="13.5" customHeight="1" x14ac:dyDescent="0.2">
      <c r="A10" s="2524" t="str">
        <f>COVER!A38</f>
        <v>Brad Kenser</v>
      </c>
      <c r="B10" s="2525"/>
      <c r="C10" s="2525"/>
      <c r="D10" s="2525"/>
      <c r="E10" s="2525"/>
      <c r="F10" s="2526"/>
      <c r="G10" s="2518" t="str">
        <f>COVER!T17</f>
        <v>314 S McCoy St</v>
      </c>
      <c r="H10" s="2519"/>
      <c r="I10" s="2519"/>
      <c r="J10" s="2519"/>
      <c r="K10" s="2519"/>
      <c r="L10" s="2520"/>
    </row>
    <row r="11" spans="1:29" ht="13.5" customHeight="1" x14ac:dyDescent="0.2">
      <c r="A11" s="963" t="s">
        <v>1502</v>
      </c>
      <c r="B11" s="964"/>
      <c r="C11" s="965"/>
      <c r="D11" s="970"/>
      <c r="E11" s="965"/>
      <c r="F11" s="969"/>
      <c r="G11" s="2518" t="str">
        <f>COVER!T19</f>
        <v>Granville</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kim@hopkinsoffice.com</v>
      </c>
      <c r="J13" s="2531"/>
      <c r="K13" s="2531"/>
      <c r="L13" s="2532"/>
    </row>
    <row r="14" spans="1:29" ht="13.5" customHeight="1" x14ac:dyDescent="0.2">
      <c r="A14" s="2518" t="str">
        <f>COVER!A19</f>
        <v>204 Pleasant St.</v>
      </c>
      <c r="B14" s="2519"/>
      <c r="C14" s="2519"/>
      <c r="D14" s="2519"/>
      <c r="E14" s="2519"/>
      <c r="F14" s="2520"/>
      <c r="G14" s="974" t="s">
        <v>1175</v>
      </c>
      <c r="H14" s="972"/>
      <c r="I14" s="972"/>
      <c r="J14" s="972"/>
      <c r="K14" s="972"/>
      <c r="L14" s="973"/>
    </row>
    <row r="15" spans="1:29" ht="13.5" customHeight="1" x14ac:dyDescent="0.2">
      <c r="A15" s="2518" t="str">
        <f>COVER!A21</f>
        <v xml:space="preserve">DePue  </v>
      </c>
      <c r="B15" s="2519"/>
      <c r="C15" s="2519"/>
      <c r="D15" s="2519"/>
      <c r="E15" s="2519"/>
      <c r="F15" s="2520"/>
      <c r="G15" s="2515" t="str">
        <f>COVER!T15</f>
        <v>Kim Bird</v>
      </c>
      <c r="H15" s="2516"/>
      <c r="I15" s="2516"/>
      <c r="J15" s="2516"/>
      <c r="K15" s="2516"/>
      <c r="L15" s="2517"/>
    </row>
    <row r="16" spans="1:29" ht="12.2" customHeight="1" x14ac:dyDescent="0.2">
      <c r="A16" s="2541">
        <f>COVER!A25</f>
        <v>61322</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815-339-6630</v>
      </c>
      <c r="H18" s="2536"/>
      <c r="I18" s="2536"/>
      <c r="J18" s="2536"/>
      <c r="K18" s="2535" t="str">
        <f>COVER!X21</f>
        <v>815-339-6643</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DePue USD 103</v>
      </c>
      <c r="B1" s="2558"/>
      <c r="C1" s="2558"/>
      <c r="D1" s="2558"/>
    </row>
    <row r="2" spans="1:11" s="991" customFormat="1" ht="12.75" x14ac:dyDescent="0.2">
      <c r="A2" s="2559">
        <f>'Single Audit Cover'!E7</f>
        <v>28006103022</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DePue USD 103</v>
      </c>
      <c r="B1" s="2562"/>
      <c r="C1" s="2562"/>
      <c r="D1" s="2562"/>
      <c r="E1" s="2562"/>
    </row>
    <row r="2" spans="1:5" x14ac:dyDescent="0.2">
      <c r="A2" s="2563">
        <f>'Single Audit Cover'!E7</f>
        <v>28006103022</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543117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22863</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-65520</v>
      </c>
    </row>
    <row r="19" spans="1:4" ht="13.5" thickBot="1" x14ac:dyDescent="0.25">
      <c r="A19" s="1041" t="s">
        <v>1224</v>
      </c>
      <c r="D19" s="1042">
        <f>SUM(D10:D17)</f>
        <v>500460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500460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500460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DePue USD 103</v>
      </c>
      <c r="C1" s="2566"/>
      <c r="D1" s="2566"/>
      <c r="E1" s="2566"/>
      <c r="F1" s="2566"/>
      <c r="G1" s="2566"/>
      <c r="H1" s="2566"/>
      <c r="I1" s="2566"/>
      <c r="J1" s="2566"/>
      <c r="K1" s="2566"/>
      <c r="L1" s="2566"/>
      <c r="M1" s="2566"/>
    </row>
    <row r="2" spans="2:14" ht="15" x14ac:dyDescent="0.2">
      <c r="B2" s="2567">
        <f>'Single Audit Cover'!E7</f>
        <v>28006103022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DePue USD 103</v>
      </c>
      <c r="B1" s="2579"/>
      <c r="C1" s="2579"/>
      <c r="D1" s="2579"/>
      <c r="E1" s="2579"/>
      <c r="F1" s="2579"/>
    </row>
    <row r="2" spans="1:7" ht="13.5" customHeight="1" x14ac:dyDescent="0.2">
      <c r="A2" s="2567">
        <f>'Single Audit Cover'!E7</f>
        <v>28006103022</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23"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2059</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DePue USD 103</v>
      </c>
      <c r="C1" s="2594"/>
      <c r="D1" s="2594"/>
      <c r="E1" s="2594"/>
      <c r="F1" s="2594"/>
      <c r="G1" s="2594"/>
      <c r="H1" s="2594"/>
      <c r="I1" s="2594"/>
      <c r="J1" s="1178"/>
    </row>
    <row r="2" spans="2:10" s="295" customFormat="1" ht="12.75" customHeight="1" x14ac:dyDescent="0.2">
      <c r="B2" s="2595">
        <f>'Single Audit Cover'!E7</f>
        <v>28006103022</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DePue USD 103</v>
      </c>
      <c r="C1" s="2593"/>
      <c r="D1" s="2593"/>
      <c r="E1" s="2593"/>
      <c r="F1" s="2593"/>
      <c r="G1" s="2593"/>
      <c r="H1" s="2593"/>
      <c r="I1" s="2593"/>
      <c r="J1" s="2593"/>
      <c r="K1" s="2593"/>
      <c r="L1" s="1144"/>
      <c r="M1" s="1144"/>
    </row>
    <row r="2" spans="1:13" ht="12" customHeight="1" x14ac:dyDescent="0.2">
      <c r="B2" s="2595">
        <f>'Single Audit Cover'!E7</f>
        <v>28006103022</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DePue USD 103</v>
      </c>
      <c r="C1" s="2616"/>
      <c r="D1" s="2616"/>
      <c r="E1" s="2616"/>
      <c r="F1" s="2616"/>
      <c r="G1" s="2616"/>
      <c r="H1" s="2616"/>
      <c r="I1" s="2616"/>
      <c r="J1" s="2616"/>
      <c r="K1" s="2616"/>
      <c r="L1" s="1221"/>
    </row>
    <row r="2" spans="1:12" ht="12.75" customHeight="1" x14ac:dyDescent="0.2">
      <c r="B2" s="2617">
        <f>'Single Audit Cover'!E7</f>
        <v>28006103022</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DePue USD 103</v>
      </c>
      <c r="C1" s="2593"/>
      <c r="D1" s="2593"/>
      <c r="E1" s="1240"/>
    </row>
    <row r="2" spans="2:5" s="1058" customFormat="1" ht="12.75" customHeight="1" x14ac:dyDescent="0.2">
      <c r="B2" s="2595">
        <f>'Single Audit Cover'!E7</f>
        <v>28006103022</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9003641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2.4E-2</v>
      </c>
      <c r="E10" s="333" t="s">
        <v>998</v>
      </c>
      <c r="F10" s="332">
        <v>4.7499999999999999E-3</v>
      </c>
      <c r="G10" s="333" t="s">
        <v>998</v>
      </c>
      <c r="H10" s="332">
        <v>2E-3</v>
      </c>
      <c r="I10" s="333" t="s">
        <v>999</v>
      </c>
      <c r="J10" s="1424">
        <f>ROUND(D10+F10+H10,5)</f>
        <v>3.075E-2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4556903</v>
      </c>
      <c r="E16" s="1547"/>
      <c r="F16" s="1546">
        <f>SUM('Acct Summary 7-8'!C17,'Acct Summary 7-8'!D17,'Acct Summary 7-8'!F17)</f>
        <v>3974543</v>
      </c>
      <c r="G16" s="1547"/>
      <c r="H16" s="1546">
        <f>SUM(D16-F16)</f>
        <v>582360</v>
      </c>
      <c r="I16" s="1548"/>
      <c r="J16" s="1546">
        <f>SUM('Acct Summary 7-8'!C81,'Acct Summary 7-8'!D81,'Acct Summary 7-8'!F81,'Acct Summary 7-8'!I81)</f>
        <v>1536765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1242502.4580000001</v>
      </c>
      <c r="I31" s="345"/>
      <c r="J31" s="217"/>
      <c r="K31" s="217"/>
      <c r="L31" s="217"/>
      <c r="M31" s="217"/>
    </row>
    <row r="32" spans="1:13" ht="13.35" customHeight="1" x14ac:dyDescent="0.2">
      <c r="B32" s="346" t="s">
        <v>2068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130000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DePue USD 103</v>
      </c>
      <c r="E7" s="368"/>
      <c r="G7" s="247"/>
      <c r="H7" s="364"/>
      <c r="I7" s="364"/>
      <c r="J7" s="364"/>
      <c r="K7" s="364"/>
      <c r="L7" s="307"/>
      <c r="M7" s="307"/>
      <c r="N7" s="307"/>
      <c r="O7" s="307"/>
      <c r="P7" s="307"/>
    </row>
    <row r="8" spans="1:18" ht="12.75" x14ac:dyDescent="0.2">
      <c r="A8" s="307"/>
      <c r="B8" s="307"/>
      <c r="C8" s="366" t="s">
        <v>1115</v>
      </c>
      <c r="D8" s="369">
        <f>COVER!A13</f>
        <v>28006103022</v>
      </c>
      <c r="E8" s="370"/>
      <c r="G8" s="307"/>
      <c r="H8" s="307"/>
      <c r="I8" s="307"/>
      <c r="J8" s="307"/>
      <c r="K8" s="307"/>
      <c r="L8" s="307"/>
      <c r="M8" s="307"/>
      <c r="N8" s="307"/>
      <c r="O8" s="307"/>
      <c r="P8" s="307"/>
    </row>
    <row r="9" spans="1:18" ht="12.75" x14ac:dyDescent="0.2">
      <c r="A9" s="307"/>
      <c r="B9" s="307"/>
      <c r="C9" s="366" t="s">
        <v>708</v>
      </c>
      <c r="D9" s="371" t="str">
        <f>COVER!A15</f>
        <v>Bureau</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1536765</v>
      </c>
      <c r="I12" s="380"/>
      <c r="J12" s="380"/>
      <c r="K12" s="1559">
        <f>TRUNC((H12/H13*100000),5)/100000</f>
        <v>0.33723890979999999</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4556903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3974543</v>
      </c>
      <c r="I17" s="380"/>
      <c r="J17" s="389"/>
      <c r="K17" s="1559">
        <f>TRUNC((H17/H18*100000),5)/100000</f>
        <v>0.87220267800000006</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4556903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1536765</v>
      </c>
      <c r="I24" s="394"/>
      <c r="J24" s="394"/>
      <c r="K24" s="1555">
        <f>TRUNC(((H24/H25*100000)/100000),2)</f>
        <v>139.19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11040.397220000001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235332.66664000001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130000</v>
      </c>
      <c r="I32" s="392"/>
      <c r="J32" s="392"/>
      <c r="K32" s="1555">
        <f>TRUNC(100-((((H32/H33*100))*100)/100),2)</f>
        <v>89.53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1242502.4580000001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5" activePane="bottomLeft" state="frozen"/>
      <selection pane="bottomLeft" activeCell="J5" sqref="J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1362798</v>
      </c>
      <c r="D4" s="1573">
        <v>120835</v>
      </c>
      <c r="E4" s="1573">
        <v>16294</v>
      </c>
      <c r="F4" s="1573">
        <v>41807</v>
      </c>
      <c r="G4" s="1573">
        <v>187244</v>
      </c>
      <c r="H4" s="1573"/>
      <c r="I4" s="1573">
        <v>11325</v>
      </c>
      <c r="J4" s="1574">
        <v>123923</v>
      </c>
      <c r="K4" s="1573">
        <v>9710</v>
      </c>
      <c r="L4" s="1573">
        <v>38044</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1362798</v>
      </c>
      <c r="D13" s="1587">
        <f t="shared" ref="D13:L13" si="0">SUM(D4:D12)</f>
        <v>120835</v>
      </c>
      <c r="E13" s="1587">
        <f t="shared" si="0"/>
        <v>16294</v>
      </c>
      <c r="F13" s="1587">
        <f t="shared" si="0"/>
        <v>41807</v>
      </c>
      <c r="G13" s="1587">
        <f t="shared" si="0"/>
        <v>187244</v>
      </c>
      <c r="H13" s="1587">
        <f t="shared" si="0"/>
        <v>0</v>
      </c>
      <c r="I13" s="1587">
        <f t="shared" si="0"/>
        <v>11325</v>
      </c>
      <c r="J13" s="1587">
        <f t="shared" si="0"/>
        <v>123923</v>
      </c>
      <c r="K13" s="1587">
        <f t="shared" si="0"/>
        <v>9710</v>
      </c>
      <c r="L13" s="1587">
        <f t="shared" si="0"/>
        <v>38044</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99312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2246964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197724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1634437+52746+84183</f>
        <v>1771366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16294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113706</v>
      </c>
    </row>
    <row r="23" spans="1:14" ht="13.5" customHeight="1" thickBot="1" x14ac:dyDescent="0.25">
      <c r="A23" s="1426" t="s">
        <v>638</v>
      </c>
      <c r="B23" s="1429"/>
      <c r="C23" s="1575"/>
      <c r="D23" s="1575"/>
      <c r="E23" s="1575"/>
      <c r="F23" s="1575"/>
      <c r="G23" s="1575"/>
      <c r="H23" s="1575"/>
      <c r="I23" s="1575"/>
      <c r="J23" s="1575"/>
      <c r="K23" s="1575"/>
      <c r="L23" s="1575"/>
      <c r="M23" s="1594">
        <f>SUM(M15:M22)</f>
        <v>4315366</v>
      </c>
      <c r="N23" s="1594">
        <f>SUM(N21:N22)</f>
        <v>130000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38044</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38044</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130000</v>
      </c>
    </row>
    <row r="37" spans="1:14" ht="13.5" thickBot="1" x14ac:dyDescent="0.25">
      <c r="A37" s="1426" t="s">
        <v>648</v>
      </c>
      <c r="B37" s="1429"/>
      <c r="C37" s="1582"/>
      <c r="D37" s="1582"/>
      <c r="E37" s="1582"/>
      <c r="F37" s="1582"/>
      <c r="G37" s="1582"/>
      <c r="H37" s="1582"/>
      <c r="I37" s="1582"/>
      <c r="J37" s="1582"/>
      <c r="K37" s="1582"/>
      <c r="L37" s="1585"/>
      <c r="M37" s="1575"/>
      <c r="N37" s="1594">
        <f>SUM(N36:N36)</f>
        <v>130000</v>
      </c>
    </row>
    <row r="38" spans="1:14" s="307" customFormat="1" ht="13.5" customHeight="1" thickTop="1" x14ac:dyDescent="0.2">
      <c r="A38" s="438" t="s">
        <v>417</v>
      </c>
      <c r="B38" s="432">
        <v>714</v>
      </c>
      <c r="C38" s="1573"/>
      <c r="D38" s="1573"/>
      <c r="E38" s="1573"/>
      <c r="F38" s="1573"/>
      <c r="G38" s="1573">
        <v>28977</v>
      </c>
      <c r="H38" s="1573"/>
      <c r="I38" s="1573"/>
      <c r="J38" s="1574">
        <v>65616</v>
      </c>
      <c r="K38" s="1573"/>
      <c r="L38" s="1586"/>
      <c r="M38" s="1604"/>
      <c r="N38" s="1604"/>
    </row>
    <row r="39" spans="1:14" s="307" customFormat="1" ht="13.5" customHeight="1" x14ac:dyDescent="0.2">
      <c r="A39" s="438" t="s">
        <v>339</v>
      </c>
      <c r="B39" s="432">
        <v>730</v>
      </c>
      <c r="C39" s="1573">
        <f>-51327+1414125</f>
        <v>1362798</v>
      </c>
      <c r="D39" s="1573">
        <v>120835</v>
      </c>
      <c r="E39" s="1573">
        <v>16294</v>
      </c>
      <c r="F39" s="1573">
        <v>41807</v>
      </c>
      <c r="G39" s="1573">
        <f>-28977+187244</f>
        <v>158267</v>
      </c>
      <c r="H39" s="1573"/>
      <c r="I39" s="1573">
        <v>11325</v>
      </c>
      <c r="J39" s="1574">
        <f>-65616+123923</f>
        <v>58307</v>
      </c>
      <c r="K39" s="1573">
        <v>9710</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4315366</v>
      </c>
      <c r="N40" s="1604"/>
    </row>
    <row r="41" spans="1:14" ht="13.5" customHeight="1" thickBot="1" x14ac:dyDescent="0.25">
      <c r="A41" s="1426" t="s">
        <v>650</v>
      </c>
      <c r="B41" s="1405"/>
      <c r="C41" s="1594">
        <f>(SUM(C34,C37,C38,C39))</f>
        <v>1362798</v>
      </c>
      <c r="D41" s="1594">
        <f t="shared" ref="D41:L41" si="2">SUM(D34,D37,D38:D39)</f>
        <v>120835</v>
      </c>
      <c r="E41" s="1594">
        <f t="shared" si="2"/>
        <v>16294</v>
      </c>
      <c r="F41" s="1594">
        <f t="shared" si="2"/>
        <v>41807</v>
      </c>
      <c r="G41" s="1594">
        <f t="shared" si="2"/>
        <v>187244</v>
      </c>
      <c r="H41" s="1594">
        <f t="shared" si="2"/>
        <v>0</v>
      </c>
      <c r="I41" s="1594">
        <f t="shared" si="2"/>
        <v>11325</v>
      </c>
      <c r="J41" s="1594">
        <f t="shared" si="2"/>
        <v>123923</v>
      </c>
      <c r="K41" s="1594">
        <f t="shared" si="2"/>
        <v>9710</v>
      </c>
      <c r="L41" s="1594">
        <f t="shared" si="2"/>
        <v>38044</v>
      </c>
      <c r="M41" s="1594">
        <f>SUM(M40)</f>
        <v>4315366</v>
      </c>
      <c r="N41" s="1594">
        <f>SUM(N37)</f>
        <v>130000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5"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421440</v>
      </c>
      <c r="D4" s="1606">
        <f>'Revenues 9-14'!D109</f>
        <v>38700</v>
      </c>
      <c r="E4" s="1606">
        <f>'Revenues 9-14'!E109</f>
        <v>67460</v>
      </c>
      <c r="F4" s="1606">
        <f>'Revenues 9-14'!F109</f>
        <v>16511</v>
      </c>
      <c r="G4" s="1606">
        <f>'Revenues 9-14'!G109</f>
        <v>125832</v>
      </c>
      <c r="H4" s="1606">
        <f>'Revenues 9-14'!H109</f>
        <v>0</v>
      </c>
      <c r="I4" s="1606">
        <f>'Revenues 9-14'!I109</f>
        <v>3856</v>
      </c>
      <c r="J4" s="1606">
        <f>'Revenues 9-14'!J109</f>
        <v>115433</v>
      </c>
      <c r="K4" s="1606">
        <f>'Revenues 9-14'!K109</f>
        <v>4074</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3020074</v>
      </c>
      <c r="D6" s="1607">
        <f>'Revenues 9-14'!D170</f>
        <v>350150</v>
      </c>
      <c r="E6" s="1607">
        <f>'Revenues 9-14'!E170</f>
        <v>21600</v>
      </c>
      <c r="F6" s="1607">
        <f>'Revenues 9-14'!F170</f>
        <v>163055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543117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3984631</v>
      </c>
      <c r="D8" s="1594">
        <f t="shared" ref="D8:K8" si="0">SUM(D4:D7)</f>
        <v>388850</v>
      </c>
      <c r="E8" s="1594">
        <f t="shared" si="0"/>
        <v>89060</v>
      </c>
      <c r="F8" s="1594">
        <f t="shared" si="0"/>
        <v>179566</v>
      </c>
      <c r="G8" s="1594">
        <f t="shared" si="0"/>
        <v>125832</v>
      </c>
      <c r="H8" s="1594">
        <f t="shared" si="0"/>
        <v>0</v>
      </c>
      <c r="I8" s="1594">
        <f t="shared" si="0"/>
        <v>3856</v>
      </c>
      <c r="J8" s="1594">
        <f t="shared" si="0"/>
        <v>115433</v>
      </c>
      <c r="K8" s="1594">
        <f t="shared" si="0"/>
        <v>4074</v>
      </c>
      <c r="L8" s="325"/>
    </row>
    <row r="9" spans="1:13" ht="15.75" thickTop="1" x14ac:dyDescent="0.2">
      <c r="A9" s="449" t="s">
        <v>1634</v>
      </c>
      <c r="B9" s="450">
        <v>3998</v>
      </c>
      <c r="C9" s="1586">
        <f>1620931+22678</f>
        <v>1643609</v>
      </c>
      <c r="D9" s="1613"/>
      <c r="E9" s="1586"/>
      <c r="F9" s="1586"/>
      <c r="G9" s="1614"/>
      <c r="H9" s="1586"/>
      <c r="I9" s="1609" t="s">
        <v>1159</v>
      </c>
      <c r="J9" s="1583"/>
      <c r="K9" s="1586"/>
      <c r="L9" s="325"/>
    </row>
    <row r="10" spans="1:13" s="452" customFormat="1" ht="13.5" thickBot="1" x14ac:dyDescent="0.25">
      <c r="A10" s="1426" t="s">
        <v>1163</v>
      </c>
      <c r="B10" s="1407"/>
      <c r="C10" s="1594">
        <f>SUM(C8:C9)</f>
        <v>5628240</v>
      </c>
      <c r="D10" s="1594">
        <f t="shared" ref="D10:K10" si="1">SUM(D8:D9)</f>
        <v>388850</v>
      </c>
      <c r="E10" s="1594">
        <f t="shared" si="1"/>
        <v>89060</v>
      </c>
      <c r="F10" s="1594">
        <f t="shared" si="1"/>
        <v>179566</v>
      </c>
      <c r="G10" s="1594">
        <f t="shared" si="1"/>
        <v>125832</v>
      </c>
      <c r="H10" s="1594">
        <f t="shared" si="1"/>
        <v>0</v>
      </c>
      <c r="I10" s="1594">
        <f t="shared" si="1"/>
        <v>3856</v>
      </c>
      <c r="J10" s="1594">
        <f t="shared" si="1"/>
        <v>115433</v>
      </c>
      <c r="K10" s="1594">
        <f t="shared" si="1"/>
        <v>4074</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2291082</v>
      </c>
      <c r="D12" s="1616" t="s">
        <v>1159</v>
      </c>
      <c r="E12" s="1575" t="s">
        <v>1159</v>
      </c>
      <c r="F12" s="1575" t="s">
        <v>1159</v>
      </c>
      <c r="G12" s="1606">
        <f>'Expenditures 15-22'!K229</f>
        <v>54455</v>
      </c>
      <c r="H12" s="1617"/>
      <c r="I12" s="1575" t="s">
        <v>1159</v>
      </c>
      <c r="J12" s="1575" t="s">
        <v>1159</v>
      </c>
      <c r="K12" s="1617" t="s">
        <v>1159</v>
      </c>
      <c r="L12" s="325"/>
    </row>
    <row r="13" spans="1:13" ht="15.75" customHeight="1" x14ac:dyDescent="0.2">
      <c r="A13" s="1314" t="s">
        <v>454</v>
      </c>
      <c r="B13" s="1316">
        <v>2000</v>
      </c>
      <c r="C13" s="1607">
        <f>'Expenditures 15-22'!K74</f>
        <v>921624</v>
      </c>
      <c r="D13" s="1607">
        <f>'Expenditures 15-22'!K129</f>
        <v>334198</v>
      </c>
      <c r="E13" s="1576" t="s">
        <v>1159</v>
      </c>
      <c r="F13" s="1607">
        <f>'Expenditures 15-22'!K184</f>
        <v>159583</v>
      </c>
      <c r="G13" s="1607">
        <f>'Expenditures 15-22'!K279</f>
        <v>66192</v>
      </c>
      <c r="H13" s="1607">
        <f>'Expenditures 15-22'!K303</f>
        <v>0</v>
      </c>
      <c r="I13" s="1575" t="s">
        <v>1159</v>
      </c>
      <c r="J13" s="1607">
        <f>'Expenditures 15-22'!K330</f>
        <v>32465</v>
      </c>
      <c r="K13" s="1618">
        <f>'Expenditures 15-22'!K352</f>
        <v>0</v>
      </c>
      <c r="L13" s="325"/>
    </row>
    <row r="14" spans="1:13" ht="15.75" customHeight="1" x14ac:dyDescent="0.2">
      <c r="A14" s="1314" t="s">
        <v>446</v>
      </c>
      <c r="B14" s="1316">
        <v>3000</v>
      </c>
      <c r="C14" s="1607">
        <f>'Expenditures 15-22'!K75</f>
        <v>25518</v>
      </c>
      <c r="D14" s="1607">
        <f>'Expenditures 15-22'!K130</f>
        <v>0</v>
      </c>
      <c r="E14" s="1616" t="s">
        <v>1159</v>
      </c>
      <c r="F14" s="1607">
        <f>'Expenditures 15-22'!K185</f>
        <v>0</v>
      </c>
      <c r="G14" s="1607">
        <f>'Expenditures 15-22'!K280</f>
        <v>1896</v>
      </c>
      <c r="H14" s="1612"/>
      <c r="I14" s="1575" t="s">
        <v>1159</v>
      </c>
      <c r="J14" s="1575" t="s">
        <v>1159</v>
      </c>
      <c r="K14" s="1612" t="s">
        <v>1159</v>
      </c>
      <c r="L14" s="325"/>
    </row>
    <row r="15" spans="1:13" ht="15.75" customHeight="1" x14ac:dyDescent="0.2">
      <c r="A15" s="1314" t="s">
        <v>107</v>
      </c>
      <c r="B15" s="1316">
        <v>4000</v>
      </c>
      <c r="C15" s="1607">
        <f>'Expenditures 15-22'!K102</f>
        <v>228756</v>
      </c>
      <c r="D15" s="1607">
        <f>'Expenditures 15-22'!K139</f>
        <v>0</v>
      </c>
      <c r="E15" s="1607">
        <f>'Expenditures 15-22'!K160</f>
        <v>0</v>
      </c>
      <c r="F15" s="1607">
        <f>'Expenditures 15-22'!K196</f>
        <v>13782</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70025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3466980</v>
      </c>
      <c r="D17" s="1594">
        <f t="shared" si="2"/>
        <v>334198</v>
      </c>
      <c r="E17" s="1594">
        <f t="shared" si="2"/>
        <v>70025</v>
      </c>
      <c r="F17" s="1594">
        <f t="shared" si="2"/>
        <v>173365</v>
      </c>
      <c r="G17" s="1594">
        <f t="shared" si="2"/>
        <v>122543</v>
      </c>
      <c r="H17" s="1594">
        <f t="shared" si="2"/>
        <v>0</v>
      </c>
      <c r="I17" s="1575"/>
      <c r="J17" s="1594">
        <f>SUM(J12:J16)</f>
        <v>32465</v>
      </c>
      <c r="K17" s="1594">
        <f>SUM(K12:K16)</f>
        <v>0</v>
      </c>
      <c r="L17" s="325"/>
    </row>
    <row r="18" spans="1:12" ht="15" customHeight="1" thickTop="1" x14ac:dyDescent="0.2">
      <c r="A18" s="1430" t="s">
        <v>1635</v>
      </c>
      <c r="B18" s="1431">
        <v>4180</v>
      </c>
      <c r="C18" s="1606">
        <f t="shared" ref="C18:H18" si="3">C9</f>
        <v>1643609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5110589</v>
      </c>
      <c r="D19" s="1594">
        <f t="shared" si="4"/>
        <v>334198</v>
      </c>
      <c r="E19" s="1594">
        <f t="shared" si="4"/>
        <v>70025</v>
      </c>
      <c r="F19" s="1594">
        <f t="shared" si="4"/>
        <v>173365</v>
      </c>
      <c r="G19" s="1594">
        <f t="shared" si="4"/>
        <v>122543</v>
      </c>
      <c r="H19" s="1594">
        <f t="shared" si="4"/>
        <v>0</v>
      </c>
      <c r="I19" s="1575"/>
      <c r="J19" s="1594">
        <f>SUM(J17:J18)</f>
        <v>32465</v>
      </c>
      <c r="K19" s="1594">
        <f>SUM(K17:K18)</f>
        <v>0</v>
      </c>
      <c r="L19" s="325"/>
    </row>
    <row r="20" spans="1:12" ht="16.5" thickTop="1" thickBot="1" x14ac:dyDescent="0.25">
      <c r="A20" s="2231" t="s">
        <v>1636</v>
      </c>
      <c r="B20" s="2232"/>
      <c r="C20" s="1622">
        <f>C8-C17</f>
        <v>517651</v>
      </c>
      <c r="D20" s="1622">
        <f t="shared" ref="D20:K20" si="5">D8-D17</f>
        <v>54652</v>
      </c>
      <c r="E20" s="1622">
        <f t="shared" si="5"/>
        <v>19035</v>
      </c>
      <c r="F20" s="1622">
        <f t="shared" si="5"/>
        <v>6201</v>
      </c>
      <c r="G20" s="1622">
        <f t="shared" si="5"/>
        <v>3289</v>
      </c>
      <c r="H20" s="1622">
        <f t="shared" si="5"/>
        <v>0</v>
      </c>
      <c r="I20" s="1622">
        <f t="shared" si="5"/>
        <v>3856</v>
      </c>
      <c r="J20" s="1622">
        <f t="shared" si="5"/>
        <v>82968</v>
      </c>
      <c r="K20" s="1622">
        <f t="shared" si="5"/>
        <v>4074</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517651</v>
      </c>
      <c r="D78" s="1629">
        <f t="shared" si="9"/>
        <v>54652</v>
      </c>
      <c r="E78" s="1629">
        <f t="shared" si="9"/>
        <v>19035</v>
      </c>
      <c r="F78" s="1629">
        <f t="shared" si="9"/>
        <v>6201</v>
      </c>
      <c r="G78" s="1629">
        <f t="shared" si="9"/>
        <v>3289</v>
      </c>
      <c r="H78" s="1629">
        <f t="shared" si="9"/>
        <v>0</v>
      </c>
      <c r="I78" s="1629">
        <f t="shared" si="9"/>
        <v>3856</v>
      </c>
      <c r="J78" s="1629">
        <f t="shared" si="9"/>
        <v>82968</v>
      </c>
      <c r="K78" s="1629">
        <f t="shared" si="9"/>
        <v>4074</v>
      </c>
      <c r="L78" s="457"/>
    </row>
    <row r="79" spans="1:12" ht="13.5" thickTop="1" x14ac:dyDescent="0.2">
      <c r="A79" s="1844" t="str">
        <f>"Fund Balances - July 1, "&amp;'AFR20'!E2-1</f>
        <v>Fund Balances - July 1, 2019</v>
      </c>
      <c r="B79" s="458"/>
      <c r="C79" s="1583">
        <v>845147</v>
      </c>
      <c r="D79" s="1630">
        <v>66183</v>
      </c>
      <c r="E79" s="1630">
        <v>-2741</v>
      </c>
      <c r="F79" s="1630">
        <v>35606</v>
      </c>
      <c r="G79" s="1630">
        <f>44707+139248</f>
        <v>183955</v>
      </c>
      <c r="H79" s="1630"/>
      <c r="I79" s="1630">
        <v>7469</v>
      </c>
      <c r="J79" s="1630">
        <f>76392-35437</f>
        <v>40955</v>
      </c>
      <c r="K79" s="1630">
        <v>5636</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1362798</v>
      </c>
      <c r="D81" s="1594">
        <f>SUM(D78:D80)</f>
        <v>120835</v>
      </c>
      <c r="E81" s="1594">
        <f t="shared" ref="E81:K81" si="10">SUM(E78:E80)</f>
        <v>16294</v>
      </c>
      <c r="F81" s="1594">
        <f t="shared" si="10"/>
        <v>41807</v>
      </c>
      <c r="G81" s="1594">
        <f t="shared" si="10"/>
        <v>187244</v>
      </c>
      <c r="H81" s="1594">
        <f t="shared" si="10"/>
        <v>0</v>
      </c>
      <c r="I81" s="1594">
        <f t="shared" si="10"/>
        <v>11325</v>
      </c>
      <c r="J81" s="1594">
        <f t="shared" si="10"/>
        <v>123923</v>
      </c>
      <c r="K81" s="1594">
        <f t="shared" si="10"/>
        <v>9710</v>
      </c>
      <c r="L81" s="325"/>
    </row>
    <row r="82" spans="1:12" ht="0.75" customHeight="1" thickTop="1" thickBot="1" x14ac:dyDescent="0.25">
      <c r="A82" s="459" t="s">
        <v>340</v>
      </c>
      <c r="B82" s="460"/>
      <c r="C82" s="461">
        <f>(C81-C79)</f>
        <v>517651</v>
      </c>
      <c r="D82" s="461">
        <f t="shared" ref="D82:K82" si="11">(D81-D79)</f>
        <v>54652</v>
      </c>
      <c r="E82" s="461">
        <f t="shared" si="11"/>
        <v>19035</v>
      </c>
      <c r="F82" s="461">
        <f t="shared" si="11"/>
        <v>6201</v>
      </c>
      <c r="G82" s="461">
        <f t="shared" si="11"/>
        <v>3289</v>
      </c>
      <c r="H82" s="461">
        <f t="shared" si="11"/>
        <v>0</v>
      </c>
      <c r="I82" s="461">
        <f t="shared" si="11"/>
        <v>3856</v>
      </c>
      <c r="J82" s="461">
        <f t="shared" si="11"/>
        <v>82968</v>
      </c>
      <c r="K82" s="461">
        <f t="shared" si="11"/>
        <v>4074</v>
      </c>
    </row>
    <row r="83" spans="1:12" ht="14.25" hidden="1" thickTop="1" thickBot="1" x14ac:dyDescent="0.25">
      <c r="A83" s="462" t="s">
        <v>341</v>
      </c>
      <c r="B83" s="428"/>
      <c r="C83" s="463">
        <f>C82/C81</f>
        <v>0.379844261585356</v>
      </c>
      <c r="D83" s="463">
        <f t="shared" ref="D83:K83" si="12">D82/D81</f>
        <v>0.45228617536309845</v>
      </c>
      <c r="E83" s="463">
        <f t="shared" si="12"/>
        <v>1.1682214312016694</v>
      </c>
      <c r="F83" s="463">
        <f t="shared" si="12"/>
        <v>0.14832444327504962</v>
      </c>
      <c r="G83" s="463">
        <f t="shared" si="12"/>
        <v>1.756531584456645E-2</v>
      </c>
      <c r="H83" s="463" t="e">
        <f t="shared" si="12"/>
        <v>#DIV/0!</v>
      </c>
      <c r="I83" s="463">
        <f t="shared" si="12"/>
        <v>0.34048565121412805</v>
      </c>
      <c r="J83" s="463">
        <f t="shared" si="12"/>
        <v>0.6695125198712103</v>
      </c>
      <c r="K83" s="463">
        <f t="shared" si="12"/>
        <v>0.41956745623069003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9" activePane="bottomLeft" state="frozen"/>
      <selection pane="bottomLeft" activeCell="C264" sqref="C26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200774</v>
      </c>
      <c r="D5" s="1586">
        <v>38700</v>
      </c>
      <c r="E5" s="1573">
        <v>67460</v>
      </c>
      <c r="F5" s="1631">
        <v>16511</v>
      </c>
      <c r="G5" s="1573">
        <v>62555</v>
      </c>
      <c r="H5" s="1573"/>
      <c r="I5" s="1573">
        <v>3856</v>
      </c>
      <c r="J5" s="1574">
        <v>115433</v>
      </c>
      <c r="K5" s="1573">
        <v>4074</v>
      </c>
    </row>
    <row r="6" spans="1:12" ht="15" x14ac:dyDescent="0.2">
      <c r="A6" s="427" t="s">
        <v>1643</v>
      </c>
      <c r="B6" s="429">
        <v>1130</v>
      </c>
      <c r="C6" s="1573">
        <v>4074</v>
      </c>
      <c r="D6" s="1573"/>
      <c r="E6" s="1580"/>
      <c r="F6" s="1580"/>
      <c r="G6" s="1575"/>
      <c r="H6" s="1575"/>
      <c r="I6" s="1575"/>
      <c r="J6" s="1575"/>
      <c r="K6" s="1575"/>
    </row>
    <row r="7" spans="1:12" x14ac:dyDescent="0.2">
      <c r="A7" s="427" t="s">
        <v>110</v>
      </c>
      <c r="B7" s="471">
        <v>1140</v>
      </c>
      <c r="C7" s="1573">
        <v>3259</v>
      </c>
      <c r="D7" s="1573"/>
      <c r="E7" s="1575"/>
      <c r="F7" s="1574"/>
      <c r="G7" s="1574"/>
      <c r="H7" s="1574"/>
      <c r="I7" s="1575"/>
      <c r="J7" s="1575"/>
      <c r="K7" s="1575"/>
    </row>
    <row r="8" spans="1:12" x14ac:dyDescent="0.2">
      <c r="A8" s="427" t="s">
        <v>410</v>
      </c>
      <c r="B8" s="429">
        <v>1150</v>
      </c>
      <c r="C8" s="1580"/>
      <c r="D8" s="1580"/>
      <c r="E8" s="1582"/>
      <c r="F8" s="1582"/>
      <c r="G8" s="1586">
        <v>62555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208107</v>
      </c>
      <c r="D12" s="1633">
        <f t="shared" si="0"/>
        <v>38700</v>
      </c>
      <c r="E12" s="1633">
        <f t="shared" si="0"/>
        <v>67460</v>
      </c>
      <c r="F12" s="1633">
        <f t="shared" si="0"/>
        <v>16511</v>
      </c>
      <c r="G12" s="1633">
        <f t="shared" si="0"/>
        <v>125110</v>
      </c>
      <c r="H12" s="1633">
        <f t="shared" si="0"/>
        <v>0</v>
      </c>
      <c r="I12" s="1633">
        <f t="shared" si="0"/>
        <v>3856</v>
      </c>
      <c r="J12" s="1633">
        <f t="shared" si="0"/>
        <v>115433</v>
      </c>
      <c r="K12" s="1594">
        <f t="shared" si="0"/>
        <v>4074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88475</v>
      </c>
      <c r="D16" s="1573"/>
      <c r="E16" s="1573"/>
      <c r="F16" s="1573"/>
      <c r="G16" s="1573">
        <v>722</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88475</v>
      </c>
      <c r="D18" s="1635">
        <f t="shared" ref="D18:K18" si="1">SUM(D14:D17)</f>
        <v>0</v>
      </c>
      <c r="E18" s="1635">
        <f t="shared" si="1"/>
        <v>0</v>
      </c>
      <c r="F18" s="1635">
        <f t="shared" si="1"/>
        <v>0</v>
      </c>
      <c r="G18" s="1635">
        <f t="shared" si="1"/>
        <v>722</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8768</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8768</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281</v>
      </c>
      <c r="D73" s="1575"/>
      <c r="E73" s="1575"/>
      <c r="F73" s="1575"/>
      <c r="G73" s="1575"/>
      <c r="H73" s="1575"/>
      <c r="I73" s="1575"/>
      <c r="J73" s="1575"/>
      <c r="K73" s="1575"/>
    </row>
    <row r="74" spans="1:11" ht="12.75" customHeight="1" x14ac:dyDescent="0.2">
      <c r="A74" s="427" t="s">
        <v>25</v>
      </c>
      <c r="B74" s="429">
        <v>1690</v>
      </c>
      <c r="C74" s="1632">
        <v>506</v>
      </c>
      <c r="D74" s="1575"/>
      <c r="E74" s="1575"/>
      <c r="F74" s="1575"/>
      <c r="G74" s="1575"/>
      <c r="H74" s="1575"/>
      <c r="I74" s="1575"/>
      <c r="J74" s="1575"/>
      <c r="K74" s="1575"/>
    </row>
    <row r="75" spans="1:11" ht="12.75" customHeight="1" thickBot="1" x14ac:dyDescent="0.25">
      <c r="A75" s="1406" t="s">
        <v>544</v>
      </c>
      <c r="B75" s="1407"/>
      <c r="C75" s="1594">
        <f>SUM(C69:C74)</f>
        <v>787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7578</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2892</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10470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12555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12555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f>36000+5000</f>
        <v>41000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12811</v>
      </c>
      <c r="D98" s="1573"/>
      <c r="E98" s="1612"/>
      <c r="F98" s="1573"/>
      <c r="G98" s="1612"/>
      <c r="H98" s="1612"/>
      <c r="I98" s="1610"/>
      <c r="J98" s="1612"/>
      <c r="K98" s="1612"/>
    </row>
    <row r="99" spans="1:12" ht="12.75" customHeight="1" x14ac:dyDescent="0.2">
      <c r="A99" s="427" t="s">
        <v>816</v>
      </c>
      <c r="B99" s="429">
        <v>1950</v>
      </c>
      <c r="C99" s="1598">
        <v>3259</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f>14978+20230</f>
        <v>35208</v>
      </c>
      <c r="D107" s="1573"/>
      <c r="E107" s="1573"/>
      <c r="F107" s="1573"/>
      <c r="G107" s="1573"/>
      <c r="H107" s="1573"/>
      <c r="I107" s="1573"/>
      <c r="J107" s="1574"/>
      <c r="K107" s="1573"/>
    </row>
    <row r="108" spans="1:12" ht="12.75" customHeight="1" thickBot="1" x14ac:dyDescent="0.25">
      <c r="A108" s="1406" t="s">
        <v>484</v>
      </c>
      <c r="B108" s="1408"/>
      <c r="C108" s="1633">
        <f>SUM(C95:C107)</f>
        <v>92278</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421440</v>
      </c>
      <c r="D109" s="1641">
        <f t="shared" si="4"/>
        <v>38700</v>
      </c>
      <c r="E109" s="1641">
        <f t="shared" si="4"/>
        <v>67460</v>
      </c>
      <c r="F109" s="1641">
        <f t="shared" si="4"/>
        <v>16511</v>
      </c>
      <c r="G109" s="1641">
        <f t="shared" si="4"/>
        <v>125832</v>
      </c>
      <c r="H109" s="1641">
        <f t="shared" si="4"/>
        <v>0</v>
      </c>
      <c r="I109" s="1641">
        <f t="shared" si="4"/>
        <v>3856</v>
      </c>
      <c r="J109" s="1641">
        <f t="shared" si="4"/>
        <v>115433</v>
      </c>
      <c r="K109" s="1629">
        <f t="shared" si="4"/>
        <v>4074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2829903</v>
      </c>
      <c r="D117" s="1586">
        <v>300150</v>
      </c>
      <c r="E117" s="1573">
        <v>21600</v>
      </c>
      <c r="F117" s="1586">
        <v>40000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2829903</v>
      </c>
      <c r="D122" s="1633">
        <f t="shared" si="5"/>
        <v>300150</v>
      </c>
      <c r="E122" s="1633">
        <f t="shared" si="5"/>
        <v>21600</v>
      </c>
      <c r="F122" s="1633">
        <f t="shared" si="5"/>
        <v>40000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33317</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33317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4284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4120</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87786</v>
      </c>
      <c r="G152" s="1574"/>
      <c r="H152" s="1575"/>
      <c r="I152" s="1575"/>
      <c r="J152" s="1575"/>
      <c r="K152" s="1575"/>
    </row>
    <row r="153" spans="1:11" ht="12.75" customHeight="1" x14ac:dyDescent="0.2">
      <c r="A153" s="427" t="s">
        <v>1048</v>
      </c>
      <c r="B153" s="478">
        <v>3510</v>
      </c>
      <c r="C153" s="1632"/>
      <c r="D153" s="1573"/>
      <c r="E153" s="1640"/>
      <c r="F153" s="1573">
        <v>25719</v>
      </c>
      <c r="G153" s="1574"/>
      <c r="H153" s="1575"/>
      <c r="I153" s="1575"/>
      <c r="J153" s="1575"/>
      <c r="K153" s="1575"/>
    </row>
    <row r="154" spans="1:11" ht="12.75" customHeight="1" x14ac:dyDescent="0.2">
      <c r="A154" s="427" t="s">
        <v>69</v>
      </c>
      <c r="B154" s="478">
        <v>3599</v>
      </c>
      <c r="C154" s="1632"/>
      <c r="D154" s="1573"/>
      <c r="E154" s="1640"/>
      <c r="F154" s="1573">
        <v>9550</v>
      </c>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123055</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148450</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190171</v>
      </c>
      <c r="D169" s="1658">
        <f t="shared" si="6"/>
        <v>50000</v>
      </c>
      <c r="E169" s="1658">
        <f t="shared" si="6"/>
        <v>0</v>
      </c>
      <c r="F169" s="1658">
        <f t="shared" si="6"/>
        <v>123055</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3020074</v>
      </c>
      <c r="D170" s="1641">
        <f t="shared" si="7"/>
        <v>350150</v>
      </c>
      <c r="E170" s="1641">
        <f t="shared" si="7"/>
        <v>21600</v>
      </c>
      <c r="F170" s="1641">
        <f t="shared" si="7"/>
        <v>163055</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134971</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84449</v>
      </c>
      <c r="D193" s="1575"/>
      <c r="E193" s="1640"/>
      <c r="F193" s="1575"/>
      <c r="G193" s="1664"/>
      <c r="H193" s="1575"/>
      <c r="I193" s="1575"/>
      <c r="J193" s="1575"/>
      <c r="K193" s="1575"/>
    </row>
    <row r="194" spans="1:11" ht="12.75" customHeight="1" x14ac:dyDescent="0.2">
      <c r="A194" s="427" t="s">
        <v>1434</v>
      </c>
      <c r="B194" s="429">
        <v>4225</v>
      </c>
      <c r="C194" s="1632">
        <v>130419</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349839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93189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93189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v>1334</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1334</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v>14830</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18405</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65520</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543117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543117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3984631</v>
      </c>
      <c r="D268" s="1641">
        <f t="shared" si="12"/>
        <v>388850</v>
      </c>
      <c r="E268" s="1641">
        <f t="shared" si="12"/>
        <v>89060</v>
      </c>
      <c r="F268" s="1641">
        <f t="shared" si="12"/>
        <v>179566</v>
      </c>
      <c r="G268" s="1641">
        <f t="shared" si="12"/>
        <v>125832</v>
      </c>
      <c r="H268" s="1641">
        <f t="shared" si="12"/>
        <v>0</v>
      </c>
      <c r="I268" s="1641">
        <f t="shared" si="12"/>
        <v>3856</v>
      </c>
      <c r="J268" s="1641">
        <f t="shared" si="12"/>
        <v>115433</v>
      </c>
      <c r="K268" s="1629">
        <f t="shared" si="12"/>
        <v>4074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8" activePane="bottomLeft" state="frozen"/>
      <selection pane="bottomLeft" activeCell="C50" sqref="C5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1194912</v>
      </c>
      <c r="D5" s="1573">
        <v>182134</v>
      </c>
      <c r="E5" s="1573">
        <v>14711</v>
      </c>
      <c r="F5" s="1573">
        <v>35922</v>
      </c>
      <c r="G5" s="1573"/>
      <c r="H5" s="1573">
        <v>6514</v>
      </c>
      <c r="I5" s="1574"/>
      <c r="J5" s="1574"/>
      <c r="K5" s="1672">
        <f>SUM(C5:J5)</f>
        <v>1434193</v>
      </c>
      <c r="L5" s="1573">
        <v>1368497</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69588</v>
      </c>
      <c r="D7" s="1574">
        <v>7707</v>
      </c>
      <c r="E7" s="1574"/>
      <c r="F7" s="1574"/>
      <c r="G7" s="1574"/>
      <c r="H7" s="1574"/>
      <c r="I7" s="1574"/>
      <c r="J7" s="1574"/>
      <c r="K7" s="1672">
        <f t="shared" ref="K7:K32" si="0">SUM(C7:J7)</f>
        <v>77295</v>
      </c>
      <c r="L7" s="1573">
        <v>111829</v>
      </c>
    </row>
    <row r="8" spans="1:14" x14ac:dyDescent="0.2">
      <c r="A8" s="1274" t="s">
        <v>163</v>
      </c>
      <c r="B8" s="503">
        <v>1200</v>
      </c>
      <c r="C8" s="1573">
        <v>273032</v>
      </c>
      <c r="D8" s="1573">
        <v>22292</v>
      </c>
      <c r="E8" s="1573">
        <v>5329</v>
      </c>
      <c r="F8" s="1573">
        <v>7170</v>
      </c>
      <c r="G8" s="1573"/>
      <c r="H8" s="1573"/>
      <c r="I8" s="1574"/>
      <c r="J8" s="1574"/>
      <c r="K8" s="1672">
        <f t="shared" si="0"/>
        <v>307823</v>
      </c>
      <c r="L8" s="1573">
        <v>399342</v>
      </c>
    </row>
    <row r="9" spans="1:14" x14ac:dyDescent="0.2">
      <c r="A9" s="1274" t="s">
        <v>716</v>
      </c>
      <c r="B9" s="503" t="s">
        <v>962</v>
      </c>
      <c r="C9" s="1574">
        <v>5769</v>
      </c>
      <c r="D9" s="1574">
        <v>797</v>
      </c>
      <c r="E9" s="1574"/>
      <c r="F9" s="1574"/>
      <c r="G9" s="1574"/>
      <c r="H9" s="1574"/>
      <c r="I9" s="1574"/>
      <c r="J9" s="1574"/>
      <c r="K9" s="1672">
        <f t="shared" si="0"/>
        <v>6566</v>
      </c>
      <c r="L9" s="1573"/>
    </row>
    <row r="10" spans="1:14" x14ac:dyDescent="0.2">
      <c r="A10" s="1274" t="s">
        <v>717</v>
      </c>
      <c r="B10" s="503">
        <v>1250</v>
      </c>
      <c r="C10" s="1573">
        <v>67227</v>
      </c>
      <c r="D10" s="1573">
        <v>8121</v>
      </c>
      <c r="E10" s="1573">
        <v>17138</v>
      </c>
      <c r="F10" s="1573">
        <v>17755</v>
      </c>
      <c r="G10" s="1573"/>
      <c r="H10" s="1573"/>
      <c r="I10" s="1574"/>
      <c r="J10" s="1574"/>
      <c r="K10" s="1672">
        <f t="shared" si="0"/>
        <v>110241</v>
      </c>
      <c r="L10" s="1573">
        <v>143956</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52453</v>
      </c>
      <c r="D14" s="1573">
        <v>3258</v>
      </c>
      <c r="E14" s="1573">
        <v>8992</v>
      </c>
      <c r="F14" s="1573">
        <v>6659</v>
      </c>
      <c r="G14" s="1573"/>
      <c r="H14" s="1573">
        <v>1765</v>
      </c>
      <c r="I14" s="1574"/>
      <c r="J14" s="1574"/>
      <c r="K14" s="1672">
        <f t="shared" si="0"/>
        <v>73127</v>
      </c>
      <c r="L14" s="1573">
        <v>68702</v>
      </c>
    </row>
    <row r="15" spans="1:14" x14ac:dyDescent="0.2">
      <c r="A15" s="1274" t="s">
        <v>958</v>
      </c>
      <c r="B15" s="503">
        <v>1600</v>
      </c>
      <c r="C15" s="1573"/>
      <c r="D15" s="1573"/>
      <c r="E15" s="1573"/>
      <c r="F15" s="1573"/>
      <c r="G15" s="1573"/>
      <c r="H15" s="1573"/>
      <c r="I15" s="1574"/>
      <c r="J15" s="1574"/>
      <c r="K15" s="1672">
        <f t="shared" si="0"/>
        <v>0</v>
      </c>
      <c r="L15" s="1573">
        <v>14400</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4501</v>
      </c>
      <c r="D17" s="1574">
        <v>710</v>
      </c>
      <c r="E17" s="1574"/>
      <c r="F17" s="1574"/>
      <c r="G17" s="1574"/>
      <c r="H17" s="1574">
        <v>357</v>
      </c>
      <c r="I17" s="1574"/>
      <c r="J17" s="1574"/>
      <c r="K17" s="1672">
        <f t="shared" si="0"/>
        <v>5568</v>
      </c>
      <c r="L17" s="1573">
        <v>3845</v>
      </c>
    </row>
    <row r="18" spans="1:12" x14ac:dyDescent="0.2">
      <c r="A18" s="1274" t="s">
        <v>1078</v>
      </c>
      <c r="B18" s="503">
        <v>1800</v>
      </c>
      <c r="C18" s="1573">
        <v>168670</v>
      </c>
      <c r="D18" s="1573">
        <v>25564</v>
      </c>
      <c r="E18" s="1573"/>
      <c r="F18" s="1573">
        <v>2327</v>
      </c>
      <c r="G18" s="1573"/>
      <c r="H18" s="1573"/>
      <c r="I18" s="1574"/>
      <c r="J18" s="1574"/>
      <c r="K18" s="1672">
        <f t="shared" si="0"/>
        <v>196561</v>
      </c>
      <c r="L18" s="1573">
        <v>186100</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79708</v>
      </c>
      <c r="I22" s="1673"/>
      <c r="J22" s="1582"/>
      <c r="K22" s="1672">
        <f t="shared" si="0"/>
        <v>79708</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1836152</v>
      </c>
      <c r="D33" s="1674">
        <f t="shared" ref="D33:L33" si="1">SUM(D5:D32)</f>
        <v>250583</v>
      </c>
      <c r="E33" s="1674">
        <f t="shared" si="1"/>
        <v>46170</v>
      </c>
      <c r="F33" s="1674">
        <f t="shared" si="1"/>
        <v>69833</v>
      </c>
      <c r="G33" s="1674">
        <f t="shared" si="1"/>
        <v>0</v>
      </c>
      <c r="H33" s="1674">
        <f t="shared" si="1"/>
        <v>88344</v>
      </c>
      <c r="I33" s="1674">
        <f t="shared" si="1"/>
        <v>0</v>
      </c>
      <c r="J33" s="1674">
        <f t="shared" si="1"/>
        <v>0</v>
      </c>
      <c r="K33" s="1674">
        <f t="shared" si="1"/>
        <v>2291082</v>
      </c>
      <c r="L33" s="1674">
        <f t="shared" si="1"/>
        <v>2296671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v>125</v>
      </c>
    </row>
    <row r="37" spans="1:14" x14ac:dyDescent="0.2">
      <c r="A37" s="1274" t="s">
        <v>1081</v>
      </c>
      <c r="B37" s="503">
        <v>2120</v>
      </c>
      <c r="C37" s="1573">
        <v>66949</v>
      </c>
      <c r="D37" s="1573">
        <v>9278</v>
      </c>
      <c r="E37" s="1573"/>
      <c r="F37" s="1573">
        <v>398</v>
      </c>
      <c r="G37" s="1573"/>
      <c r="H37" s="1573">
        <v>39</v>
      </c>
      <c r="I37" s="1574"/>
      <c r="J37" s="1574"/>
      <c r="K37" s="1672">
        <f t="shared" si="2"/>
        <v>76664</v>
      </c>
      <c r="L37" s="1573">
        <v>51480</v>
      </c>
    </row>
    <row r="38" spans="1:14" x14ac:dyDescent="0.2">
      <c r="A38" s="1274" t="s">
        <v>196</v>
      </c>
      <c r="B38" s="503">
        <v>2130</v>
      </c>
      <c r="C38" s="1573">
        <v>37039</v>
      </c>
      <c r="D38" s="1573"/>
      <c r="E38" s="1573">
        <v>6979</v>
      </c>
      <c r="F38" s="1573">
        <v>626</v>
      </c>
      <c r="G38" s="1573"/>
      <c r="H38" s="1573"/>
      <c r="I38" s="1574"/>
      <c r="J38" s="1574"/>
      <c r="K38" s="1672">
        <f t="shared" si="2"/>
        <v>44644</v>
      </c>
      <c r="L38" s="1573">
        <v>44425</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v>52646</v>
      </c>
      <c r="F40" s="1573"/>
      <c r="G40" s="1573"/>
      <c r="H40" s="1573"/>
      <c r="I40" s="1574"/>
      <c r="J40" s="1574"/>
      <c r="K40" s="1672">
        <f t="shared" si="2"/>
        <v>52646</v>
      </c>
      <c r="L40" s="1573">
        <v>49000</v>
      </c>
    </row>
    <row r="41" spans="1:14" x14ac:dyDescent="0.2">
      <c r="A41" s="1274" t="s">
        <v>1650</v>
      </c>
      <c r="B41" s="503">
        <v>2190</v>
      </c>
      <c r="C41" s="1573"/>
      <c r="D41" s="1573"/>
      <c r="E41" s="1573"/>
      <c r="F41" s="1573">
        <v>1857</v>
      </c>
      <c r="G41" s="1573"/>
      <c r="H41" s="1573"/>
      <c r="I41" s="1574"/>
      <c r="J41" s="1574"/>
      <c r="K41" s="1672">
        <f t="shared" si="2"/>
        <v>1857</v>
      </c>
      <c r="L41" s="1573">
        <v>62700</v>
      </c>
    </row>
    <row r="42" spans="1:14" ht="12.75" customHeight="1" thickBot="1" x14ac:dyDescent="0.25">
      <c r="A42" s="1380" t="s">
        <v>556</v>
      </c>
      <c r="B42" s="1381" t="s">
        <v>711</v>
      </c>
      <c r="C42" s="1674">
        <f>SUM(C36:C41)</f>
        <v>103988</v>
      </c>
      <c r="D42" s="1674">
        <f t="shared" ref="D42:L42" si="3">SUM(D36:D41)</f>
        <v>9278</v>
      </c>
      <c r="E42" s="1674">
        <f t="shared" si="3"/>
        <v>59625</v>
      </c>
      <c r="F42" s="1674">
        <f t="shared" si="3"/>
        <v>2881</v>
      </c>
      <c r="G42" s="1674">
        <f t="shared" si="3"/>
        <v>0</v>
      </c>
      <c r="H42" s="1674">
        <f t="shared" si="3"/>
        <v>39</v>
      </c>
      <c r="I42" s="1674">
        <f t="shared" si="3"/>
        <v>0</v>
      </c>
      <c r="J42" s="1674">
        <f t="shared" si="3"/>
        <v>0</v>
      </c>
      <c r="K42" s="1674">
        <f t="shared" si="3"/>
        <v>175811</v>
      </c>
      <c r="L42" s="1674">
        <f t="shared" si="3"/>
        <v>207730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30769</v>
      </c>
      <c r="D44" s="1586">
        <v>4065</v>
      </c>
      <c r="E44" s="1586">
        <v>5842</v>
      </c>
      <c r="F44" s="1586">
        <v>160</v>
      </c>
      <c r="G44" s="1586"/>
      <c r="H44" s="1586"/>
      <c r="I44" s="1574"/>
      <c r="J44" s="1574"/>
      <c r="K44" s="1678">
        <f>SUM(C44:J44)</f>
        <v>40836</v>
      </c>
      <c r="L44" s="1586">
        <v>21425</v>
      </c>
    </row>
    <row r="45" spans="1:14" x14ac:dyDescent="0.2">
      <c r="A45" s="1274" t="s">
        <v>810</v>
      </c>
      <c r="B45" s="503">
        <v>2220</v>
      </c>
      <c r="C45" s="1573">
        <v>54814</v>
      </c>
      <c r="D45" s="1573">
        <v>7006</v>
      </c>
      <c r="E45" s="1573">
        <f>745+7141</f>
        <v>7886</v>
      </c>
      <c r="F45" s="1573">
        <f>27032-649</f>
        <v>26383</v>
      </c>
      <c r="G45" s="1573"/>
      <c r="H45" s="1573"/>
      <c r="I45" s="1574"/>
      <c r="J45" s="1574"/>
      <c r="K45" s="1678">
        <f>SUM(C45:J45)</f>
        <v>96089</v>
      </c>
      <c r="L45" s="1573">
        <v>79100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85583</v>
      </c>
      <c r="D47" s="1674">
        <f t="shared" ref="D47:K47" si="4">SUM(D44:D46)</f>
        <v>11071</v>
      </c>
      <c r="E47" s="1674">
        <f t="shared" si="4"/>
        <v>13728</v>
      </c>
      <c r="F47" s="1674">
        <f t="shared" si="4"/>
        <v>26543</v>
      </c>
      <c r="G47" s="1674">
        <f t="shared" si="4"/>
        <v>0</v>
      </c>
      <c r="H47" s="1674">
        <f t="shared" si="4"/>
        <v>0</v>
      </c>
      <c r="I47" s="1674">
        <f t="shared" si="4"/>
        <v>0</v>
      </c>
      <c r="J47" s="1674">
        <f t="shared" si="4"/>
        <v>0</v>
      </c>
      <c r="K47" s="1674">
        <f t="shared" si="4"/>
        <v>136925</v>
      </c>
      <c r="L47" s="1674">
        <f>SUM(L44:L46)</f>
        <v>100525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2433</v>
      </c>
      <c r="D49" s="1586">
        <v>462</v>
      </c>
      <c r="E49" s="1586">
        <v>19566</v>
      </c>
      <c r="F49" s="1586">
        <v>861</v>
      </c>
      <c r="G49" s="1586"/>
      <c r="H49" s="1586">
        <v>4378</v>
      </c>
      <c r="I49" s="1574"/>
      <c r="J49" s="1574"/>
      <c r="K49" s="1678">
        <f>SUM(C49:J49)</f>
        <v>27700</v>
      </c>
      <c r="L49" s="1586">
        <v>31165</v>
      </c>
    </row>
    <row r="50" spans="1:14" x14ac:dyDescent="0.2">
      <c r="A50" s="1274" t="s">
        <v>813</v>
      </c>
      <c r="B50" s="503">
        <v>2320</v>
      </c>
      <c r="C50" s="1573">
        <v>128330</v>
      </c>
      <c r="D50" s="1573">
        <v>4898</v>
      </c>
      <c r="E50" s="1573">
        <v>2148</v>
      </c>
      <c r="F50" s="1573">
        <v>1222</v>
      </c>
      <c r="G50" s="1573"/>
      <c r="H50" s="1573">
        <v>3520</v>
      </c>
      <c r="I50" s="1574"/>
      <c r="J50" s="1574"/>
      <c r="K50" s="1678">
        <f>SUM(C50:J50)</f>
        <v>140118</v>
      </c>
      <c r="L50" s="1573">
        <v>136200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130763</v>
      </c>
      <c r="D53" s="1674">
        <f t="shared" ref="D53:L53" si="5">SUM(D49:D52)</f>
        <v>5360</v>
      </c>
      <c r="E53" s="1674">
        <f t="shared" si="5"/>
        <v>21714</v>
      </c>
      <c r="F53" s="1674">
        <f t="shared" si="5"/>
        <v>2083</v>
      </c>
      <c r="G53" s="1674">
        <f t="shared" si="5"/>
        <v>0</v>
      </c>
      <c r="H53" s="1674">
        <f t="shared" si="5"/>
        <v>7898</v>
      </c>
      <c r="I53" s="1674">
        <f t="shared" si="5"/>
        <v>0</v>
      </c>
      <c r="J53" s="1674">
        <f t="shared" si="5"/>
        <v>0</v>
      </c>
      <c r="K53" s="1674">
        <f t="shared" si="5"/>
        <v>167818</v>
      </c>
      <c r="L53" s="1674">
        <f t="shared" si="5"/>
        <v>167365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144117</v>
      </c>
      <c r="D55" s="1586">
        <v>15627</v>
      </c>
      <c r="E55" s="1586">
        <v>1855</v>
      </c>
      <c r="F55" s="1586">
        <v>1531</v>
      </c>
      <c r="G55" s="1586"/>
      <c r="H55" s="1586">
        <v>3893</v>
      </c>
      <c r="I55" s="1574"/>
      <c r="J55" s="1574"/>
      <c r="K55" s="1678">
        <f>SUM(C55:J55)</f>
        <v>167023</v>
      </c>
      <c r="L55" s="1586">
        <v>140900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144117</v>
      </c>
      <c r="D57" s="1679">
        <f t="shared" ref="D57:K57" si="6">SUM(D55:D56)</f>
        <v>15627</v>
      </c>
      <c r="E57" s="1679">
        <f t="shared" si="6"/>
        <v>1855</v>
      </c>
      <c r="F57" s="1679">
        <f t="shared" si="6"/>
        <v>1531</v>
      </c>
      <c r="G57" s="1679">
        <f t="shared" si="6"/>
        <v>0</v>
      </c>
      <c r="H57" s="1679">
        <f t="shared" si="6"/>
        <v>3893</v>
      </c>
      <c r="I57" s="1679">
        <f t="shared" si="6"/>
        <v>0</v>
      </c>
      <c r="J57" s="1679">
        <f t="shared" si="6"/>
        <v>0</v>
      </c>
      <c r="K57" s="1679">
        <f t="shared" si="6"/>
        <v>167023</v>
      </c>
      <c r="L57" s="1674">
        <f>SUM(L55:L56)</f>
        <v>140900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58901</v>
      </c>
      <c r="D60" s="1573">
        <v>11093</v>
      </c>
      <c r="E60" s="1573">
        <v>4662</v>
      </c>
      <c r="F60" s="1573">
        <v>536</v>
      </c>
      <c r="G60" s="1573"/>
      <c r="H60" s="1573"/>
      <c r="I60" s="1574"/>
      <c r="J60" s="1574"/>
      <c r="K60" s="1678">
        <f t="shared" si="7"/>
        <v>75192</v>
      </c>
      <c r="L60" s="1573">
        <v>57800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57329</v>
      </c>
      <c r="D63" s="1573"/>
      <c r="E63" s="1573"/>
      <c r="F63" s="1573">
        <v>136805</v>
      </c>
      <c r="G63" s="1573">
        <v>4350</v>
      </c>
      <c r="H63" s="1573">
        <v>371</v>
      </c>
      <c r="I63" s="1574"/>
      <c r="J63" s="1574"/>
      <c r="K63" s="1678">
        <f t="shared" si="7"/>
        <v>198855</v>
      </c>
      <c r="L63" s="1573">
        <v>196320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116230</v>
      </c>
      <c r="D65" s="1674">
        <f t="shared" ref="D65:L65" si="8">SUM(D59:D64)</f>
        <v>11093</v>
      </c>
      <c r="E65" s="1674">
        <f t="shared" si="8"/>
        <v>4662</v>
      </c>
      <c r="F65" s="1674">
        <f t="shared" si="8"/>
        <v>137341</v>
      </c>
      <c r="G65" s="1674">
        <f t="shared" si="8"/>
        <v>4350</v>
      </c>
      <c r="H65" s="1674">
        <f t="shared" si="8"/>
        <v>371</v>
      </c>
      <c r="I65" s="1674">
        <f t="shared" si="8"/>
        <v>0</v>
      </c>
      <c r="J65" s="1674">
        <f t="shared" si="8"/>
        <v>0</v>
      </c>
      <c r="K65" s="1674">
        <f t="shared" si="8"/>
        <v>274047</v>
      </c>
      <c r="L65" s="1674">
        <f t="shared" si="8"/>
        <v>254120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580681</v>
      </c>
      <c r="D74" s="1681">
        <f t="shared" ref="D74:K74" si="10">SUM(D42,D47,D53,D57,D65,D72,D73)</f>
        <v>52429</v>
      </c>
      <c r="E74" s="1681">
        <f t="shared" si="10"/>
        <v>101584</v>
      </c>
      <c r="F74" s="1681">
        <f t="shared" si="10"/>
        <v>170379</v>
      </c>
      <c r="G74" s="1681">
        <f t="shared" si="10"/>
        <v>4350</v>
      </c>
      <c r="H74" s="1681">
        <f t="shared" si="10"/>
        <v>12201</v>
      </c>
      <c r="I74" s="1681">
        <f t="shared" si="10"/>
        <v>0</v>
      </c>
      <c r="J74" s="1681">
        <f t="shared" si="10"/>
        <v>0</v>
      </c>
      <c r="K74" s="1681">
        <f t="shared" si="10"/>
        <v>921624</v>
      </c>
      <c r="L74" s="1681">
        <f>SUM(L42,L47,L53,L57,L65,L72,L73)</f>
        <v>870640</v>
      </c>
    </row>
    <row r="75" spans="1:14" s="254" customFormat="1" ht="15.75" customHeight="1" thickTop="1" thickBot="1" x14ac:dyDescent="0.25">
      <c r="A75" s="1348" t="s">
        <v>47</v>
      </c>
      <c r="B75" s="1349" t="s">
        <v>571</v>
      </c>
      <c r="C75" s="1649">
        <f>9405+12384</f>
        <v>21789</v>
      </c>
      <c r="D75" s="1649">
        <v>2079</v>
      </c>
      <c r="E75" s="1649">
        <v>1362</v>
      </c>
      <c r="F75" s="1649">
        <v>288</v>
      </c>
      <c r="G75" s="1649"/>
      <c r="H75" s="1649"/>
      <c r="I75" s="1627"/>
      <c r="J75" s="1627"/>
      <c r="K75" s="1674">
        <f>SUM(C75:J75)</f>
        <v>25518</v>
      </c>
      <c r="L75" s="1651">
        <v>138</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45216</v>
      </c>
      <c r="F79" s="1673"/>
      <c r="G79" s="1673"/>
      <c r="H79" s="1573">
        <v>1669</v>
      </c>
      <c r="I79" s="1582"/>
      <c r="J79" s="1582"/>
      <c r="K79" s="1672">
        <f t="shared" si="11"/>
        <v>46885</v>
      </c>
      <c r="L79" s="1573">
        <v>296500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v>3000</v>
      </c>
    </row>
    <row r="84" spans="1:12" ht="13.5" thickBot="1" x14ac:dyDescent="0.25">
      <c r="A84" s="1380" t="s">
        <v>1468</v>
      </c>
      <c r="B84" s="1385">
        <v>4100</v>
      </c>
      <c r="C84" s="1673"/>
      <c r="D84" s="1673"/>
      <c r="E84" s="1674">
        <f>SUM(E78:E83)</f>
        <v>45216</v>
      </c>
      <c r="F84" s="1673"/>
      <c r="G84" s="1673"/>
      <c r="H84" s="1674">
        <f>SUM(H78:H83)</f>
        <v>1669</v>
      </c>
      <c r="I84" s="1582"/>
      <c r="J84" s="1582"/>
      <c r="K84" s="1674">
        <f>SUM(K78:K83)</f>
        <v>46885</v>
      </c>
      <c r="L84" s="1674">
        <f>SUM(L78:L83)</f>
        <v>299500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107879</v>
      </c>
      <c r="I86" s="1582"/>
      <c r="J86" s="1582"/>
      <c r="K86" s="1681">
        <f t="shared" ref="K86:K98" si="12">H86</f>
        <v>107879</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v>69750</v>
      </c>
      <c r="I88" s="1582"/>
      <c r="J88" s="1582"/>
      <c r="K88" s="1681">
        <f t="shared" si="12"/>
        <v>69750</v>
      </c>
      <c r="L88" s="1626">
        <v>81000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177629</v>
      </c>
      <c r="I92" s="1582"/>
      <c r="J92" s="1582"/>
      <c r="K92" s="1681">
        <f t="shared" si="12"/>
        <v>177629</v>
      </c>
      <c r="L92" s="1674">
        <f>SUM(L85:L91)</f>
        <v>81000</v>
      </c>
    </row>
    <row r="93" spans="1:12" ht="14.25" thickTop="1" thickBot="1" x14ac:dyDescent="0.25">
      <c r="A93" s="1282" t="s">
        <v>683</v>
      </c>
      <c r="B93" s="520">
        <v>4310</v>
      </c>
      <c r="C93" s="1673"/>
      <c r="D93" s="1673"/>
      <c r="E93" s="1684"/>
      <c r="F93" s="1673"/>
      <c r="G93" s="1673"/>
      <c r="H93" s="1685">
        <v>4242</v>
      </c>
      <c r="I93" s="1582"/>
      <c r="J93" s="1582"/>
      <c r="K93" s="1681">
        <f t="shared" si="12"/>
        <v>4242</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4242</v>
      </c>
      <c r="I100" s="1582"/>
      <c r="J100" s="1582"/>
      <c r="K100" s="1681">
        <f>SUM(K93:K99)</f>
        <v>4242</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45216</v>
      </c>
      <c r="F102" s="1673"/>
      <c r="G102" s="1673"/>
      <c r="H102" s="1681">
        <f>SUM(H84,H92,H100,H101)</f>
        <v>183540</v>
      </c>
      <c r="I102" s="1582"/>
      <c r="J102" s="1582"/>
      <c r="K102" s="1681">
        <f>SUM(K84,K92,K100,K101)</f>
        <v>228756</v>
      </c>
      <c r="L102" s="1681">
        <f>SUM(L84,L92,L100,L101)</f>
        <v>380500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2438622</v>
      </c>
      <c r="D114" s="1674">
        <f t="shared" ref="D114:K114" si="13">SUM(D33,D74,D75,D102,D112,D113)</f>
        <v>305091</v>
      </c>
      <c r="E114" s="1674">
        <f t="shared" si="13"/>
        <v>194332</v>
      </c>
      <c r="F114" s="1674">
        <f t="shared" si="13"/>
        <v>240500</v>
      </c>
      <c r="G114" s="1674">
        <f t="shared" si="13"/>
        <v>4350</v>
      </c>
      <c r="H114" s="1674">
        <f>SUM(H33,H74,H75,H102,H112,H113)</f>
        <v>284085</v>
      </c>
      <c r="I114" s="1674">
        <f t="shared" si="13"/>
        <v>0</v>
      </c>
      <c r="J114" s="1674">
        <f t="shared" si="13"/>
        <v>0</v>
      </c>
      <c r="K114" s="1674">
        <f t="shared" si="13"/>
        <v>3466980</v>
      </c>
      <c r="L114" s="1674">
        <f>SUM(L33,L74,L75,L102,L112,L113)</f>
        <v>3547949</v>
      </c>
    </row>
    <row r="115" spans="1:14" ht="13.5" thickTop="1" x14ac:dyDescent="0.2">
      <c r="A115" s="2286" t="s">
        <v>989</v>
      </c>
      <c r="B115" s="2287"/>
      <c r="C115" s="1675"/>
      <c r="D115" s="1675"/>
      <c r="E115" s="1675"/>
      <c r="F115" s="1675"/>
      <c r="G115" s="1675"/>
      <c r="H115" s="1675"/>
      <c r="I115" s="1675"/>
      <c r="J115" s="1675"/>
      <c r="K115" s="1689">
        <f>'Revenues 9-14'!C268-'Expenditures 15-22'!K114</f>
        <v>517651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151189</v>
      </c>
      <c r="D124" s="1573">
        <v>21475</v>
      </c>
      <c r="E124" s="1573">
        <f>42167+4018+4076+79+17063+1887</f>
        <v>69290</v>
      </c>
      <c r="F124" s="1573">
        <f>17641+467+30181+22255</f>
        <v>70544</v>
      </c>
      <c r="G124" s="1573">
        <v>21700</v>
      </c>
      <c r="H124" s="1573"/>
      <c r="I124" s="1574"/>
      <c r="J124" s="1574"/>
      <c r="K124" s="1674">
        <f>SUM(C124:J124)</f>
        <v>334198</v>
      </c>
      <c r="L124" s="1573">
        <v>361600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151189</v>
      </c>
      <c r="D127" s="1674">
        <f t="shared" ref="D127:L127" si="14">SUM(D122:D126)</f>
        <v>21475</v>
      </c>
      <c r="E127" s="1674">
        <f t="shared" si="14"/>
        <v>69290</v>
      </c>
      <c r="F127" s="1674">
        <f t="shared" si="14"/>
        <v>70544</v>
      </c>
      <c r="G127" s="1674">
        <f t="shared" si="14"/>
        <v>21700</v>
      </c>
      <c r="H127" s="1674">
        <f t="shared" si="14"/>
        <v>0</v>
      </c>
      <c r="I127" s="1674">
        <f t="shared" si="14"/>
        <v>0</v>
      </c>
      <c r="J127" s="1674">
        <f t="shared" si="14"/>
        <v>0</v>
      </c>
      <c r="K127" s="1674">
        <f t="shared" si="14"/>
        <v>334198</v>
      </c>
      <c r="L127" s="1674">
        <f t="shared" si="14"/>
        <v>361600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151189</v>
      </c>
      <c r="D129" s="1681">
        <f t="shared" ref="D129:L129" si="15">SUM(D120,D127,D128)</f>
        <v>21475</v>
      </c>
      <c r="E129" s="1681">
        <f t="shared" si="15"/>
        <v>69290</v>
      </c>
      <c r="F129" s="1681">
        <f t="shared" si="15"/>
        <v>70544</v>
      </c>
      <c r="G129" s="1681">
        <f t="shared" si="15"/>
        <v>21700</v>
      </c>
      <c r="H129" s="1681">
        <f t="shared" si="15"/>
        <v>0</v>
      </c>
      <c r="I129" s="1681">
        <f t="shared" si="15"/>
        <v>0</v>
      </c>
      <c r="J129" s="1681">
        <f t="shared" si="15"/>
        <v>0</v>
      </c>
      <c r="K129" s="1681">
        <f t="shared" si="15"/>
        <v>334198</v>
      </c>
      <c r="L129" s="1681">
        <f t="shared" si="15"/>
        <v>361600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151189</v>
      </c>
      <c r="D151" s="1674">
        <f t="shared" ref="D151:K151" si="16">SUM(D129,D130,D139,D149,D150)</f>
        <v>21475</v>
      </c>
      <c r="E151" s="1674">
        <f t="shared" si="16"/>
        <v>69290</v>
      </c>
      <c r="F151" s="1674">
        <f t="shared" si="16"/>
        <v>70544</v>
      </c>
      <c r="G151" s="1674">
        <f t="shared" si="16"/>
        <v>21700</v>
      </c>
      <c r="H151" s="1674">
        <f t="shared" si="16"/>
        <v>0</v>
      </c>
      <c r="I151" s="1674">
        <f t="shared" si="16"/>
        <v>0</v>
      </c>
      <c r="J151" s="1674">
        <f t="shared" si="16"/>
        <v>0</v>
      </c>
      <c r="K151" s="1674">
        <f t="shared" si="16"/>
        <v>334198</v>
      </c>
      <c r="L151" s="1674">
        <f>SUM(L129,L130,L139,L149,L150)</f>
        <v>361600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54652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5025</v>
      </c>
      <c r="I169" s="1673"/>
      <c r="J169" s="1673"/>
      <c r="K169" s="1672">
        <f>SUM(C169:H169)</f>
        <v>5025</v>
      </c>
      <c r="L169" s="1695"/>
    </row>
    <row r="170" spans="1:14" ht="33.75" customHeight="1" x14ac:dyDescent="0.2">
      <c r="A170" s="543" t="s">
        <v>1651</v>
      </c>
      <c r="B170" s="545" t="s">
        <v>31</v>
      </c>
      <c r="C170" s="1673"/>
      <c r="D170" s="1673"/>
      <c r="E170" s="1673"/>
      <c r="F170" s="1673"/>
      <c r="G170" s="1673"/>
      <c r="H170" s="1646">
        <f>35000+30000</f>
        <v>65000</v>
      </c>
      <c r="I170" s="1673"/>
      <c r="J170" s="1673"/>
      <c r="K170" s="1672">
        <f>SUM(C170:J170)</f>
        <v>65000</v>
      </c>
      <c r="L170" s="1646">
        <v>72000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70025</v>
      </c>
      <c r="I172" s="1684"/>
      <c r="J172" s="1673"/>
      <c r="K172" s="1681">
        <f>SUM(K168,K169,K170,K171)</f>
        <v>70025</v>
      </c>
      <c r="L172" s="1681">
        <f>SUM(L168,L169,L170,L171)</f>
        <v>72000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70025</v>
      </c>
      <c r="I174" s="1684"/>
      <c r="J174" s="1673"/>
      <c r="K174" s="1681">
        <f>SUM(K160,K172,K173)</f>
        <v>70025</v>
      </c>
      <c r="L174" s="1681">
        <f>SUM(L160,L172,L173)</f>
        <v>72000</v>
      </c>
    </row>
    <row r="175" spans="1:14" ht="13.5" thickTop="1" x14ac:dyDescent="0.2">
      <c r="A175" s="2286" t="s">
        <v>989</v>
      </c>
      <c r="B175" s="2287"/>
      <c r="C175" s="1673"/>
      <c r="D175" s="1673"/>
      <c r="E175" s="1673"/>
      <c r="F175" s="1673"/>
      <c r="G175" s="1673"/>
      <c r="H175" s="1675"/>
      <c r="I175" s="1673"/>
      <c r="J175" s="1673"/>
      <c r="K175" s="1689">
        <f>'Revenues 9-14'!E268-'Expenditures 15-22'!K174</f>
        <v>19035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26450</v>
      </c>
      <c r="D182" s="1573">
        <v>1745</v>
      </c>
      <c r="E182" s="1573">
        <v>115669</v>
      </c>
      <c r="F182" s="1573">
        <v>5510</v>
      </c>
      <c r="G182" s="1573">
        <v>10209</v>
      </c>
      <c r="H182" s="1573"/>
      <c r="I182" s="1574"/>
      <c r="J182" s="1574"/>
      <c r="K182" s="1672">
        <f>SUM(C182:J182)</f>
        <v>159583</v>
      </c>
      <c r="L182" s="1573">
        <v>209242</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26450</v>
      </c>
      <c r="D184" s="1681">
        <f t="shared" ref="D184:J184" si="17">SUM(D180,D182,D183)</f>
        <v>1745</v>
      </c>
      <c r="E184" s="1681">
        <f t="shared" si="17"/>
        <v>115669</v>
      </c>
      <c r="F184" s="1681">
        <f t="shared" si="17"/>
        <v>5510</v>
      </c>
      <c r="G184" s="1681">
        <f t="shared" si="17"/>
        <v>10209</v>
      </c>
      <c r="H184" s="1681">
        <f t="shared" si="17"/>
        <v>0</v>
      </c>
      <c r="I184" s="1681">
        <f t="shared" si="17"/>
        <v>0</v>
      </c>
      <c r="J184" s="1681">
        <f t="shared" si="17"/>
        <v>0</v>
      </c>
      <c r="K184" s="1681">
        <f>SUM(K180,K182,K183)</f>
        <v>159583</v>
      </c>
      <c r="L184" s="1681">
        <f>SUM(L180, L182:L183)</f>
        <v>209242</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v>13782</v>
      </c>
      <c r="I189" s="1582"/>
      <c r="J189" s="1673"/>
      <c r="K189" s="1672">
        <f t="shared" si="18"/>
        <v>13782</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13782</v>
      </c>
      <c r="I194" s="1582"/>
      <c r="J194" s="1673"/>
      <c r="K194" s="1674">
        <f>SUM(K188:K193)</f>
        <v>13782</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13782</v>
      </c>
      <c r="I196" s="1582"/>
      <c r="J196" s="1673"/>
      <c r="K196" s="1681">
        <f>SUM(K194,K195)</f>
        <v>13782</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26450</v>
      </c>
      <c r="D210" s="1674">
        <f>SUM(D184,D185)</f>
        <v>1745</v>
      </c>
      <c r="E210" s="1674">
        <f>SUM(E184,E185,E196)</f>
        <v>115669</v>
      </c>
      <c r="F210" s="1674">
        <f>SUM(F184,F185)</f>
        <v>5510</v>
      </c>
      <c r="G210" s="1674">
        <f>SUM(G184,G185)</f>
        <v>10209</v>
      </c>
      <c r="H210" s="1674">
        <f>SUM(H184,H185,H196,H208,H209)</f>
        <v>13782</v>
      </c>
      <c r="I210" s="1674">
        <f>SUM(I184,I185)</f>
        <v>0</v>
      </c>
      <c r="J210" s="1674">
        <f>SUM(J184,J185)</f>
        <v>0</v>
      </c>
      <c r="K210" s="1672">
        <f>SUM(K184,K185,K196,K208,K209)</f>
        <v>173365</v>
      </c>
      <c r="L210" s="1674">
        <f>SUM(L184,L185,L196,L208,L209)</f>
        <v>209242</v>
      </c>
    </row>
    <row r="211" spans="1:14" ht="13.5" thickTop="1" x14ac:dyDescent="0.2">
      <c r="A211" s="2286" t="s">
        <v>989</v>
      </c>
      <c r="B211" s="2287"/>
      <c r="C211" s="1675"/>
      <c r="D211" s="1675"/>
      <c r="E211" s="1675"/>
      <c r="F211" s="1675"/>
      <c r="G211" s="1675"/>
      <c r="H211" s="1675"/>
      <c r="I211" s="1673"/>
      <c r="J211" s="1673"/>
      <c r="K211" s="1689">
        <f>'Revenues 9-14'!F268-'Expenditures 15-22'!K210</f>
        <v>6201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30110</v>
      </c>
      <c r="E215" s="1673"/>
      <c r="F215" s="1673"/>
      <c r="G215" s="1673"/>
      <c r="H215" s="1673"/>
      <c r="I215" s="1673"/>
      <c r="J215" s="1673"/>
      <c r="K215" s="1672">
        <f>D215</f>
        <v>30110</v>
      </c>
      <c r="L215" s="1573">
        <v>41800</v>
      </c>
    </row>
    <row r="216" spans="1:14" x14ac:dyDescent="0.2">
      <c r="A216" s="1274" t="s">
        <v>162</v>
      </c>
      <c r="B216" s="503" t="s">
        <v>961</v>
      </c>
      <c r="C216" s="1673"/>
      <c r="D216" s="1574">
        <v>3556</v>
      </c>
      <c r="E216" s="1673"/>
      <c r="F216" s="1673"/>
      <c r="G216" s="1673"/>
      <c r="H216" s="1673"/>
      <c r="I216" s="1673"/>
      <c r="J216" s="1673"/>
      <c r="K216" s="1672">
        <f t="shared" ref="K216:K228" si="19">D216</f>
        <v>3556</v>
      </c>
      <c r="L216" s="1573">
        <v>12800</v>
      </c>
    </row>
    <row r="217" spans="1:14" x14ac:dyDescent="0.2">
      <c r="A217" s="1274" t="s">
        <v>163</v>
      </c>
      <c r="B217" s="503">
        <v>1200</v>
      </c>
      <c r="C217" s="1673"/>
      <c r="D217" s="1573">
        <f>4379+7398</f>
        <v>11777</v>
      </c>
      <c r="E217" s="1673"/>
      <c r="F217" s="1673"/>
      <c r="G217" s="1673"/>
      <c r="H217" s="1673"/>
      <c r="I217" s="1673"/>
      <c r="J217" s="1673"/>
      <c r="K217" s="1672">
        <f t="shared" si="19"/>
        <v>11777</v>
      </c>
      <c r="L217" s="1573">
        <v>16160</v>
      </c>
    </row>
    <row r="218" spans="1:14" x14ac:dyDescent="0.2">
      <c r="A218" s="1274" t="s">
        <v>276</v>
      </c>
      <c r="B218" s="503" t="s">
        <v>962</v>
      </c>
      <c r="C218" s="1673"/>
      <c r="D218" s="1574">
        <v>84</v>
      </c>
      <c r="E218" s="1673"/>
      <c r="F218" s="1673"/>
      <c r="G218" s="1673"/>
      <c r="H218" s="1673"/>
      <c r="I218" s="1673"/>
      <c r="J218" s="1673"/>
      <c r="K218" s="1672">
        <f t="shared" si="19"/>
        <v>84</v>
      </c>
      <c r="L218" s="1573"/>
    </row>
    <row r="219" spans="1:14" x14ac:dyDescent="0.2">
      <c r="A219" s="1274" t="s">
        <v>277</v>
      </c>
      <c r="B219" s="503">
        <v>1250</v>
      </c>
      <c r="C219" s="1673"/>
      <c r="D219" s="1573">
        <v>2941</v>
      </c>
      <c r="E219" s="1673"/>
      <c r="F219" s="1673"/>
      <c r="G219" s="1673"/>
      <c r="H219" s="1673"/>
      <c r="I219" s="1673"/>
      <c r="J219" s="1673"/>
      <c r="K219" s="1672">
        <f t="shared" si="19"/>
        <v>2941</v>
      </c>
      <c r="L219" s="1573">
        <v>6525</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3404</v>
      </c>
      <c r="E223" s="1673"/>
      <c r="F223" s="1673"/>
      <c r="G223" s="1673"/>
      <c r="H223" s="1673"/>
      <c r="I223" s="1673"/>
      <c r="J223" s="1673"/>
      <c r="K223" s="1672">
        <f t="shared" si="19"/>
        <v>3404</v>
      </c>
      <c r="L223" s="1573">
        <v>2742</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65</v>
      </c>
      <c r="E226" s="1673"/>
      <c r="F226" s="1673"/>
      <c r="G226" s="1673"/>
      <c r="H226" s="1673"/>
      <c r="I226" s="1673"/>
      <c r="J226" s="1673"/>
      <c r="K226" s="1672">
        <f t="shared" si="19"/>
        <v>65</v>
      </c>
      <c r="L226" s="1573">
        <v>250</v>
      </c>
    </row>
    <row r="227" spans="1:12" x14ac:dyDescent="0.2">
      <c r="A227" s="1274" t="s">
        <v>1078</v>
      </c>
      <c r="B227" s="503">
        <v>1800</v>
      </c>
      <c r="C227" s="1673"/>
      <c r="D227" s="1573">
        <v>2515</v>
      </c>
      <c r="E227" s="1673"/>
      <c r="F227" s="1673"/>
      <c r="G227" s="1673"/>
      <c r="H227" s="1673"/>
      <c r="I227" s="1673"/>
      <c r="J227" s="1673"/>
      <c r="K227" s="1672">
        <f t="shared" si="19"/>
        <v>2515</v>
      </c>
      <c r="L227" s="1573">
        <v>500</v>
      </c>
    </row>
    <row r="228" spans="1:12" x14ac:dyDescent="0.2">
      <c r="A228" s="1274" t="s">
        <v>1079</v>
      </c>
      <c r="B228" s="503">
        <v>1900</v>
      </c>
      <c r="C228" s="1673"/>
      <c r="D228" s="1573">
        <v>3</v>
      </c>
      <c r="E228" s="1673"/>
      <c r="F228" s="1673"/>
      <c r="G228" s="1673"/>
      <c r="H228" s="1673"/>
      <c r="I228" s="1673"/>
      <c r="J228" s="1673"/>
      <c r="K228" s="1672">
        <f t="shared" si="19"/>
        <v>3</v>
      </c>
      <c r="L228" s="1573"/>
    </row>
    <row r="229" spans="1:12" ht="12.75" customHeight="1" thickBot="1" x14ac:dyDescent="0.25">
      <c r="A229" s="1380" t="s">
        <v>710</v>
      </c>
      <c r="B229" s="1383" t="s">
        <v>566</v>
      </c>
      <c r="C229" s="1673"/>
      <c r="D229" s="1674">
        <f>SUM(D215:D228)</f>
        <v>54455</v>
      </c>
      <c r="E229" s="1673"/>
      <c r="F229" s="1673"/>
      <c r="G229" s="1673"/>
      <c r="H229" s="1673"/>
      <c r="I229" s="1673"/>
      <c r="J229" s="1673"/>
      <c r="K229" s="1674">
        <f>SUM(K215:K228)</f>
        <v>54455</v>
      </c>
      <c r="L229" s="1674">
        <f>SUM(L215:L228)</f>
        <v>80777</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971</v>
      </c>
      <c r="E233" s="1673"/>
      <c r="F233" s="1673"/>
      <c r="G233" s="1673"/>
      <c r="H233" s="1673"/>
      <c r="I233" s="1673"/>
      <c r="J233" s="1673"/>
      <c r="K233" s="1672">
        <f t="shared" si="20"/>
        <v>971</v>
      </c>
      <c r="L233" s="1573">
        <v>1575</v>
      </c>
    </row>
    <row r="234" spans="1:12" x14ac:dyDescent="0.2">
      <c r="A234" s="1274" t="s">
        <v>196</v>
      </c>
      <c r="B234" s="503">
        <v>2130</v>
      </c>
      <c r="C234" s="1673"/>
      <c r="D234" s="1573">
        <v>5508</v>
      </c>
      <c r="E234" s="1673"/>
      <c r="F234" s="1673"/>
      <c r="G234" s="1673"/>
      <c r="H234" s="1673"/>
      <c r="I234" s="1673"/>
      <c r="J234" s="1673"/>
      <c r="K234" s="1672">
        <f t="shared" si="20"/>
        <v>5508</v>
      </c>
      <c r="L234" s="1573">
        <v>3500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6479</v>
      </c>
      <c r="E238" s="1673"/>
      <c r="F238" s="1673"/>
      <c r="G238" s="1673"/>
      <c r="H238" s="1673"/>
      <c r="I238" s="1673"/>
      <c r="J238" s="1673"/>
      <c r="K238" s="1674">
        <f>SUM(K232:K237)</f>
        <v>6479</v>
      </c>
      <c r="L238" s="1674">
        <f>SUM(L232:L237)</f>
        <v>5075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446</v>
      </c>
      <c r="E240" s="1673"/>
      <c r="F240" s="1673"/>
      <c r="G240" s="1673"/>
      <c r="H240" s="1673"/>
      <c r="I240" s="1673"/>
      <c r="J240" s="1673"/>
      <c r="K240" s="1678">
        <f>D240</f>
        <v>446</v>
      </c>
      <c r="L240" s="1586"/>
    </row>
    <row r="241" spans="1:12" x14ac:dyDescent="0.2">
      <c r="A241" s="1274" t="s">
        <v>810</v>
      </c>
      <c r="B241" s="503">
        <v>2220</v>
      </c>
      <c r="C241" s="1673"/>
      <c r="D241" s="1573">
        <v>8181</v>
      </c>
      <c r="E241" s="1673"/>
      <c r="F241" s="1673"/>
      <c r="G241" s="1673"/>
      <c r="H241" s="1673"/>
      <c r="I241" s="1673"/>
      <c r="J241" s="1673"/>
      <c r="K241" s="1678">
        <f>D241</f>
        <v>8181</v>
      </c>
      <c r="L241" s="1573">
        <v>8200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8627</v>
      </c>
      <c r="E243" s="1673"/>
      <c r="F243" s="1673"/>
      <c r="G243" s="1673"/>
      <c r="H243" s="1673"/>
      <c r="I243" s="1673"/>
      <c r="J243" s="1673"/>
      <c r="K243" s="1674">
        <f>SUM(K240:K242)</f>
        <v>8627</v>
      </c>
      <c r="L243" s="1674">
        <f>SUM(L240:L242)</f>
        <v>8200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365</v>
      </c>
      <c r="E245" s="1673"/>
      <c r="F245" s="1673"/>
      <c r="G245" s="1673"/>
      <c r="H245" s="1673"/>
      <c r="I245" s="1673"/>
      <c r="J245" s="1673"/>
      <c r="K245" s="1678">
        <f>D245</f>
        <v>365</v>
      </c>
      <c r="L245" s="1586">
        <v>300</v>
      </c>
    </row>
    <row r="246" spans="1:12" x14ac:dyDescent="0.2">
      <c r="A246" s="1274" t="s">
        <v>813</v>
      </c>
      <c r="B246" s="503">
        <v>2320</v>
      </c>
      <c r="C246" s="1673"/>
      <c r="D246" s="1573">
        <v>3590</v>
      </c>
      <c r="E246" s="1673"/>
      <c r="F246" s="1673"/>
      <c r="G246" s="1673"/>
      <c r="H246" s="1673"/>
      <c r="I246" s="1673"/>
      <c r="J246" s="1673"/>
      <c r="K246" s="1678">
        <f t="shared" ref="K246:K256" si="21">D246</f>
        <v>3590</v>
      </c>
      <c r="L246" s="1573">
        <v>6400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38</v>
      </c>
      <c r="E254" s="1673"/>
      <c r="F254" s="1673"/>
      <c r="G254" s="1673"/>
      <c r="H254" s="1673"/>
      <c r="I254" s="1673"/>
      <c r="J254" s="1673"/>
      <c r="K254" s="1678">
        <f t="shared" si="21"/>
        <v>38</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3993</v>
      </c>
      <c r="E257" s="1673"/>
      <c r="F257" s="1673"/>
      <c r="G257" s="1673"/>
      <c r="H257" s="1673"/>
      <c r="I257" s="1673"/>
      <c r="J257" s="1673"/>
      <c r="K257" s="1674">
        <f>SUM(K245:K256)</f>
        <v>3993</v>
      </c>
      <c r="L257" s="1674">
        <f>SUM(L245:L256)</f>
        <v>6700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7345</v>
      </c>
      <c r="E259" s="1673"/>
      <c r="F259" s="1673"/>
      <c r="G259" s="1673"/>
      <c r="H259" s="1673"/>
      <c r="I259" s="1673"/>
      <c r="J259" s="1673"/>
      <c r="K259" s="1678">
        <f>D259</f>
        <v>7345</v>
      </c>
      <c r="L259" s="1586">
        <v>7800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7345</v>
      </c>
      <c r="E261" s="1673"/>
      <c r="F261" s="1673"/>
      <c r="G261" s="1673"/>
      <c r="H261" s="1673"/>
      <c r="I261" s="1673"/>
      <c r="J261" s="1673"/>
      <c r="K261" s="1674">
        <f>SUM(K259:K260)</f>
        <v>7345</v>
      </c>
      <c r="L261" s="1674">
        <f>SUM(L259:L260)</f>
        <v>7800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8781</v>
      </c>
      <c r="E264" s="1673"/>
      <c r="F264" s="1673"/>
      <c r="G264" s="1673"/>
      <c r="H264" s="1673"/>
      <c r="I264" s="1673"/>
      <c r="J264" s="1673"/>
      <c r="K264" s="1678">
        <f t="shared" ref="K264:K269" si="22">D264</f>
        <v>8781</v>
      </c>
      <c r="L264" s="1573">
        <v>6300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20657</v>
      </c>
      <c r="E266" s="1673"/>
      <c r="F266" s="1673"/>
      <c r="G266" s="1673"/>
      <c r="H266" s="1673"/>
      <c r="I266" s="1673"/>
      <c r="J266" s="1673"/>
      <c r="K266" s="1678">
        <f t="shared" si="22"/>
        <v>20657</v>
      </c>
      <c r="L266" s="1573">
        <v>18400</v>
      </c>
    </row>
    <row r="267" spans="1:14" x14ac:dyDescent="0.2">
      <c r="A267" s="1274" t="s">
        <v>947</v>
      </c>
      <c r="B267" s="503">
        <v>2550</v>
      </c>
      <c r="C267" s="1673"/>
      <c r="D267" s="1573">
        <v>2657</v>
      </c>
      <c r="E267" s="1673"/>
      <c r="F267" s="1673"/>
      <c r="G267" s="1673"/>
      <c r="H267" s="1673"/>
      <c r="I267" s="1673"/>
      <c r="J267" s="1673"/>
      <c r="K267" s="1678">
        <f t="shared" si="22"/>
        <v>2657</v>
      </c>
      <c r="L267" s="1573">
        <v>850</v>
      </c>
    </row>
    <row r="268" spans="1:14" x14ac:dyDescent="0.2">
      <c r="A268" s="1274" t="s">
        <v>100</v>
      </c>
      <c r="B268" s="503">
        <v>2560</v>
      </c>
      <c r="C268" s="1673"/>
      <c r="D268" s="1573">
        <v>7653</v>
      </c>
      <c r="E268" s="1673"/>
      <c r="F268" s="1673"/>
      <c r="G268" s="1673"/>
      <c r="H268" s="1673"/>
      <c r="I268" s="1673"/>
      <c r="J268" s="1673"/>
      <c r="K268" s="1678">
        <f t="shared" si="22"/>
        <v>7653</v>
      </c>
      <c r="L268" s="1573">
        <v>6800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39748</v>
      </c>
      <c r="E270" s="1673"/>
      <c r="F270" s="1673"/>
      <c r="G270" s="1673"/>
      <c r="H270" s="1673"/>
      <c r="I270" s="1673"/>
      <c r="J270" s="1673"/>
      <c r="K270" s="1674">
        <f>SUM(K263:K269)</f>
        <v>39748</v>
      </c>
      <c r="L270" s="1674">
        <f>SUM(L263:L269)</f>
        <v>32350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66192</v>
      </c>
      <c r="E279" s="1673"/>
      <c r="F279" s="1673"/>
      <c r="G279" s="1673"/>
      <c r="H279" s="1673"/>
      <c r="I279" s="1673"/>
      <c r="J279" s="1673"/>
      <c r="K279" s="1681">
        <f>SUM(K238,K243,K257,K261,K270,K277,K278)</f>
        <v>66192</v>
      </c>
      <c r="L279" s="1681">
        <f>SUM(L238,L243,L257,L261,L270,L277,L278)</f>
        <v>60125</v>
      </c>
    </row>
    <row r="280" spans="1:12" ht="15.75" customHeight="1" thickTop="1" thickBot="1" x14ac:dyDescent="0.25">
      <c r="A280" s="1362" t="s">
        <v>870</v>
      </c>
      <c r="B280" s="1351">
        <v>3000</v>
      </c>
      <c r="C280" s="1673"/>
      <c r="D280" s="1651">
        <v>1896</v>
      </c>
      <c r="E280" s="1673"/>
      <c r="F280" s="1673"/>
      <c r="G280" s="1673"/>
      <c r="H280" s="1673"/>
      <c r="I280" s="1673"/>
      <c r="J280" s="1673"/>
      <c r="K280" s="1687">
        <f>D280</f>
        <v>1896</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122543</v>
      </c>
      <c r="E295" s="1673"/>
      <c r="F295" s="1673"/>
      <c r="G295" s="1673"/>
      <c r="H295" s="1674">
        <f>H293</f>
        <v>0</v>
      </c>
      <c r="I295" s="1673"/>
      <c r="J295" s="1673"/>
      <c r="K295" s="1674">
        <f>SUM(K229,K279,K280,K285,K293,K294)</f>
        <v>122543</v>
      </c>
      <c r="L295" s="1674">
        <f>SUM(L229,L279,L280,L285,L293,L294)</f>
        <v>140902</v>
      </c>
    </row>
    <row r="296" spans="1:14" ht="13.5" thickTop="1" x14ac:dyDescent="0.2">
      <c r="A296" s="2286" t="s">
        <v>989</v>
      </c>
      <c r="B296" s="2287"/>
      <c r="C296" s="1673"/>
      <c r="D296" s="1675"/>
      <c r="E296" s="1673"/>
      <c r="F296" s="1673"/>
      <c r="G296" s="1673"/>
      <c r="H296" s="1707"/>
      <c r="I296" s="1673"/>
      <c r="J296" s="1673"/>
      <c r="K296" s="1689">
        <f>'Revenues 9-14'!G268-'Expenditures 15-22'!K295</f>
        <v>3289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10776</v>
      </c>
      <c r="F320" s="1574"/>
      <c r="G320" s="1574"/>
      <c r="H320" s="1574"/>
      <c r="I320" s="1574"/>
      <c r="J320" s="1574"/>
      <c r="K320" s="1672">
        <f t="shared" ref="K320:K327" si="24">SUM(C320:J320)</f>
        <v>10776</v>
      </c>
      <c r="L320" s="1574">
        <v>15000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10000</v>
      </c>
      <c r="M321" s="539"/>
      <c r="N321" s="539"/>
    </row>
    <row r="322" spans="1:14" s="548" customFormat="1" x14ac:dyDescent="0.2">
      <c r="A322" s="1289" t="s">
        <v>236</v>
      </c>
      <c r="B322" s="567" t="s">
        <v>282</v>
      </c>
      <c r="C322" s="1574"/>
      <c r="D322" s="1574"/>
      <c r="E322" s="1574">
        <v>740</v>
      </c>
      <c r="F322" s="1574"/>
      <c r="G322" s="1574"/>
      <c r="H322" s="1574"/>
      <c r="I322" s="1574"/>
      <c r="J322" s="1574"/>
      <c r="K322" s="1672">
        <f t="shared" si="24"/>
        <v>740</v>
      </c>
      <c r="L322" s="1574">
        <v>13750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2598</v>
      </c>
      <c r="D325" s="1574">
        <v>367</v>
      </c>
      <c r="E325" s="1574"/>
      <c r="F325" s="1574"/>
      <c r="G325" s="1574"/>
      <c r="H325" s="1574"/>
      <c r="I325" s="1574"/>
      <c r="J325" s="1574"/>
      <c r="K325" s="1672">
        <f t="shared" si="24"/>
        <v>2965</v>
      </c>
      <c r="L325" s="1574">
        <v>88600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2500</v>
      </c>
      <c r="M327" s="539"/>
      <c r="N327" s="539"/>
    </row>
    <row r="328" spans="1:14" s="548" customFormat="1" x14ac:dyDescent="0.2">
      <c r="A328" s="1290" t="s">
        <v>469</v>
      </c>
      <c r="B328" s="562" t="s">
        <v>1122</v>
      </c>
      <c r="C328" s="1579"/>
      <c r="D328" s="1579"/>
      <c r="E328" s="1579">
        <v>17984</v>
      </c>
      <c r="F328" s="1579"/>
      <c r="G328" s="1579"/>
      <c r="H328" s="1579"/>
      <c r="I328" s="1579"/>
      <c r="J328" s="1579"/>
      <c r="K328" s="1713">
        <f>SUM(C328:J328)</f>
        <v>17984</v>
      </c>
      <c r="L328" s="1579">
        <v>19500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2598</v>
      </c>
      <c r="D330" s="1674">
        <f t="shared" ref="D330:J330" si="25">SUM(D319:D329)</f>
        <v>367</v>
      </c>
      <c r="E330" s="1674">
        <f t="shared" si="25"/>
        <v>29500</v>
      </c>
      <c r="F330" s="1674">
        <f t="shared" si="25"/>
        <v>0</v>
      </c>
      <c r="G330" s="1674">
        <f t="shared" si="25"/>
        <v>0</v>
      </c>
      <c r="H330" s="1674">
        <f t="shared" si="25"/>
        <v>0</v>
      </c>
      <c r="I330" s="1674">
        <f t="shared" si="25"/>
        <v>0</v>
      </c>
      <c r="J330" s="1674">
        <f t="shared" si="25"/>
        <v>0</v>
      </c>
      <c r="K330" s="1674">
        <f>SUM(K319:K329)</f>
        <v>32465</v>
      </c>
      <c r="L330" s="1674">
        <f>SUM(L319:L329)</f>
        <v>149350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2598</v>
      </c>
      <c r="D342" s="1674">
        <f>SUM(D330)</f>
        <v>367</v>
      </c>
      <c r="E342" s="1674">
        <f>SUM(E330)</f>
        <v>29500</v>
      </c>
      <c r="F342" s="1674">
        <f>SUM(F330)</f>
        <v>0</v>
      </c>
      <c r="G342" s="1674">
        <f>SUM(G330)</f>
        <v>0</v>
      </c>
      <c r="H342" s="1674">
        <f>SUM(H330,H334,H340)</f>
        <v>0</v>
      </c>
      <c r="I342" s="1674">
        <f>SUM(I330)</f>
        <v>0</v>
      </c>
      <c r="J342" s="1674">
        <f>SUM(J330)</f>
        <v>0</v>
      </c>
      <c r="K342" s="1674">
        <f>SUM(K330,K334,K340)</f>
        <v>32465</v>
      </c>
      <c r="L342" s="1681">
        <f>SUM(L330,L334,L340,L341)</f>
        <v>149350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82968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v>3500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3500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3500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3500</v>
      </c>
    </row>
    <row r="368" spans="1:14" ht="13.5" thickTop="1" x14ac:dyDescent="0.2">
      <c r="A368" s="2286" t="s">
        <v>989</v>
      </c>
      <c r="B368" s="2287"/>
      <c r="C368" s="1694"/>
      <c r="D368" s="1694"/>
      <c r="E368" s="1677"/>
      <c r="F368" s="1677"/>
      <c r="G368" s="1677"/>
      <c r="H368" s="1677"/>
      <c r="I368" s="1677"/>
      <c r="J368" s="1676"/>
      <c r="K368" s="1672">
        <f>'Revenues 9-14'!K268-'Expenditures 15-22'!K367</f>
        <v>4074</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http://purl.org/dc/terms/"/>
    <ds:schemaRef ds:uri="4d435f69-8686-490b-bd6d-b153bf22ab50"/>
    <ds:schemaRef ds:uri="d21dc803-237d-4c68-8692-8d731fd29118"/>
    <ds:schemaRef ds:uri="http://purl.org/dc/elements/1.1/"/>
    <ds:schemaRef ds:uri="6ce3111e-7420-4802-b50a-75d4e9a0b98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2020-10-13T19:01:13Z</cp:lastPrinted>
  <dcterms:created xsi:type="dcterms:W3CDTF">2003-10-29T19:06:34Z</dcterms:created>
  <dcterms:modified xsi:type="dcterms:W3CDTF">2020-10-20T22:52:54Z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