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3E68878-2377-46FE-AC94-8B2670ACAD6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2" l="1"/>
  <c r="J8" i="12"/>
  <c r="J3" i="12"/>
  <c r="J31" i="8"/>
  <c r="J34" i="8"/>
  <c r="J32" i="8"/>
  <c r="J85" i="2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90"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J33" i="8" s="1"/>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3" i="127"/>
  <c r="B64"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H33" i="118"/>
  <c r="D22" i="37"/>
  <c r="L22" i="37"/>
  <c r="D24" i="37"/>
  <c r="B4270" i="106" s="1"/>
  <c r="D4270" i="106" s="1"/>
  <c r="G14" i="4" l="1"/>
  <c r="B2609" i="106" s="1"/>
  <c r="D2609" i="106" s="1"/>
  <c r="F72" i="34"/>
  <c r="F71" i="34"/>
  <c r="D69" i="36"/>
  <c r="B6995" i="106"/>
  <c r="D6995" i="106" s="1"/>
  <c r="B7047" i="106"/>
  <c r="D7047" i="106" s="1"/>
  <c r="F42" i="34"/>
  <c r="F52" i="34"/>
  <c r="B7831" i="106" s="1"/>
  <c r="D7831" i="106" s="1"/>
  <c r="G35" i="108"/>
  <c r="F50" i="34"/>
  <c r="E34" i="108"/>
  <c r="F69" i="34"/>
  <c r="B2724" i="106"/>
  <c r="D2724" i="106" s="1"/>
  <c r="D14" i="4"/>
  <c r="B2570" i="106" s="1"/>
  <c r="D2570" i="106" s="1"/>
  <c r="B2805" i="106"/>
  <c r="D2805" i="106" s="1"/>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4435" i="106" l="1"/>
  <c r="D4435" i="106" s="1"/>
  <c r="L16" i="11"/>
  <c r="B2061" i="106" s="1"/>
  <c r="D2061" i="106" s="1"/>
  <c r="B2031" i="106"/>
  <c r="D2031" i="106" s="1"/>
  <c r="J151" i="29"/>
  <c r="B7052" i="106" s="1"/>
  <c r="D7052" i="106" s="1"/>
  <c r="C151" i="29"/>
  <c r="B1226" i="106" s="1"/>
  <c r="D1226" i="106" s="1"/>
  <c r="I151" i="29"/>
  <c r="F59" i="34"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D36" i="36"/>
  <c r="H24" i="118"/>
  <c r="K24" i="118" s="1"/>
  <c r="O23" i="118" s="1"/>
  <c r="O25" i="118" s="1"/>
  <c r="B3414" i="106"/>
  <c r="D3414" i="106"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H83" i="4" l="1"/>
  <c r="B6281" i="106" s="1"/>
  <c r="D6281" i="106" s="1"/>
  <c r="B6272" i="106"/>
  <c r="D6272" i="106" s="1"/>
  <c r="B1658" i="106"/>
  <c r="D1658" i="106" s="1"/>
  <c r="E82" i="4"/>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12" i="106" l="1"/>
  <c r="D212" i="106" s="1"/>
  <c r="H41" i="3"/>
  <c r="D62" i="36"/>
  <c r="B6269" i="106"/>
  <c r="D6269" i="106" s="1"/>
  <c r="E83" i="4"/>
  <c r="B6278" i="106" s="1"/>
  <c r="D6278" i="106" s="1"/>
  <c r="B3567" i="106"/>
  <c r="D3567" i="106" s="1"/>
  <c r="K41" i="3"/>
  <c r="D65" i="36"/>
  <c r="D48" i="36"/>
  <c r="B190" i="106"/>
  <c r="D190" i="106" s="1"/>
  <c r="B213" i="106" l="1"/>
  <c r="D213" i="106" s="1"/>
  <c r="D49" i="36"/>
  <c r="B3568" i="106"/>
  <c r="D3568" i="106" s="1"/>
  <c r="D52" i="36"/>
  <c r="B92" i="106"/>
  <c r="D92" i="106" s="1"/>
  <c r="C41" i="3"/>
  <c r="D57" i="36"/>
  <c r="B93" i="106" l="1"/>
  <c r="D93" i="106" s="1"/>
  <c r="D44" i="36"/>
  <c r="B280" i="106" l="1"/>
  <c r="D280" i="106" s="1"/>
  <c r="M41" i="3"/>
  <c r="B281" i="106" l="1"/>
  <c r="D281" i="106" s="1"/>
  <c r="D54" i="36"/>
  <c r="B140" i="106" l="1"/>
  <c r="D140" i="106" s="1"/>
  <c r="E41" i="3"/>
  <c r="D59" i="36"/>
  <c r="B141" i="106" l="1"/>
  <c r="D141" i="106" s="1"/>
  <c r="D46" i="36"/>
  <c r="B282" i="106" l="1"/>
  <c r="D282" i="106" s="1"/>
  <c r="N23" i="3"/>
  <c r="B123" i="106"/>
  <c r="D123" i="106" s="1"/>
  <c r="D41" i="3"/>
  <c r="D58" i="36"/>
  <c r="D76" i="36"/>
  <c r="B284" i="106" l="1"/>
  <c r="D284" i="106" s="1"/>
  <c r="D55" i="36"/>
  <c r="B124" i="106"/>
  <c r="D124" i="106" s="1"/>
  <c r="D4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<sst xmlns="http://schemas.openxmlformats.org/spreadsheetml/2006/main" count="5161" uniqueCount="2088">
  <si>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</si>
  <si>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</si>
  <si>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</si>
  <si>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</si>
  <si>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</si>
  <si>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</si>
  <si>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</si>
  <si>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</si>
  <si>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</si>
  <si>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</si>
  <si>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</si>
  <si>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</si>
  <si>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</si>
  <si>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</si>
  <si>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</si>
  <si>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</si>
  <si>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</si>
  <si>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</si>
  <si>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</si>
  <si>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</si>
  <si>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</si>
  <si>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</si>
  <si>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</si>
  <si>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</si>
  <si>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</si>
  <si>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</si>
  <si>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</si>
  <si>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</si>
  <si>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</si>
  <si>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</si>
  <si>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</si>
  <si>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</si>
  <si>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</si>
  <si>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</si>
  <si>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</si>
  <si>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</si>
  <si>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</si>
  <si>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</si>
  <si>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</si>
  <si>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</si>
  <si>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</si>
  <si>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</si>
  <si>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</si>
  <si>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</si>
  <si>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</si>
  <si>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</si>
  <si>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</si>
  <si>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</si>
  <si>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</si>
  <si>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</si>
  <si>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</si>
  <si>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</si>
  <si>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</si>
  <si>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</si>
  <si>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</si>
  <si>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</si>
  <si>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</si>
  <si>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</si>
  <si>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</si>
  <si>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</si>
  <si>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</si>
  <si>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</si>
  <si>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</si>
  <si>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</si>
  <si>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</si>
  <si>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</si>
  <si>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</si>
  <si>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</si>
  <si>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</si>
  <si>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</si>
  <si>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</si>
  <si>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</si>
  <si>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</si>
  <si>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</si>
  <si>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</si>
  <si>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</si>
  <si>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</si>
  <si>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</si>
  <si>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</si>
  <si>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</si>
  <si>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</si>
  <si>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</si>
  <si>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</si>
  <si>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</si>
  <si>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</si>
  <si>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</si>
  <si>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</si>
  <si>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</si>
  <si>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</si>
  <si>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</si>
  <si>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</si>
  <si>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</si>
  <si>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</si>
  <si>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</si>
  <si>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</si>
  <si>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</si>
  <si>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</si>
  <si>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</si>
  <si>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</si>
  <si>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</si>
  <si>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</si>
  <si>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</si>
  <si>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</si>
  <si>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</si>
  <si>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</si>
  <si>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</si>
  <si>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</si>
  <si>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</si>
  <si>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</si>
  <si>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</si>
  <si>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</si>
  <si>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</si>
  <si>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</si>
  <si>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</si>
  <si>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</si>
  <si>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</si>
  <si>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</si>
  <si>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</si>
  <si>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</si>
  <si>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</si>
  <si>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</si>
  <si>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</si>
  <si>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</si>
  <si>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</si>
  <si>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</si>
  <si>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</si>
  <si>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</si>
  <si>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</si>
  <si>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</si>
  <si>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</si>
  <si>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</si>
  <si>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</si>
  <si>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</si>
  <si>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</si>
  <si>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</si>
  <si>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</si>
  <si>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</si>
  <si>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</si>
  <si>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</si>
  <si>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</si>
  <si>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</si>
  <si>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</si>
  <si>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</si>
  <si>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</si>
  <si>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</si>
  <si>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</si>
  <si>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</si>
  <si>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</si>
  <si>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</si>
  <si>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</si>
  <si>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</si>
  <si>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</si>
  <si>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</si>
  <si>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</si>
  <si>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</si>
  <si>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</si>
  <si>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</si>
  <si>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</si>
  <si>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</si>
  <si>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</si>
  <si>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</si>
  <si>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</si>
  <si>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</si>
  <si>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</si>
  <si>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</si>
  <si>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</si>
  <si>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</si>
  <si>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</si>
  <si>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</si>
  <si>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</si>
  <si>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</si>
  <si>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</si>
  <si>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</si>
  <si>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</si>
  <si>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</si>
  <si>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</si>
  <si>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</si>
  <si>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</si>
  <si>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</si>
  <si>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</si>
  <si>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</si>
  <si>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</si>
  <si>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</si>
  <si>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</si>
  <si>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</si>
  <si>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</si>
  <si>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</si>
  <si>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</si>
  <si>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</si>
  <si>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</si>
  <si>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</si>
  <si>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</si>
  <si>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</si>
  <si>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</si>
  <si>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</si>
  <si>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</si>
  <si>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</si>
  <si>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</si>
  <si>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</si>
  <si>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</si>
  <si>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</si>
  <si>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</si>
  <si>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</si>
  <si>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</si>
  <si>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</si>
  <si>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</si>
  <si>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</si>
  <si>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</si>
  <si>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</si>
  <si>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</si>
  <si>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</si>
  <si>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</si>
  <si>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</si>
  <si>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</si>
  <si>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</si>
  <si>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</si>
  <si>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</si>
  <si>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</si>
  <si>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</si>
  <si>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</si>
  <si>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</si>
  <si>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</si>
  <si>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</si>
  <si>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</si>
  <si>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</si>
  <si>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</si>
  <si>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</si>
  <si>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</si>
  <si>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</si>
  <si>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</si>
  <si>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</si>
  <si>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</si>
  <si>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</si>
  <si>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</si>
  <si>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</si>
  <si>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</si>
  <si>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</si>
  <si>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</si>
  <si>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</si>
  <si>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</si>
  <si>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</si>
  <si>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</si>
  <si>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</si>
  <si>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</si>
  <si>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</si>
  <si>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</si>
  <si>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</si>
  <si>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</si>
  <si>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</si>
  <si>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</si>
  <si>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</si>
  <si>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</si>
  <si>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</si>
  <si>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</si>
  <si>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</si>
  <si>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</si>
  <si>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</si>
  <si>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</si>
  <si>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</si>
  <si>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</si>
  <si>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</si>
  <si>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</si>
  <si>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</si>
  <si>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</si>
  <si>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</si>
  <si>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</si>
  <si>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</si>
  <si>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</si>
  <si>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</si>
  <si>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</si>
  <si>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</si>
  <si>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</si>
  <si>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</si>
  <si>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</si>
  <si>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</si>
  <si>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</si>
  <si>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</si>
  <si>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</si>
  <si>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</si>
  <si>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</si>
  <si>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</si>
  <si>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</si>
  <si>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</si>
  <si>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</si>
  <si>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</si>
  <si>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</si>
  <si>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</si>
  <si>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</si>
  <si>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</si>
  <si>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</si>
  <si>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</si>
  <si>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</si>
  <si>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</si>
  <si>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</si>
  <si>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</si>
  <si>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</si>
  <si>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</si>
  <si>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</si>
  <si>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</si>
  <si>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</si>
  <si>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</si>
  <si>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</si>
  <si>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</si>
  <si>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</si>
  <si>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</si>
  <si>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</si>
  <si>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</si>
  <si>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</si>
  <si>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</si>
  <si>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</si>
  <si>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</si>
  <si>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</si>
  <si>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</si>
  <si>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</si>
  <si>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</si>
  <si>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</si>
  <si>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</si>
  <si>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</si>
  <si>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</si>
  <si>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</si>
  <si>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</si>
  <si>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</si>
  <si>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</si>
  <si>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</si>
  <si>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</si>
  <si>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</si>
  <si>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</si>
  <si>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</si>
  <si>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</si>
  <si>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</si>
  <si>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</si>
  <si>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</si>
  <si>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</si>
  <si>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</si>
  <si>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</si>
  <si>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</si>
  <si>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</si>
  <si>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</si>
  <si>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</si>
  <si>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</si>
  <si>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</si>
  <si>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</si>
  <si>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</si>
  <si>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</si>
  <si>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</si>
  <si>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</si>
  <si>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</si>
  <si>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</si>
  <si>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</si>
  <si>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</si>
  <si>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</si>
  <si>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</si>
  <si>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</si>
  <si>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</si>
  <si>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</si>
  <si>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</si>
  <si>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</si>
  <si>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</si>
  <si>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</si>
  <si>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</si>
  <si>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</si>
  <si>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</si>
  <si>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</si>
  <si>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</si>
  <si>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</si>
  <si>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</si>
  <si>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</si>
  <si>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</si>
  <si>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</si>
  <si>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</si>
  <si>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</si>
  <si>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</si>
  <si>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</si>
  <si>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</si>
  <si>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</si>
  <si>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</si>
  <si>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</si>
  <si>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</si>
  <si>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</si>
  <si>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</si>
  <si>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</si>
  <si>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</si>
  <si>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</si>
  <si>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</si>
  <si>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</si>
  <si>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</si>
  <si>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</si>
  <si>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</si>
  <si>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</si>
  <si>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</si>
  <si>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</si>
  <si>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</si>
  <si>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</si>
  <si>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</si>
  <si>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</si>
  <si>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</si>
  <si>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</si>
  <si>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</si>
  <si>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</si>
  <si>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</si>
  <si>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</si>
  <si>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</si>
  <si>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</si>
  <si>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</si>
  <si>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</si>
  <si>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</si>
  <si>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</si>
  <si>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</si>
  <si>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</si>
  <si>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</si>
  <si>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</si>
  <si>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</si>
  <si>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</si>
  <si>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</si>
  <si>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</si>
  <si>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</si>
  <si>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</si>
  <si>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</si>
  <si>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</si>
  <si>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</si>
  <si>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</si>
  <si>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</si>
  <si>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</si>
  <si>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</si>
  <si>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</si>
  <si>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</si>
  <si>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</si>
  <si>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</si>
  <si>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</si>
  <si>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</si>
  <si>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</si>
  <si>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</si>
  <si>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</si>
  <si>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</si>
  <si>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</si>
  <si>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</si>
  <si>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</si>
  <si>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</si>
  <si>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</si>
  <si>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</si>
  <si>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</si>
  <si>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</si>
  <si>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</si>
  <si>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</si>
  <si>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</si>
  <si>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</si>
  <si>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</si>
  <si>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</si>
  <si>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</si>
  <si>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</si>
  <si>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</si>
  <si>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</si>
  <si>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</si>
  <si>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</si>
  <si>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</si>
  <si>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</si>
  <si>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</si>
  <si>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</si>
  <si>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</si>
  <si>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</si>
  <si>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</si>
  <si>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</si>
  <si>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</si>
  <si>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</si>
  <si>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</si>
  <si>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</si>
  <si>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</si>
  <si>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</si>
  <si>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</si>
  <si>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</si>
  <si>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</si>
  <si>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</si>
  <si>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</si>
  <si>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</si>
  <si>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</si>
  <si>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</si>
  <si>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</si>
  <si>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</si>
  <si>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</si>
  <si>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</si>
  <si>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</si>
  <si>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</si>
  <si>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</si>
  <si>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</si>
  <si>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</si>
  <si>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</si>
  <si>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</si>
  <si>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</si>
  <si>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</si>
  <si>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</si>
  <si>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</si>
  <si>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</si>
  <si>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</si>
  <si>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</si>
  <si>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</si>
  <si>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</si>
  <si>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</si>
  <si>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</si>
  <si>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</si>
  <si>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</si>
  <si>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</si>
  <si>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</si>
  <si>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</si>
  <si>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</si>
  <si>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</si>
  <si>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</si>
  <si>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</si>
  <si>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</si>
  <si>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</si>
  <si>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</si>
  <si>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</si>
  <si>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</si>
  <si>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</si>
  <si>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</si>
  <si>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</si>
  <si>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</si>
  <si>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</si>
  <si>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</si>
  <si>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</si>
  <si>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</si>
  <si>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</si>
  <si>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</si>
  <si>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</si>
  <si>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</si>
  <si>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</si>
  <si>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</si>
  <si>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</si>
  <si>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</si>
  <si>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</si>
  <si>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</si>
  <si>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</si>
  <si>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</si>
  <si>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</si>
  <si>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</si>
  <si>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</si>
  <si>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</si>
  <si>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</si>
  <si>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</si>
  <si>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</si>
  <si>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</si>
  <si>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</si>
  <si>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</si>
  <si>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</si>
  <si>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</si>
  <si>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</si>
  <si>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</si>
  <si>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</si>
  <si>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</si>
  <si>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</si>
  <si>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</si>
  <si>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</si>
  <si>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</si>
  <si>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</si>
  <si>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</si>
  <si>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</si>
  <si>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</si>
  <si>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</si>
  <si>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</si>
  <si>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</si>
  <si>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</si>
  <si>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</si>
  <si>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</si>
  <si>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</si>
  <si>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</si>
  <si>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</si>
  <si>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</si>
  <si>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</si>
  <si>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</si>
  <si>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</si>
  <si>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</si>
  <si>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</si>
  <si>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</si>
  <si>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</si>
  <si>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</si>
  <si>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</si>
  <si>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</si>
  <si>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</si>
  <si>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</si>
  <si>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</si>
  <si>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</si>
  <si>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</si>
  <si>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</si>
  <si>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</si>
  <si>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</si>
  <si>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</si>
  <si>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</si>
  <si>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</si>
  <si>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</si>
  <si>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</si>
  <si>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</si>
  <si>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</si>
  <si>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</si>
  <si>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</si>
  <si>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</si>
  <si>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</si>
  <si>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</si>
  <si>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</si>
  <si>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</si>
  <si>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</si>
  <si>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</si>
  <si>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</si>
  <si>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</si>
  <si>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</si>
  <si>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</si>
  <si>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</si>
  <si>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</si>
  <si>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</si>
  <si>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</si>
  <si>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</si>
  <si>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</si>
  <si>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</si>
  <si>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</si>
  <si>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</si>
  <si>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</si>
  <si>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</si>
  <si>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</si>
  <si>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</si>
  <si>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</si>
  <si>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</si>
  <si>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</si>
  <si>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</si>
  <si>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</si>
  <si>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</si>
  <si>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</si>
  <si>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</si>
  <si>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</si>
  <si>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</si>
  <si>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</si>
  <si>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</si>
  <si>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</si>
  <si>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</si>
  <si>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</si>
  <si>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</si>
  <si>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</si>
  <si>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</si>
  <si>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</si>
  <si>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</si>
  <si>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</si>
  <si>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</si>
  <si>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</si>
  <si>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</si>
  <si>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</si>
  <si>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</si>
  <si>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</si>
  <si>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</si>
  <si>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</si>
  <si>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</si>
  <si>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</si>
  <si>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</si>
  <si>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</si>
  <si>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</si>
  <si>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</si>
  <si>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</si>
  <si>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</si>
  <si>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</si>
  <si>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</si>
  <si>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</si>
  <si>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</si>
  <si>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</si>
  <si>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</si>
  <si>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</si>
  <si>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</si>
  <si>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</si>
  <si>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</si>
  <si>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</si>
  <si>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</si>
  <si>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</si>
  <si>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</si>
  <si>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</si>
  <si>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</si>
  <si>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</si>
  <si>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</si>
  <si>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</si>
  <si>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</si>
  <si>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</si>
  <si>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</si>
  <si>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</si>
  <si>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</si>
  <si>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</si>
  <si>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</si>
  <si>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</si>
  <si>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</si>
  <si>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</si>
  <si>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</si>
  <si>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</si>
  <si>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</si>
  <si>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</si>
  <si>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</si>
  <si>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</si>
  <si>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</si>
  <si>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</si>
  <si>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</si>
  <si>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</si>
  <si>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</si>
  <si>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</si>
  <si>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</si>
  <si>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</si>
  <si>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</si>
  <si>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</si>
  <si>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</si>
  <si>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</si>
  <si>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</si>
  <si>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</si>
  <si>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</si>
  <si>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</si>
  <si>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</si>
  <si>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</si>
  <si>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</si>
  <si>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</si>
  <si>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</si>
  <si>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</si>
  <si>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</si>
  <si>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</si>
  <si>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</si>
  <si>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</si>
  <si>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</si>
  <si>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</si>
  <si>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</si>
  <si>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</si>
  <si>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</si>
  <si>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</si>
  <si>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</si>
  <si>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</si>
  <si>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</si>
  <si>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</si>
  <si>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</si>
  <si>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</si>
  <si>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</si>
  <si>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</si>
  <si>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</si>
  <si>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</si>
  <si>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</si>
  <si>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</si>
  <si>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</si>
  <si>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</si>
  <si>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</si>
  <si>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</si>
  <si>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</si>
  <si>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</si>
  <si>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</si>
  <si>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</si>
  <si>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</si>
  <si>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</si>
  <si>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</si>
  <si>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</si>
  <si>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</si>
  <si>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</si>
  <si>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</si>
  <si>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</si>
  <si>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</si>
  <si>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</si>
  <si>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</si>
  <si>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</si>
  <si>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</si>
  <si>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</si>
  <si>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</si>
  <si>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</si>
  <si>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</si>
  <si>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</si>
  <si>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</si>
  <si>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</si>
  <si>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</si>
  <si>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</si>
  <si>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</si>
  <si>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</si>
  <si>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</si>
  <si>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</si>
  <si>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</si>
  <si>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</si>
  <si>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</si>
  <si>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</si>
  <si>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</si>
  <si>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</si>
  <si>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</si>
  <si>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</si>
  <si>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</si>
  <si>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</si>
  <si>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</si>
  <si>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</si>
  <si>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</si>
  <si>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</si>
  <si>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</si>
  <si>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</si>
  <si>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</si>
  <si>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</si>
  <si>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</si>
  <si>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</si>
  <si>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</si>
  <si>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</si>
  <si>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</si>
  <si>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</si>
  <si>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</si>
  <si>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</si>
  <si>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</si>
  <si>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</si>
  <si>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</si>
  <si>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</si>
  <si>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</si>
  <si>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</si>
  <si>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</si>
  <si>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</si>
  <si>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</si>
  <si>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</si>
  <si>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</si>
  <si>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</si>
  <si>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</si>
  <si>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</si>
  <si>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</si>
  <si>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</si>
  <si>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</si>
  <si>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</si>
  <si>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</si>
  <si>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</si>
  <si>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</si>
  <si>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</si>
  <si>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</si>
  <si>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</si>
  <si>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</si>
  <si>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</si>
  <si>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</si>
  <si>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</si>
  <si>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</si>
  <si>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</si>
  <si>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</si>
  <si>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</si>
  <si>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</si>
  <si>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</si>
  <si>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</si>
  <si>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</si>
  <si>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</si>
  <si>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</si>
  <si>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</si>
  <si>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</si>
  <si>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</si>
  <si>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</si>
  <si>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</si>
  <si>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</si>
  <si>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</si>
  <si>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</si>
  <si>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</si>
  <si>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</si>
  <si>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</si>
  <si>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</si>
  <si>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</si>
  <si>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</si>
  <si>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</si>
  <si>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</si>
  <si>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</si>
  <si>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</si>
  <si>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</si>
  <si>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</si>
  <si>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</si>
  <si>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</si>
  <si>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</si>
  <si>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</si>
  <si>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</si>
  <si>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</si>
  <si>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</si>
  <si>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</si>
  <si>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</si>
  <si>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</si>
  <si>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</si>
  <si>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</si>
  <si>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</si>
  <si>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</si>
  <si>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</si>
  <si>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</si>
  <si>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</si>
  <si>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</si>
  <si>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</si>
  <si>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</si>
  <si>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</si>
  <si>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</si>
  <si>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</si>
  <si>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</si>
  <si>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</si>
  <si>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</si>
  <si>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</si>
  <si>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</si>
  <si>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</si>
  <si>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</si>
  <si>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</si>
  <si>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</si>
  <si>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</si>
  <si>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</si>
  <si>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</si>
  <si>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</si>
  <si>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</si>
  <si>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</si>
  <si>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</si>
  <si>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</si>
  <si>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</si>
  <si>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</si>
  <si>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</si>
  <si>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</si>
  <si>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</si>
  <si>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</si>
  <si>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</si>
  <si>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</si>
  <si>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</si>
  <si>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</si>
  <si>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</si>
  <si>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</si>
  <si>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</si>
  <si>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</si>
  <si>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</si>
  <si>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</si>
  <si>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</si>
  <si>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</si>
  <si>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</si>
  <si>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</si>
  <si>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</si>
  <si>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</si>
  <si>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</si>
  <si>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</si>
  <si>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</si>
  <si>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</si>
  <si>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</si>
  <si>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</si>
  <si>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</si>
  <si>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</si>
  <si>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</si>
  <si>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</si>
  <si>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</si>
  <si>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</si>
  <si>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</si>
  <si>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</si>
  <si>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</si>
  <si>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</si>
  <si>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</si>
  <si>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</si>
  <si>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</si>
  <si>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</si>
  <si>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</si>
  <si>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</si>
  <si>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</si>
  <si>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</si>
  <si>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</si>
  <si>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</si>
  <si>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</si>
  <si>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</si>
  <si>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</si>
  <si>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</si>
  <si>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</si>
  <si>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</si>
  <si>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</si>
  <si>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</si>
  <si>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</si>
  <si>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</si>
  <si>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</si>
  <si>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</si>
  <si>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</si>
  <si>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</si>
  <si>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</si>
  <si>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</si>
  <si>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</si>
  <si>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</si>
  <si>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</si>
  <si>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</si>
  <si>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</si>
  <si>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</si>
  <si>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</si>
  <si>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</si>
  <si>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</si>
  <si>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</si>
  <si>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</si>
  <si>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</si>
  <si>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</si>
  <si>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</si>
  <si>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</si>
  <si>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</si>
  <si>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</si>
  <si>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</si>
  <si>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</si>
  <si>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</si>
  <si>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</si>
  <si>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</si>
  <si>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</si>
  <si>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</si>
  <si>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</si>
  <si>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</si>
  <si>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</si>
  <si>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</si>
  <si>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</si>
  <si>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</si>
  <si>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</si>
  <si>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</si>
  <si>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</si>
  <si>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</si>
  <si>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</si>
  <si>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</si>
  <si>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</si>
  <si>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</si>
  <si>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</si>
  <si>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</si>
  <si>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</si>
  <si>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</si>
  <si>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</si>
  <si>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</si>
  <si>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</si>
  <si>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</si>
  <si>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</si>
  <si>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</si>
  <si>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</si>
  <si>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</si>
  <si>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</si>
  <si>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</si>
  <si>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</si>
  <si>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</si>
  <si>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</si>
  <si>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</si>
  <si>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</si>
  <si>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</si>
  <si>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</si>
  <si>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</si>
  <si>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</si>
  <si>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</si>
  <si>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</si>
  <si>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</si>
  <si>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</si>
  <si>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</si>
  <si>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</si>
  <si>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</si>
  <si>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</si>
  <si>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</si>
  <si>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</si>
  <si>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</si>
  <si>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</si>
  <si>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</si>
  <si>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</si>
  <si>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</si>
  <si>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</si>
  <si>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</si>
  <si>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</si>
  <si>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</si>
  <si>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</si>
  <si>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</si>
  <si>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</si>
  <si>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</si>
  <si>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</si>
  <si>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</si>
  <si>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</si>
  <si>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</si>
  <si>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</si>
  <si>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</si>
  <si>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</si>
  <si>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</si>
  <si>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</si>
  <si>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</si>
  <si>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</si>
  <si>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</si>
  <si>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</si>
  <si>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</si>
  <si>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</si>
  <si>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</si>
  <si>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</si>
  <si>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</si>
  <si>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</si>
  <si>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</si>
  <si>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</si>
  <si>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</si>
  <si>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</si>
  <si>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</si>
  <si>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</si>
  <si>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</si>
  <si>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</si>
  <si>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</si>
  <si>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</si>
  <si>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</si>
  <si>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</si>
  <si>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</si>
  <si>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</si>
  <si>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</si>
  <si>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</si>
  <si>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</si>
  <si>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</si>
  <si>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</si>
  <si>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</si>
  <si>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</si>
  <si>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</si>
  <si>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</si>
  <si>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</si>
  <si>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</si>
  <si>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</si>
  <si>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</si>
  <si>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</si>
  <si>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</si>
  <si>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</si>
  <si>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</si>
  <si>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</si>
  <si>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</si>
  <si>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</si>
  <si>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</si>
  <si>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</si>
  <si>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</si>
  <si>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</si>
  <si>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</si>
  <si>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</si>
  <si>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</si>
  <si>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</si>
  <si>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</si>
  <si>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</si>
  <si>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</si>
  <si>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</si>
  <si>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</si>
  <si>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</si>
  <si>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</si>
  <si>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</si>
  <si>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</si>
  <si>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</si>
  <si>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</si>
  <si>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</si>
  <si>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</si>
  <si>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</si>
  <si>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</si>
  <si>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</si>
  <si>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</si>
  <si>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</si>
  <si>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</si>
  <si>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</si>
  <si>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</si>
  <si>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</si>
  <si>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</si>
  <si>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</si>
  <si>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</si>
  <si>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</si>
  <si>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</si>
  <si>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</si>
  <si>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</si>
  <si>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</si>
  <si>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</si>
  <si>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</si>
  <si>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</si>
  <si>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</si>
  <si>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</si>
  <si>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</si>
  <si>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</si>
  <si>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</si>
  <si>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</si>
  <si>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</si>
  <si>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</si>
  <si>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</si>
  <si>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</si>
  <si>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</si>
  <si>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</si>
  <si>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</si>
  <si>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</si>
  <si>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</si>
  <si>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</si>
  <si>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</si>
  <si>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</si>
  <si>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</si>
  <si>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</si>
  <si>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</si>
  <si>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</si>
  <si>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</si>
  <si>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</si>
  <si>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</si>
  <si>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</si>
  <si>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</si>
  <si>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</si>
  <si>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</si>
  <si>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</si>
  <si>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</si>
  <si>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</si>
  <si>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</si>
  <si>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</si>
  <si>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</si>
  <si>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</si>
  <si>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</si>
  <si>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</si>
  <si>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</si>
  <si>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</si>
  <si>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</si>
  <si>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</si>
  <si>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</si>
  <si>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</si>
  <si>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</si>
  <si>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</si>
  <si>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</si>
  <si>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</si>
  <si>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</si>
  <si>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</si>
  <si>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</si>
  <si>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</si>
  <si>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</si>
  <si>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</si>
  <si>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</si>
  <si>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</si>
  <si>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</si>
  <si>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</si>
  <si>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</si>
  <si>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</si>
  <si>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</si>
  <si>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</si>
  <si>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</si>
  <si>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</si>
  <si>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</si>
  <si>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</si>
  <si>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</si>
  <si>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</si>
  <si>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</si>
  <si>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</si>
  <si>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</si>
  <si>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</si>
  <si>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</si>
  <si>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</si>
  <si>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</si>
  <si>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</si>
  <si>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</si>
  <si>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</si>
  <si>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</si>
  <si>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</si>
  <si>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</si>
  <si>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</si>
  <si>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</si>
  <si>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</si>
  <si>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</si>
  <si>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</si>
  <si>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</si>
  <si>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</si>
  <si>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</si>
  <si>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</si>
  <si>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</si>
  <si>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</si>
  <si>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</si>
  <si>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</si>
  <si>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</si>
  <si>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</si>
  <si>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</si>
  <si>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</si>
  <si>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</si>
  <si>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</si>
  <si>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</si>
  <si>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</si>
  <si>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</si>
  <si>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</si>
  <si>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</si>
  <si>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</si>
  <si>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</si>
  <si>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</si>
  <si>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</si>
  <si>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</si>
  <si>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</si>
  <si>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</si>
  <si>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</si>
  <si>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</si>
  <si>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</si>
  <si>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</si>
  <si>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</si>
  <si>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</si>
  <si>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</si>
  <si>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</si>
  <si>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</si>
  <si>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</si>
  <si>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</si>
  <si>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</si>
  <si>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</si>
  <si>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</si>
  <si>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</si>
  <si>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</si>
  <si>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</si>
  <si>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</si>
  <si>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</si>
  <si>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</si>
  <si>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</si>
  <si>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</si>
  <si>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</si>
  <si>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</si>
  <si>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</si>
  <si>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</si>
  <si>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</si>
  <si>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</si>
  <si>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</si>
  <si>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</si>
  <si>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</si>
  <si>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</si>
  <si>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</si>
  <si>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</si>
  <si>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</si>
  <si>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</si>
  <si>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</si>
  <si>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</si>
  <si>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</si>
  <si>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</si>
  <si>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</si>
  <si>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</si>
  <si>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</si>
  <si>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</si>
  <si>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</si>
  <si>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</si>
  <si>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</si>
  <si>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</si>
  <si>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</si>
  <si>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</si>
  <si>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</si>
  <si>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</si>
  <si>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</si>
  <si>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</si>
  <si>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</si>
  <si>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</si>
  <si>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</si>
  <si>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</si>
  <si>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</si>
  <si>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</si>
  <si>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</si>
  <si>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</si>
  <si>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</si>
  <si>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</si>
  <si>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</si>
  <si>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</si>
  <si>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</si>
  <si>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</si>
  <si>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</si>
  <si>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</si>
  <si>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</si>
  <si>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</si>
  <si>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</si>
  <si>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</si>
  <si>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</si>
  <si>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</si>
  <si>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</si>
  <si>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</si>
  <si>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</si>
  <si>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</si>
  <si>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</si>
  <si>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</si>
  <si>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</si>
  <si>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</si>
  <si>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</si>
  <si>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</si>
  <si>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</si>
  <si>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</si>
  <si>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</si>
  <si>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</si>
  <si>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</si>
  <si>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</si>
  <si>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</si>
  <si>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</si>
  <si>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</si>
  <si>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</si>
  <si>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</si>
  <si>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</si>
  <si>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</si>
  <si>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</si>
  <si>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</si>
  <si>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</si>
  <si>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</si>
  <si>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</si>
  <si>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</si>
  <si>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</si>
  <si>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</si>
  <si>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</si>
  <si>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</si>
  <si>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</si>
  <si>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</si>
  <si>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</si>
  <si>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</si>
  <si>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</si>
  <si>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</si>
  <si>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</si>
  <si>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</si>
  <si>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</si>
  <si>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</si>
  <si>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</si>
  <si>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</si>
  <si>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</si>
  <si>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</si>
  <si>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</si>
  <si>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</si>
  <si>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</si>
  <si>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</si>
  <si>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</si>
  <si>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</si>
  <si>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</si>
  <si>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</si>
  <si>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</si>
  <si>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</si>
  <si>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</si>
  <si>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</si>
  <si>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</si>
  <si>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</si>
  <si>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</si>
  <si>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</si>
  <si>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</si>
  <si>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</si>
  <si>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</si>
  <si>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</si>
  <si>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</si>
  <si>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</si>
  <si>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</si>
  <si>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</si>
  <si>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</si>
  <si>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</si>
  <si>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</si>
  <si>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</si>
  <si>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</si>
  <si>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</si>
  <si>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</si>
  <si>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</si>
  <si>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</si>
  <si>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</si>
  <si>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</si>
  <si>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</si>
  <si>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</si>
  <si>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</si>
  <si>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</si>
  <si>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</si>
  <si>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</si>
  <si>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</si>
  <si>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</si>
  <si>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</si>
  <si>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</si>
  <si>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</si>
  <si>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</si>
  <si>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</si>
  <si>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</si>
  <si>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</si>
  <si>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</si>
  <si>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</si>
  <si>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</si>
  <si>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</si>
  <si>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</si>
  <si>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</si>
  <si>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</si>
  <si>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</si>
  <si>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</si>
  <si>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</si>
  <si>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</si>
  <si>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</si>
  <si>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</si>
  <si>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</si>
  <si>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</si>
  <si>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</si>
  <si>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</si>
  <si>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</si>
  <si>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</si>
  <si>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</si>
  <si>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</si>
  <si>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</si>
  <si>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</si>
  <si>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</si>
  <si>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</si>
  <si>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</si>
  <si>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</si>
  <si>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</si>
  <si>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</si>
  <si>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</si>
  <si>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</si>
  <si>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</si>
  <si>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</si>
  <si>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</si>
  <si>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</si>
  <si>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</si>
  <si>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</si>
  <si>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</si>
  <si>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</si>
  <si>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</si>
  <si>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</si>
  <si>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</si>
  <si>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</si>
  <si>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</si>
  <si>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</si>
  <si>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</si>
  <si>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</si>
  <si>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</si>
  <si>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</si>
  <si>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</si>
  <si>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</si>
  <si>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</si>
  <si>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</si>
  <si>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</si>
  <si>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</si>
  <si>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</si>
  <si>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</si>
  <si>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</si>
  <si>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</si>
  <si>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</si>
  <si>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</si>
  <si>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</si>
  <si>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</si>
  <si>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</si>
  <si>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</si>
  <si>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</si>
  <si>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</si>
  <si>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</si>
  <si>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</si>
  <si>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</si>
  <si>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</si>
  <si>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</si>
  <si>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</si>
  <si>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</si>
  <si>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</si>
  <si>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</si>
  <si>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</si>
  <si>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</si>
  <si>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</si>
  <si>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</si>
  <si>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</si>
  <si>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</si>
  <si>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</si>
  <si>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</si>
  <si>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</si>
  <si>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</si>
  <si>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</si>
  <si>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</si>
  <si>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</si>
  <si>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</si>
  <si>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</si>
  <si>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</si>
  <si>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</si>
  <si>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</si>
  <si>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</si>
  <si>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</si>
  <si>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</si>
  <si>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</si>
  <si>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</si>
  <si>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</si>
  <si>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</si>
  <si>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</si>
  <si>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</si>
  <si>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</si>
  <si>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</si>
  <si>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</si>
  <si>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</si>
  <si>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</si>
  <si>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</si>
  <si>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</si>
  <si>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</si>
  <si>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</si>
  <si>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</si>
  <si>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</si>
  <si>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</si>
  <si>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</si>
  <si>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</si>
  <si>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</si>
  <si>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</si>
  <si>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</si>
  <si>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</si>
  <si>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</si>
  <si>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</si>
  <si>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</si>
  <si>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</si>
  <si>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</si>
  <si>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</si>
  <si>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</si>
  <si>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</si>
  <si>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</si>
  <si>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</si>
  <si>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</si>
  <si>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</si>
  <si>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</si>
  <si>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</si>
  <si>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</si>
  <si>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</si>
  <si>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</si>
  <si>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</si>
  <si>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</si>
  <si>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</si>
  <si>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</si>
  <si>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</si>
  <si>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</si>
  <si>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</si>
  <si>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</si>
  <si>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</si>
  <si>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</si>
  <si>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</si>
  <si>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</si>
  <si>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</si>
  <si>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</si>
  <si>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</si>
  <si>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</si>
  <si>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</si>
  <si>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</si>
  <si>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</si>
  <si>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</si>
  <si>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</si>
  <si>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</si>
  <si>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</si>
  <si>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</si>
  <si>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</si>
  <si>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</si>
  <si>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</si>
  <si>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</si>
  <si>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</si>
  <si>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</si>
  <si>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</si>
  <si>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</si>
  <si>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</si>
  <si>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</si>
  <si>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</si>
  <si>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</si>
  <si>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</si>
  <si>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</si>
  <si>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</si>
  <si>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</si>
  <si>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</si>
  <si>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</si>
  <si>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</si>
  <si>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</si>
  <si>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</si>
  <si>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</si>
  <si>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</si>
  <si>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</si>
  <si>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</si>
  <si>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</si>
  <si>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</si>
  <si>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</si>
  <si>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</si>
  <si>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</si>
  <si>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</si>
  <si>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</si>
  <si>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</si>
  <si>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</si>
  <si>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</si>
  <si>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</si>
  <si>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</si>
  <si>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</si>
  <si>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</si>
  <si>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</si>
  <si>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</si>
  <si>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</si>
  <si>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</si>
  <si>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</si>
  <si>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</si>
  <si>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</si>
  <si>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</si>
  <si>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</si>
  <si>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</si>
  <si>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</si>
  <si>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</si>
  <si>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</si>
  <si>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</si>
  <si>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</si>
  <si>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</si>
  <si>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</si>
  <si>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</si>
  <si>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</si>
  <si>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</si>
  <si>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</si>
  <si>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</si>
  <si>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</si>
  <si>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</si>
  <si>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</si>
  <si>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</si>
  <si>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</si>
  <si>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</si>
  <si>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</si>
  <si>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</si>
  <si>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</si>
  <si>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</si>
  <si>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</si>
  <si>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</si>
  <si>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</si>
  <si>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</si>
  <si>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</si>
  <si>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</si>
  <si>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</si>
  <si>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</si>
  <si>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</si>
  <si>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</si>
  <si>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</si>
  <si>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</si>
  <si>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</si>
  <si>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</si>
  <si>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</si>
  <si>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</si>
  <si>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</si>
  <si>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</si>
  <si>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</si>
  <si>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</si>
  <si>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</si>
  <si>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</si>
  <si>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</si>
  <si>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</si>
  <si>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</si>
  <si>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</si>
  <si>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</si>
  <si>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</si>
  <si>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</si>
  <si>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</si>
  <si>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</si>
  <si>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</si>
  <si>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</si>
  <si>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</si>
  <si>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</si>
  <si>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</si>
  <si>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</si>
  <si>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</si>
  <si>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</si>
  <si>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</si>
  <si>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</si>
  <si>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</si>
  <si>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</si>
  <si>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</si>
  <si>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</si>
  <si>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</si>
  <si>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</si>
  <si>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</si>
  <si>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</si>
  <si>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</si>
  <si>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</si>
  <si>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</si>
  <si>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</si>
  <si>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</si>
  <si>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</si>
  <si>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</si>
  <si>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</si>
  <si>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</si>
  <si>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</si>
  <si>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</si>
  <si>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</si>
  <si>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</si>
  <si>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</si>
  <si>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</si>
  <si>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</si>
  <si>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</si>
  <si>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</si>
  <si>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</si>
  <si>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</si>
  <si>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</si>
  <si>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</si>
  <si>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</si>
  <si>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</si>
  <si>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</si>
  <si>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</si>
  <si>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</si>
  <si>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</si>
  <si>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</si>
  <si>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</si>
  <si>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</si>
  <si>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</si>
  <si>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</si>
  <si>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</si>
  <si>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</si>
  <si>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</si>
  <si>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</si>
  <si>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</si>
  <si>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</si>
  <si>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</si>
  <si>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</si>
  <si>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</si>
  <si>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</si>
  <si>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</si>
  <si>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</si>
  <si>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</si>
  <si>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</si>
  <si>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</si>
  <si>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</si>
  <si>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</si>
  <si>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</si>
  <si>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</si>
  <si>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</si>
  <si>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</si>
  <si>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</si>
  <si>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</si>
  <si>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</si>
  <si>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</si>
  <si>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</si>
  <si>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</si>
  <si>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</si>
  <si>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</si>
  <si>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</si>
  <si>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</si>
  <si>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</si>
  <si>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</si>
  <si>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</si>
  <si>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</si>
  <si>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</si>
  <si>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</si>
  <si>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</si>
  <si>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</si>
  <si>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</si>
  <si>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</si>
  <si>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</si>
  <si>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</si>
  <si>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</si>
  <si>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</si>
  <si>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</si>
  <si>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</si>
  <si>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</si>
  <si>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</si>
  <si>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</si>
  <si>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</si>
  <si>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</si>
  <si>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</si>
  <si>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</si>
  <si>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</si>
  <si>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</si>
  <si>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</si>
  <si>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</si>
  <si>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</si>
  <si>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</si>
  <si>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</si>
  <si>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</si>
  <si>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</si>
  <si>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</si>
  <si>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</si>
  <si>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</si>
  <si>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</si>
  <si>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</si>
  <si>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</si>
  <si>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</si>
  <si>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</si>
  <si>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</si>
  <si>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</si>
  <si>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</si>
  <si>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</si>
  <si>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</si>
  <si>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</si>
  <si>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</si>
  <si>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</si>
  <si>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</si>
  <si>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</si>
  <si>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</si>
  <si>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</si>
  <si>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</si>
  <si>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</si>
  <si>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</si>
  <si>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</si>
  <si>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</si>
  <si>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</si>
  <si>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</si>
  <si>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</si>
  <si>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</si>
  <si>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</si>
  <si>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</si>
  <si>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</si>
  <si>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</si>
  <si>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</si>
  <si>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</si>
  <si>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</si>
  <si>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</si>
  <si>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</si>
  <si>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</si>
  <si>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</si>
  <si>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</si>
  <si>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</si>
  <si>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</si>
  <si>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</si>
  <si>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</si>
  <si>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</si>
  <si>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</si>
  <si>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</si>
  <si>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</si>
  <si>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</si>
  <si>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</si>
  <si>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</si>
  <si>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</si>
  <si>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</si>
  <si>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</si>
  <si>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</si>
  <si>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</si>
  <si>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</si>
  <si>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</si>
  <si>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</si>
  <si>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</si>
  <si>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</si>
  <si>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</si>
  <si>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</si>
  <si>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</si>
  <si>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</si>
  <si>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</si>
  <si>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</si>
  <si>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</si>
  <si>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</si>
  <si>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</si>
  <si>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</si>
  <si>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</si>
  <si>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</si>
  <si>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</si>
  <si>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</si>
  <si>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</si>
  <si>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</si>
  <si>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</si>
  <si>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</si>
  <si>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</si>
  <si>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</si>
  <si>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</si>
  <si>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</si>
  <si>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</si>
  <si>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</si>
  <si>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</si>
  <si>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</si>
  <si>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</si>
  <si>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</si>
  <si>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</si>
  <si>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</si>
  <si>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</si>
  <si>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</si>
  <si>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</si>
  <si>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</si>
  <si>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</si>
  <si>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</si>
  <si>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</si>
  <si>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</si>
  <si>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</si>
  <si>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</si>
  <si>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</si>
  <si>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</si>
  <si>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</si>
  <si>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</si>
  <si>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</si>
  <si>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</si>
  <si>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</si>
  <si>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</si>
  <si>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</si>
  <si>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</si>
  <si>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</si>
  <si>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</si>
  <si>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</si>
  <si>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</si>
  <si>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</si>
  <si>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</si>
  <si>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</si>
  <si>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</si>
  <si>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</si>
  <si>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</si>
  <si>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</si>
  <si>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</si>
  <si>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</si>
  <si>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</si>
  <si>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</si>
  <si>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</si>
  <si>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</si>
  <si>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</si>
  <si>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</si>
  <si>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</si>
  <si>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</si>
  <si>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</si>
  <si>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</si>
  <si>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</si>
  <si>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</si>
  <si>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</si>
  <si>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</si>
  <si>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</si>
  <si>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</si>
  <si>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</si>
  <si>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</si>
  <si>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</si>
  <si>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</si>
  <si>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</si>
  <si>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</si>
  <si>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</si>
  <si>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</si>
  <si>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</si>
  <si>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</si>
  <si>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</si>
  <si>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</si>
  <si>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</si>
  <si>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</si>
  <si>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</si>
  <si>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</si>
  <si>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</si>
  <si>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</si>
  <si>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</si>
  <si>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</si>
  <si>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</si>
  <si>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</si>
  <si>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</si>
  <si>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</si>
  <si>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</si>
  <si>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</si>
  <si>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</si>
  <si>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</si>
  <si>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</si>
  <si>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</si>
  <si>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</si>
  <si>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</si>
  <si>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</si>
  <si>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</si>
  <si>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</si>
  <si>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</si>
  <si>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</si>
  <si>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</si>
  <si>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</si>
  <si>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</si>
  <si>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</si>
  <si>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</si>
  <si>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</si>
  <si>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</si>
  <si>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</si>
  <si>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</si>
  <si>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</si>
  <si>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</si>
  <si>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</si>
  <si>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</si>
  <si>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</si>
  <si>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</si>
  <si>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</si>
  <si>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</si>
  <si>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</si>
  <si>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</si>
  <si>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</si>
  <si>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</si>
  <si>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</si>
  <si>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</si>
  <si>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</si>
  <si>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</si>
  <si>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</si>
  <si>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</si>
  <si>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</si>
  <si>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</si>
  <si>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</si>
  <si>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</si>
  <si>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</si>
  <si>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</si>
  <si>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</si>
  <si>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</si>
  <si>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</si>
  <si>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</si>
  <si>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</si>
  <si>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</si>
  <si>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</si>
  <si>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</si>
  <si>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</si>
  <si>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</si>
  <si>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</si>
  <si>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</si>
  <si>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</si>
  <si>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</si>
  <si>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</si>
  <si>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</si>
  <si>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</si>
  <si>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</si>
  <si>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</si>
  <si>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</si>
  <si>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</si>
  <si>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</si>
  <si>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</si>
  <si>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</si>
  <si>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</si>
  <si>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</si>
  <si>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</si>
  <si>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</si>
  <si>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</si>
  <si>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</si>
  <si>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</si>
  <si>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</si>
  <si>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</si>
  <si>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</si>
  <si>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</si>
  <si>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</si>
  <si>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</si>
  <si>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</si>
  <si>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</si>
  <si>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</si>
  <si>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</si>
  <si>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</si>
  <si>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</si>
  <si>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</si>
  <si>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</si>
  <si>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</si>
  <si>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</si>
  <si>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</si>
  <si>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</si>
  <si>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</si>
  <si>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</si>
  <si>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</si>
  <si>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</si>
  <si>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Schuyler</t>
  </si>
  <si>
    <t>740 N. Maple Avenue</t>
  </si>
  <si>
    <t>Rushville</t>
  </si>
  <si>
    <t>Tim C. Custis, CPA</t>
  </si>
  <si>
    <t>tcustis@gorenzcpa.com</t>
  </si>
  <si>
    <t>bfretueg@sid5.com</t>
  </si>
  <si>
    <t>Beau Fretueg</t>
  </si>
  <si>
    <t>(217) 322-4311</t>
  </si>
  <si>
    <t>(217) 322-4398</t>
  </si>
  <si>
    <t>There were no Findings for the year ending June 30, 2019.</t>
  </si>
  <si>
    <t>x</t>
  </si>
  <si>
    <t>Alternative Revenue Bonds</t>
  </si>
  <si>
    <t>Laptops</t>
  </si>
  <si>
    <t>Working Cash Bonds</t>
  </si>
  <si>
    <t>Capital Leases</t>
  </si>
  <si>
    <t>Western Area Schools</t>
  </si>
  <si>
    <t>West Central Special Ed Co-op</t>
  </si>
  <si>
    <t>Western Area Career System</t>
  </si>
  <si>
    <t>Brown County Beardstown</t>
  </si>
  <si>
    <t>NONE</t>
  </si>
  <si>
    <t>Page 24, Line 33 - Capital Lease</t>
  </si>
  <si>
    <t>Page 5, Line 12 - Loan to Flex Account</t>
  </si>
  <si>
    <t>Page 11, Cell C107 - Refunds and Reimbursements</t>
  </si>
  <si>
    <t>Page 11, Cell F107 - Refunds and Reimbursements</t>
  </si>
  <si>
    <t>Page 18, Line 171 - Bank Agent Fees</t>
  </si>
  <si>
    <t>West Prairie</t>
  </si>
  <si>
    <t>See PDF version</t>
  </si>
  <si>
    <t>Schuyler Industry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</si>
</sst>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26085005026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2063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2087</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2061</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2062</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2065</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62681</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2067</v>
      </c>
      <c r="B42" s="2057"/>
      <c r="C42" s="2058"/>
      <c r="D42" s="2056" t="s">
        <v>2068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2" right="0.2" top="0.5" bottom="0.5" header="0.19" footer="0.17"/>
  <pageSetup scale="76"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2826239</v>
      </c>
      <c r="C4" s="1722">
        <v>321699</v>
      </c>
      <c r="D4" s="1723">
        <f>B4-C4</f>
        <v>2504540</v>
      </c>
      <c r="E4" s="1722">
        <v>3223787</v>
      </c>
      <c r="F4" s="1723">
        <f>E4-C4</f>
        <v>2902088</v>
      </c>
    </row>
    <row r="5" spans="1:8" ht="13.7" customHeight="1" x14ac:dyDescent="0.2">
      <c r="A5" s="579" t="s">
        <v>865</v>
      </c>
      <c r="B5" s="1724">
        <f>'Revenues 9-14'!D5</f>
        <v>614399</v>
      </c>
      <c r="C5" s="1664">
        <v>69935</v>
      </c>
      <c r="D5" s="1725">
        <f t="shared" ref="D5:D18" si="0">B5-C5</f>
        <v>544464</v>
      </c>
      <c r="E5" s="1664">
        <v>700823</v>
      </c>
      <c r="F5" s="1725">
        <f>E5-C5</f>
        <v>630888</v>
      </c>
    </row>
    <row r="6" spans="1:8" ht="13.7" customHeight="1" x14ac:dyDescent="0.2">
      <c r="A6" s="579" t="s">
        <v>408</v>
      </c>
      <c r="B6" s="1724">
        <f>'Revenues 9-14'!E5</f>
        <v>513955</v>
      </c>
      <c r="C6" s="1664">
        <v>54617</v>
      </c>
      <c r="D6" s="1725">
        <f t="shared" si="0"/>
        <v>459338</v>
      </c>
      <c r="E6" s="1664">
        <v>547329</v>
      </c>
      <c r="F6" s="1725">
        <f t="shared" ref="F6:F18" si="1">E6-C6</f>
        <v>492712</v>
      </c>
    </row>
    <row r="7" spans="1:8" ht="13.7" customHeight="1" x14ac:dyDescent="0.2">
      <c r="A7" s="579" t="s">
        <v>154</v>
      </c>
      <c r="B7" s="1724">
        <f>'Revenues 9-14'!F5</f>
        <v>245760</v>
      </c>
      <c r="C7" s="1664">
        <v>27974</v>
      </c>
      <c r="D7" s="1725">
        <f t="shared" si="0"/>
        <v>217786</v>
      </c>
      <c r="E7" s="1664">
        <v>280329</v>
      </c>
      <c r="F7" s="1725">
        <f t="shared" si="1"/>
        <v>252355</v>
      </c>
    </row>
    <row r="8" spans="1:8" ht="13.7" customHeight="1" x14ac:dyDescent="0.2">
      <c r="A8" s="579" t="s">
        <v>1169</v>
      </c>
      <c r="B8" s="1724">
        <f>'Revenues 9-14'!G5</f>
        <v>189795</v>
      </c>
      <c r="C8" s="1664">
        <v>20457</v>
      </c>
      <c r="D8" s="1725">
        <f t="shared" si="0"/>
        <v>169338</v>
      </c>
      <c r="E8" s="1664">
        <v>205001</v>
      </c>
      <c r="F8" s="1725">
        <f t="shared" si="1"/>
        <v>184544</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61439</v>
      </c>
      <c r="C10" s="1664">
        <v>6993</v>
      </c>
      <c r="D10" s="1725">
        <f t="shared" si="0"/>
        <v>54446</v>
      </c>
      <c r="E10" s="1664">
        <v>70082</v>
      </c>
      <c r="F10" s="1725">
        <f t="shared" si="1"/>
        <v>63089</v>
      </c>
    </row>
    <row r="11" spans="1:8" x14ac:dyDescent="0.2">
      <c r="A11" s="579" t="s">
        <v>406</v>
      </c>
      <c r="B11" s="1724">
        <f>'Revenues 9-14'!J5</f>
        <v>740609</v>
      </c>
      <c r="C11" s="1664">
        <v>79832</v>
      </c>
      <c r="D11" s="1725">
        <f t="shared" si="0"/>
        <v>660777</v>
      </c>
      <c r="E11" s="1664">
        <v>800004</v>
      </c>
      <c r="F11" s="1725">
        <f t="shared" si="1"/>
        <v>720172</v>
      </c>
    </row>
    <row r="12" spans="1:8" ht="13.7" customHeight="1" x14ac:dyDescent="0.2">
      <c r="A12" s="579" t="s">
        <v>156</v>
      </c>
      <c r="B12" s="1724">
        <f>'Revenues 9-14'!K5</f>
        <v>61439</v>
      </c>
      <c r="C12" s="1664">
        <v>6993</v>
      </c>
      <c r="D12" s="1725">
        <f t="shared" si="0"/>
        <v>54446</v>
      </c>
      <c r="E12" s="1664">
        <v>70082</v>
      </c>
      <c r="F12" s="1725">
        <f t="shared" si="1"/>
        <v>63089</v>
      </c>
    </row>
    <row r="13" spans="1:8" ht="13.7" customHeight="1" x14ac:dyDescent="0.2">
      <c r="A13" s="579" t="s">
        <v>930</v>
      </c>
      <c r="B13" s="1724">
        <f>SUM('Revenues 9-14'!C6:D6)</f>
        <v>61439</v>
      </c>
      <c r="C13" s="1664">
        <v>6993</v>
      </c>
      <c r="D13" s="1725">
        <f t="shared" si="0"/>
        <v>54446</v>
      </c>
      <c r="E13" s="1664">
        <v>70082</v>
      </c>
      <c r="F13" s="1725">
        <f t="shared" si="1"/>
        <v>63089</v>
      </c>
    </row>
    <row r="14" spans="1:8" ht="13.7" customHeight="1" x14ac:dyDescent="0.2">
      <c r="A14" s="579" t="s">
        <v>407</v>
      </c>
      <c r="B14" s="1724">
        <f>SUM('Revenues 9-14'!C7:D7,'Revenues 9-14'!F7:H7)</f>
        <v>49152</v>
      </c>
      <c r="C14" s="1664">
        <v>5595</v>
      </c>
      <c r="D14" s="1725">
        <f t="shared" si="0"/>
        <v>43557</v>
      </c>
      <c r="E14" s="1664">
        <v>56066</v>
      </c>
      <c r="F14" s="1725">
        <f t="shared" si="1"/>
        <v>50471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212923</v>
      </c>
      <c r="C16" s="1664">
        <v>22953</v>
      </c>
      <c r="D16" s="1725">
        <f t="shared" si="0"/>
        <v>189970</v>
      </c>
      <c r="E16" s="1664">
        <v>230010</v>
      </c>
      <c r="F16" s="1725">
        <f t="shared" si="1"/>
        <v>207057</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5577149</v>
      </c>
      <c r="C19" s="1726">
        <f>SUM(C4:C18)</f>
        <v>624041</v>
      </c>
      <c r="D19" s="1726">
        <f>SUM(D4:D18)</f>
        <v>4953108</v>
      </c>
      <c r="E19" s="1726">
        <f>SUM(E4:E18)</f>
        <v>6253595</v>
      </c>
      <c r="F19" s="1726">
        <f>SUM(F4:F18)</f>
        <v>5629554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zoomScaleSheetLayoutView="85"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40634</v>
      </c>
      <c r="C31" s="1734">
        <v>2415000</v>
      </c>
      <c r="D31" s="1735">
        <v>7</v>
      </c>
      <c r="E31" s="1734">
        <v>1150000</v>
      </c>
      <c r="F31" s="1734"/>
      <c r="G31" s="1734"/>
      <c r="H31" s="1734">
        <v>200000</v>
      </c>
      <c r="I31" s="1736">
        <f>((E31+F31)-H31)+G31</f>
        <v>950000</v>
      </c>
      <c r="J31" s="1734">
        <f>I31-457129-1</f>
        <v>492870</v>
      </c>
      <c r="K31" s="596"/>
    </row>
    <row r="32" spans="1:11" ht="12" customHeight="1" x14ac:dyDescent="0.2">
      <c r="A32" s="594" t="s">
        <v>2073</v>
      </c>
      <c r="B32" s="595">
        <v>43511</v>
      </c>
      <c r="C32" s="1734">
        <v>1050000</v>
      </c>
      <c r="D32" s="1735">
        <v>1</v>
      </c>
      <c r="E32" s="1734">
        <v>1050000</v>
      </c>
      <c r="F32" s="1734"/>
      <c r="G32" s="1734"/>
      <c r="H32" s="1734">
        <v>506000</v>
      </c>
      <c r="I32" s="1736">
        <f>((E32+F32)-H32)+G32</f>
        <v>544000</v>
      </c>
      <c r="J32" s="1734">
        <f>I32-92220</f>
        <v>451780</v>
      </c>
      <c r="K32" s="596"/>
    </row>
    <row r="33" spans="1:11" ht="12" customHeight="1" x14ac:dyDescent="0.2">
      <c r="A33" s="594" t="s">
        <v>2072</v>
      </c>
      <c r="B33" s="595">
        <v>44026</v>
      </c>
      <c r="C33" s="1734">
        <v>228729</v>
      </c>
      <c r="D33" s="1735">
        <v>8</v>
      </c>
      <c r="E33" s="1734"/>
      <c r="F33" s="1734"/>
      <c r="G33" s="1734">
        <v>238729</v>
      </c>
      <c r="H33" s="1734"/>
      <c r="I33" s="1736">
        <f t="shared" ref="I33:I48" si="1">((E33+F33)-H33)+G33</f>
        <v>238729</v>
      </c>
      <c r="J33" s="1734">
        <f>I33</f>
        <v>238729</v>
      </c>
      <c r="K33" s="596"/>
    </row>
    <row r="34" spans="1:11" ht="12" customHeight="1" x14ac:dyDescent="0.2">
      <c r="A34" s="594" t="s">
        <v>2072</v>
      </c>
      <c r="B34" s="595">
        <v>42930</v>
      </c>
      <c r="C34" s="1734">
        <v>224287</v>
      </c>
      <c r="D34" s="1735">
        <v>8</v>
      </c>
      <c r="E34" s="1734">
        <v>84837</v>
      </c>
      <c r="F34" s="1734"/>
      <c r="G34" s="1734"/>
      <c r="H34" s="1734">
        <v>69196</v>
      </c>
      <c r="I34" s="1736">
        <f t="shared" si="1"/>
        <v>15641</v>
      </c>
      <c r="J34" s="1734">
        <f>I34</f>
        <v>15641</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3918016</v>
      </c>
      <c r="D49" s="1742"/>
      <c r="E49" s="1736">
        <f t="shared" ref="E49:J49" si="2">SUM(E31:E48)</f>
        <v>2284837</v>
      </c>
      <c r="F49" s="1736">
        <f t="shared" si="2"/>
        <v>0</v>
      </c>
      <c r="G49" s="1736">
        <f t="shared" si="2"/>
        <v>238729</v>
      </c>
      <c r="H49" s="1736">
        <f t="shared" si="2"/>
        <v>775196</v>
      </c>
      <c r="I49" s="1736">
        <f t="shared" si="2"/>
        <v>1748370</v>
      </c>
      <c r="J49" s="1736">
        <f t="shared" si="2"/>
        <v>1199020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2071</v>
      </c>
      <c r="G52" s="2293"/>
      <c r="H52" s="596"/>
      <c r="I52" s="596"/>
      <c r="J52" s="600"/>
    </row>
    <row r="53" spans="1:11" ht="11.25" customHeight="1" x14ac:dyDescent="0.2">
      <c r="A53" s="604" t="s">
        <v>907</v>
      </c>
      <c r="B53" s="605" t="s">
        <v>945</v>
      </c>
      <c r="C53" s="600"/>
      <c r="D53" s="597"/>
      <c r="E53" s="603" t="s">
        <v>494</v>
      </c>
      <c r="F53" s="2294" t="s">
        <v>2074</v>
      </c>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zoomScaleSheetLayoutView="115"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f>338119+376491</f>
        <v>714610</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49152</v>
      </c>
      <c r="I5" s="1750"/>
      <c r="J5" s="1751"/>
      <c r="K5" s="1751"/>
    </row>
    <row r="6" spans="1:11" x14ac:dyDescent="0.2">
      <c r="A6" s="625" t="s">
        <v>715</v>
      </c>
      <c r="B6" s="626"/>
      <c r="C6" s="626"/>
      <c r="D6" s="626"/>
      <c r="E6" s="627"/>
      <c r="F6" s="628" t="s">
        <v>844</v>
      </c>
      <c r="G6" s="1744"/>
      <c r="H6" s="1744">
        <v>16</v>
      </c>
      <c r="I6" s="1744"/>
      <c r="J6" s="1745">
        <f>5913+940</f>
        <v>6853</v>
      </c>
      <c r="K6" s="1745"/>
    </row>
    <row r="7" spans="1:11" x14ac:dyDescent="0.2">
      <c r="A7" s="629" t="s">
        <v>244</v>
      </c>
      <c r="B7" s="630"/>
      <c r="C7" s="630"/>
      <c r="D7" s="630"/>
      <c r="E7" s="631"/>
      <c r="F7" s="622" t="s">
        <v>845</v>
      </c>
      <c r="G7" s="1746"/>
      <c r="H7" s="1746"/>
      <c r="I7" s="1746"/>
      <c r="J7" s="1752"/>
      <c r="K7" s="1745">
        <v>4050</v>
      </c>
    </row>
    <row r="8" spans="1:11" x14ac:dyDescent="0.2">
      <c r="A8" s="629" t="s">
        <v>342</v>
      </c>
      <c r="B8" s="630"/>
      <c r="C8" s="630"/>
      <c r="D8" s="630"/>
      <c r="E8" s="631"/>
      <c r="F8" s="622" t="s">
        <v>846</v>
      </c>
      <c r="G8" s="1753"/>
      <c r="H8" s="1753"/>
      <c r="I8" s="1753"/>
      <c r="J8" s="1745">
        <f>359188</f>
        <v>359188</v>
      </c>
      <c r="K8" s="1748"/>
    </row>
    <row r="9" spans="1:11" x14ac:dyDescent="0.2">
      <c r="A9" s="629" t="s">
        <v>137</v>
      </c>
      <c r="B9" s="630"/>
      <c r="C9" s="630"/>
      <c r="D9" s="630"/>
      <c r="E9" s="631"/>
      <c r="F9" s="628" t="s">
        <v>848</v>
      </c>
      <c r="G9" s="1753"/>
      <c r="H9" s="1749"/>
      <c r="I9" s="1749"/>
      <c r="J9" s="1752"/>
      <c r="K9" s="1745">
        <v>11631</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49168</v>
      </c>
      <c r="I12" s="1755">
        <f>SUM(I5:I11)</f>
        <v>0</v>
      </c>
      <c r="J12" s="1755">
        <f>SUM(J5:J11)</f>
        <v>366041</v>
      </c>
      <c r="K12" s="1755">
        <f>SUM(K5:K11)</f>
        <v>15681</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49168</v>
      </c>
      <c r="I14" s="1749"/>
      <c r="J14" s="1751"/>
      <c r="K14" s="1745">
        <v>15681</v>
      </c>
    </row>
    <row r="15" spans="1:11" x14ac:dyDescent="0.2">
      <c r="A15" s="2323" t="s">
        <v>4</v>
      </c>
      <c r="B15" s="2323"/>
      <c r="C15" s="2323"/>
      <c r="D15" s="2323"/>
      <c r="E15" s="2324"/>
      <c r="F15" s="635" t="s">
        <v>850</v>
      </c>
      <c r="G15" s="1749"/>
      <c r="H15" s="1744"/>
      <c r="I15" s="1744"/>
      <c r="J15" s="1745">
        <v>377432</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45290</v>
      </c>
      <c r="K18" s="1763"/>
    </row>
    <row r="19" spans="1:15" ht="21.75" customHeight="1" x14ac:dyDescent="0.2">
      <c r="A19" s="2331" t="s">
        <v>1786</v>
      </c>
      <c r="B19" s="2331"/>
      <c r="C19" s="2331"/>
      <c r="D19" s="2331"/>
      <c r="E19" s="2332"/>
      <c r="F19" s="635" t="s">
        <v>927</v>
      </c>
      <c r="G19" s="1753"/>
      <c r="H19" s="1753"/>
      <c r="I19" s="1753"/>
      <c r="J19" s="1745">
        <v>200000</v>
      </c>
      <c r="K19" s="1763"/>
    </row>
    <row r="20" spans="1:15" x14ac:dyDescent="0.2">
      <c r="A20" s="2333" t="s">
        <v>1791</v>
      </c>
      <c r="B20" s="2334"/>
      <c r="C20" s="2334"/>
      <c r="D20" s="2334"/>
      <c r="E20" s="2335"/>
      <c r="F20" s="635" t="s">
        <v>928</v>
      </c>
      <c r="G20" s="1753"/>
      <c r="H20" s="1753"/>
      <c r="I20" s="1753"/>
      <c r="J20" s="1745">
        <v>800</v>
      </c>
      <c r="K20" s="1763"/>
    </row>
    <row r="21" spans="1:15" ht="13.5" thickBot="1" x14ac:dyDescent="0.25">
      <c r="A21" s="2352" t="s">
        <v>633</v>
      </c>
      <c r="B21" s="2352"/>
      <c r="C21" s="2352"/>
      <c r="D21" s="2352"/>
      <c r="E21" s="2352"/>
      <c r="F21" s="1434"/>
      <c r="G21" s="1760"/>
      <c r="H21" s="1764"/>
      <c r="I21" s="1764"/>
      <c r="J21" s="1765">
        <f>SUM(J18:J20)</f>
        <v>246090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49168</v>
      </c>
      <c r="I23" s="1755">
        <f>SUM(I14:I16,I21,I22)</f>
        <v>0</v>
      </c>
      <c r="J23" s="1755">
        <f>SUM(J14:J16,J21,J22)</f>
        <v>623522</v>
      </c>
      <c r="K23" s="1755">
        <f>SUM(K14:K16,K21,K22)</f>
        <v>15681</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457129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457129</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198621</v>
      </c>
      <c r="D5" s="1770"/>
      <c r="E5" s="1770"/>
      <c r="F5" s="1765">
        <f>(C5+D5)-E5</f>
        <v>198621</v>
      </c>
      <c r="G5" s="676"/>
      <c r="H5" s="680"/>
      <c r="I5" s="680"/>
      <c r="J5" s="680"/>
      <c r="K5" s="637"/>
      <c r="L5" s="1442">
        <f>F5-K5</f>
        <v>198621</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11759548</v>
      </c>
      <c r="D8" s="1771">
        <v>1412054</v>
      </c>
      <c r="E8" s="1771"/>
      <c r="F8" s="1765">
        <f>(C8+D8)-E8</f>
        <v>13171602</v>
      </c>
      <c r="G8" s="681">
        <v>50</v>
      </c>
      <c r="H8" s="619">
        <v>5761335</v>
      </c>
      <c r="I8" s="619">
        <v>222710</v>
      </c>
      <c r="J8" s="619"/>
      <c r="K8" s="1442">
        <f>(H8+I8)-J8</f>
        <v>5984045</v>
      </c>
      <c r="L8" s="1442">
        <f>F8-K8</f>
        <v>7187557</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2277369</v>
      </c>
      <c r="D10" s="1772"/>
      <c r="E10" s="1772"/>
      <c r="F10" s="1773">
        <f>(C10+D10)-E10</f>
        <v>2277369</v>
      </c>
      <c r="G10" s="681">
        <v>20</v>
      </c>
      <c r="H10" s="683">
        <v>1037224</v>
      </c>
      <c r="I10" s="683">
        <v>101606</v>
      </c>
      <c r="J10" s="683"/>
      <c r="K10" s="1442">
        <f>(H10+I10)-J10</f>
        <v>1138830</v>
      </c>
      <c r="L10" s="1442">
        <f>F10-K10</f>
        <v>1138539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441755</v>
      </c>
      <c r="D12" s="1771">
        <v>281351</v>
      </c>
      <c r="E12" s="1771">
        <v>10872</v>
      </c>
      <c r="F12" s="1765">
        <f>(C12+D12)-E12</f>
        <v>712234</v>
      </c>
      <c r="G12" s="681">
        <v>10</v>
      </c>
      <c r="H12" s="619">
        <v>120701</v>
      </c>
      <c r="I12" s="619">
        <v>74906</v>
      </c>
      <c r="J12" s="619">
        <v>10872</v>
      </c>
      <c r="K12" s="1442">
        <f>(H12+I12)-J12</f>
        <v>184735</v>
      </c>
      <c r="L12" s="1442">
        <f>F12-K12</f>
        <v>527499</v>
      </c>
    </row>
    <row r="13" spans="1:14" ht="14.25" thickTop="1" thickBot="1" x14ac:dyDescent="0.25">
      <c r="A13" s="684" t="s">
        <v>1112</v>
      </c>
      <c r="B13" s="679">
        <v>252</v>
      </c>
      <c r="C13" s="1771">
        <v>64471</v>
      </c>
      <c r="D13" s="1771"/>
      <c r="E13" s="1771"/>
      <c r="F13" s="1765">
        <f>(C13+D13)-E13</f>
        <v>64471</v>
      </c>
      <c r="G13" s="681">
        <v>5</v>
      </c>
      <c r="H13" s="619">
        <v>56911</v>
      </c>
      <c r="I13" s="619">
        <v>3780</v>
      </c>
      <c r="J13" s="619"/>
      <c r="K13" s="1442">
        <f>(H13+I13)-J13</f>
        <v>60691</v>
      </c>
      <c r="L13" s="1442">
        <f>F13-K13</f>
        <v>3780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361440</v>
      </c>
      <c r="D15" s="1771"/>
      <c r="E15" s="1771">
        <v>361440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15103204</v>
      </c>
      <c r="D16" s="1765">
        <f>SUM(D3,D5:D6,D8:D10,D12:D15)</f>
        <v>1693405</v>
      </c>
      <c r="E16" s="1765">
        <f>SUM(E3,E5:E6,E8:E10,E12:E15)</f>
        <v>372312</v>
      </c>
      <c r="F16" s="1765">
        <f>SUM(F3,F5:F6,F8:F10,F12:F15)</f>
        <v>16424297</v>
      </c>
      <c r="G16" s="681"/>
      <c r="H16" s="1435">
        <f>SUM(H3,H6,H8:H10,H12:H14,)</f>
        <v>6976171</v>
      </c>
      <c r="I16" s="1435">
        <f>SUM(I3,I6,I8:I10,I12:I14,)</f>
        <v>403002</v>
      </c>
      <c r="J16" s="1435">
        <f>SUM(J3,J6,J8:J10,J12:J14,)</f>
        <v>10872</v>
      </c>
      <c r="K16" s="1435">
        <f>(H16+I16)-J16</f>
        <v>7368301</v>
      </c>
      <c r="L16" s="1435">
        <f>F16-K16</f>
        <v>9055996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403002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8029034</v>
      </c>
      <c r="G8" s="701"/>
    </row>
    <row r="9" spans="1:9" x14ac:dyDescent="0.2">
      <c r="A9" s="705" t="s">
        <v>457</v>
      </c>
      <c r="B9" s="706" t="s">
        <v>1848</v>
      </c>
      <c r="C9" s="707"/>
      <c r="D9" s="705" t="s">
        <v>498</v>
      </c>
      <c r="E9" s="704"/>
      <c r="F9" s="1775">
        <f>'Expenditures 15-22'!K151</f>
        <v>535781</v>
      </c>
      <c r="G9" s="708"/>
    </row>
    <row r="10" spans="1:9" x14ac:dyDescent="0.2">
      <c r="A10" s="705" t="s">
        <v>496</v>
      </c>
      <c r="B10" s="706" t="s">
        <v>1849</v>
      </c>
      <c r="C10" s="707"/>
      <c r="D10" s="705" t="s">
        <v>498</v>
      </c>
      <c r="E10" s="704"/>
      <c r="F10" s="1775">
        <f>'Expenditures 15-22'!K174</f>
        <v>876352</v>
      </c>
      <c r="G10" s="708"/>
    </row>
    <row r="11" spans="1:9" x14ac:dyDescent="0.2">
      <c r="A11" s="705" t="s">
        <v>458</v>
      </c>
      <c r="B11" s="706" t="s">
        <v>1850</v>
      </c>
      <c r="C11" s="707"/>
      <c r="D11" s="705" t="s">
        <v>498</v>
      </c>
      <c r="E11" s="704"/>
      <c r="F11" s="1775">
        <f>'Expenditures 15-22'!K210</f>
        <v>1012943</v>
      </c>
      <c r="G11" s="708"/>
    </row>
    <row r="12" spans="1:9" x14ac:dyDescent="0.2">
      <c r="A12" s="705" t="s">
        <v>459</v>
      </c>
      <c r="B12" s="706" t="s">
        <v>1851</v>
      </c>
      <c r="C12" s="707"/>
      <c r="D12" s="705" t="s">
        <v>498</v>
      </c>
      <c r="E12" s="704"/>
      <c r="F12" s="1775">
        <f>'Expenditures 15-22'!K295</f>
        <v>329346</v>
      </c>
      <c r="G12" s="708"/>
    </row>
    <row r="13" spans="1:9" x14ac:dyDescent="0.2">
      <c r="A13" s="705" t="s">
        <v>106</v>
      </c>
      <c r="B13" s="706" t="s">
        <v>1852</v>
      </c>
      <c r="C13" s="707"/>
      <c r="D13" s="705" t="s">
        <v>498</v>
      </c>
      <c r="E13" s="704"/>
      <c r="F13" s="1775">
        <f>'Expenditures 15-22'!K342</f>
        <v>737114</v>
      </c>
      <c r="G13" s="709"/>
    </row>
    <row r="14" spans="1:9" ht="12" customHeight="1" thickBot="1" x14ac:dyDescent="0.25">
      <c r="A14" s="1443"/>
      <c r="B14" s="1444"/>
      <c r="C14" s="1445"/>
      <c r="D14" s="1446" t="s">
        <v>498</v>
      </c>
      <c r="E14" s="1447" t="s">
        <v>952</v>
      </c>
      <c r="F14" s="1776">
        <f>SUM(F8:F13)</f>
        <v>11520570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202107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79447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8987</v>
      </c>
      <c r="G52" s="701"/>
    </row>
    <row r="53" spans="1:7" x14ac:dyDescent="0.2">
      <c r="A53" s="705" t="s">
        <v>456</v>
      </c>
      <c r="B53" s="705" t="s">
        <v>1458</v>
      </c>
      <c r="C53" s="724">
        <f>'Expenditures 15-22'!B102</f>
        <v>4000</v>
      </c>
      <c r="D53" s="723" t="str">
        <f>'Expenditures 15-22'!A102</f>
        <v>Total Payments to Other Govt Units</v>
      </c>
      <c r="E53" s="704"/>
      <c r="F53" s="1782">
        <f>'Expenditures 15-22'!K102</f>
        <v>382028</v>
      </c>
      <c r="G53" s="701"/>
    </row>
    <row r="54" spans="1:7" x14ac:dyDescent="0.2">
      <c r="A54" s="705" t="s">
        <v>456</v>
      </c>
      <c r="B54" s="705" t="s">
        <v>1459</v>
      </c>
      <c r="C54" s="724" t="s">
        <v>975</v>
      </c>
      <c r="D54" s="720" t="s">
        <v>1086</v>
      </c>
      <c r="E54" s="704"/>
      <c r="F54" s="1782">
        <f>'Expenditures 15-22'!G114</f>
        <v>247963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15832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775196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8265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123</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1719948</v>
      </c>
      <c r="G77" s="701"/>
    </row>
    <row r="78" spans="1:9" s="728" customFormat="1" ht="12" customHeight="1" thickTop="1" thickBot="1" x14ac:dyDescent="0.25">
      <c r="A78" s="1450"/>
      <c r="B78" s="1448"/>
      <c r="C78" s="1445"/>
      <c r="D78" s="1449" t="s">
        <v>2012</v>
      </c>
      <c r="E78" s="1447"/>
      <c r="F78" s="1788">
        <f>(F14-F77)</f>
        <v>9800622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946</v>
      </c>
      <c r="G79" s="733"/>
      <c r="H79" s="705"/>
      <c r="I79" s="705"/>
    </row>
    <row r="80" spans="1:9" s="728" customFormat="1" ht="12" customHeight="1" thickBot="1" x14ac:dyDescent="0.25">
      <c r="A80" s="1452"/>
      <c r="B80" s="1448"/>
      <c r="C80" s="1445"/>
      <c r="D80" s="1449" t="s">
        <v>2013</v>
      </c>
      <c r="E80" s="1447" t="s">
        <v>952</v>
      </c>
      <c r="F80" s="1790">
        <f>IF(F79&gt;0,F78/F79," Complete Line 79")</f>
        <v>10360.065539112051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119536</v>
      </c>
      <c r="G95" s="745"/>
    </row>
    <row r="96" spans="1:7" x14ac:dyDescent="0.2">
      <c r="A96" s="741" t="s">
        <v>139</v>
      </c>
      <c r="B96" s="741" t="s">
        <v>174</v>
      </c>
      <c r="C96" s="743">
        <v>1700</v>
      </c>
      <c r="D96" s="751" t="str">
        <f>'Revenues 9-14'!A82</f>
        <v>Total District/School Activity Income</v>
      </c>
      <c r="E96" s="739"/>
      <c r="F96" s="1793">
        <f>SUM('Revenues 9-14'!C82,'Revenues 9-14'!D82)</f>
        <v>45461</v>
      </c>
      <c r="G96" s="745"/>
    </row>
    <row r="97" spans="1:7" x14ac:dyDescent="0.2">
      <c r="A97" s="741" t="s">
        <v>456</v>
      </c>
      <c r="B97" s="741" t="s">
        <v>175</v>
      </c>
      <c r="C97" s="743">
        <f>'Revenues 9-14'!B84</f>
        <v>1811</v>
      </c>
      <c r="D97" s="744" t="str">
        <f>'Revenues 9-14'!A84</f>
        <v>Rentals - Regular Textbooks</v>
      </c>
      <c r="E97" s="739"/>
      <c r="F97" s="1793">
        <f>'Revenues 9-14'!C84</f>
        <v>70358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24727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127565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45040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12024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3290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11631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596944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379266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278009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3400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31860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19062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25360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394051.77</v>
      </c>
      <c r="G172" s="760"/>
    </row>
    <row r="173" spans="1:7" x14ac:dyDescent="0.2">
      <c r="A173" s="1529" t="s">
        <v>659</v>
      </c>
      <c r="B173" s="1530" t="s">
        <v>1885</v>
      </c>
      <c r="C173" s="1531">
        <v>3300</v>
      </c>
      <c r="D173" s="1532" t="s">
        <v>1888</v>
      </c>
      <c r="E173" s="739"/>
      <c r="F173" s="1794">
        <v>1377.37</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2188962.14</v>
      </c>
    </row>
    <row r="176" spans="1:7" ht="12" customHeight="1" x14ac:dyDescent="0.2">
      <c r="A176" s="1443"/>
      <c r="B176" s="1453"/>
      <c r="C176" s="1454"/>
      <c r="D176" s="1455" t="s">
        <v>2014</v>
      </c>
      <c r="E176" s="1456"/>
      <c r="F176" s="1793">
        <f>'PCTC-OEPP 27-28'!F78-F175</f>
        <v>7611659.8599999994</v>
      </c>
    </row>
    <row r="177" spans="1:9" ht="12" customHeight="1" x14ac:dyDescent="0.2">
      <c r="A177" s="1443"/>
      <c r="B177" s="1453"/>
      <c r="C177" s="1454"/>
      <c r="D177" s="1455" t="s">
        <v>1794</v>
      </c>
      <c r="E177" s="1456"/>
      <c r="F177" s="1793">
        <f>'Cap Outlay Deprec 26'!I18</f>
        <v>403002</v>
      </c>
    </row>
    <row r="178" spans="1:9" ht="12" customHeight="1" x14ac:dyDescent="0.2">
      <c r="A178" s="1443"/>
      <c r="B178" s="1453"/>
      <c r="C178" s="1454"/>
      <c r="D178" s="1455" t="s">
        <v>2015</v>
      </c>
      <c r="E178" s="1456"/>
      <c r="F178" s="1793">
        <f>F176+F177</f>
        <v>8014661.8599999994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946</v>
      </c>
      <c r="G179" s="763"/>
      <c r="I179" s="701"/>
    </row>
    <row r="180" spans="1:9" ht="12" customHeight="1" thickBot="1" x14ac:dyDescent="0.25">
      <c r="A180" s="1443"/>
      <c r="B180" s="1457"/>
      <c r="C180" s="1454"/>
      <c r="D180" s="1455" t="s">
        <v>2017</v>
      </c>
      <c r="E180" s="1456" t="s">
        <v>1528</v>
      </c>
      <c r="F180" s="1798">
        <f>F178/F179</f>
        <v>8472.1584143763212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2079</v>
      </c>
      <c r="B18" s="1908"/>
      <c r="C18" s="1914"/>
      <c r="D18" s="1886"/>
      <c r="E18" s="1906">
        <f t="shared" ref="E18:E81" si="0">IF(D18&lt;25000,D18,"25,000")</f>
        <v>0</v>
      </c>
      <c r="F18" s="1906" t="str">
        <f t="shared" ref="F18:F81" si="1">IF(D18&gt;=25000,(D18-E18),"0")</f>
        <v>0</v>
      </c>
      <c r="G18" s="1887"/>
    </row>
    <row r="19" spans="1:7" hidden="1" x14ac:dyDescent="0.25">
      <c r="A19" s="1888"/>
      <c r="B19" s="1908"/>
      <c r="C19" s="1885"/>
      <c r="D19" s="1886"/>
      <c r="E19" s="1906">
        <f t="shared" si="0"/>
        <v>0</v>
      </c>
      <c r="F19" s="1906" t="str">
        <f t="shared" si="1"/>
        <v>0</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2883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34088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5202673</v>
      </c>
      <c r="F19" s="1802"/>
      <c r="G19" s="1804">
        <f>'Expenditures 15-22'!K33-SUM('Expenditures 15-22'!G33,'Expenditures 15-22'!I33)+'Expenditures 15-22'!D229</f>
        <v>5202673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419899</v>
      </c>
      <c r="F21" s="1805"/>
      <c r="G21" s="1808">
        <f>'Expenditures 15-22'!K42-SUM('Expenditures 15-22'!G42,'Expenditures 15-22'!I42)+'Expenditures 15-22'!K120-SUM('Expenditures 15-22'!G120,'Expenditures 15-22'!I120)+'Expenditures 15-22'!K180-SUM('Expenditures 15-22'!G180,'Expenditures 15-22'!I180)+'Expenditures 15-22'!D238</f>
        <v>419899</v>
      </c>
      <c r="H21" s="817"/>
      <c r="I21" s="157"/>
    </row>
    <row r="22" spans="1:9" s="542" customFormat="1" ht="12" customHeight="1" x14ac:dyDescent="0.2">
      <c r="A22" s="824" t="s">
        <v>560</v>
      </c>
      <c r="B22" s="825"/>
      <c r="C22" s="823">
        <v>2200</v>
      </c>
      <c r="D22" s="1805"/>
      <c r="E22" s="1807">
        <f>'Expenditures 15-22'!K47-SUM('Expenditures 15-22'!G47,'Expenditures 15-22'!I47)+'Expenditures 15-22'!D243</f>
        <v>106701</v>
      </c>
      <c r="F22" s="1805"/>
      <c r="G22" s="1808">
        <f>'Expenditures 15-22'!K47-SUM('Expenditures 15-22'!G47,'Expenditures 15-22'!I47)+'Expenditures 15-22'!D243</f>
        <v>106701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1106722</v>
      </c>
      <c r="F23" s="1805"/>
      <c r="G23" s="1807">
        <f>'Expenditures 15-22'!K53-SUM('Expenditures 15-22'!G53,'Expenditures 15-22'!I53)+'Expenditures 15-22'!D257+'Expenditures 15-22'!K330-SUM('Expenditures 15-22'!G330,'Expenditures 15-22'!I330)</f>
        <v>1106722</v>
      </c>
      <c r="H23" s="817"/>
      <c r="I23" s="157"/>
    </row>
    <row r="24" spans="1:9" s="542" customFormat="1" ht="12" customHeight="1" x14ac:dyDescent="0.2">
      <c r="A24" s="824" t="s">
        <v>562</v>
      </c>
      <c r="B24" s="825"/>
      <c r="C24" s="823">
        <v>2400</v>
      </c>
      <c r="D24" s="1805"/>
      <c r="E24" s="1807">
        <f>'Expenditures 15-22'!K57-SUM('Expenditures 15-22'!G57,'Expenditures 15-22'!I57)+'Expenditures 15-22'!D261</f>
        <v>587348</v>
      </c>
      <c r="F24" s="1805"/>
      <c r="G24" s="1808">
        <f>'Expenditures 15-22'!K57-SUM('Expenditures 15-22'!G57,'Expenditures 15-22'!I57)+'Expenditures 15-22'!D261</f>
        <v>587348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126866</v>
      </c>
      <c r="E27" s="1807">
        <f>E8</f>
        <v>0</v>
      </c>
      <c r="F27" s="1807">
        <f>'Expenditures 15-22'!K60-SUM('Expenditures 15-22'!G60,'Expenditures 15-22'!I60)+'Expenditures 15-22'!D264-E8</f>
        <v>126866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806615</v>
      </c>
      <c r="F28" s="1809">
        <f>'Expenditures 15-22'!K61-SUM('Expenditures 15-22'!G61,'Expenditures 15-22'!I61)+'Expenditures 15-22'!K124-SUM('Expenditures 15-22'!G124,'Expenditures 15-22'!I124)+'Expenditures 15-22'!D266-E9</f>
        <v>806615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1088530</v>
      </c>
      <c r="F29" s="1805"/>
      <c r="G29" s="1808">
        <f>'Expenditures 15-22'!K62-SUM('Expenditures 15-22'!G62,'Expenditures 15-22'!I62)+'Expenditures 15-22'!K125-SUM('Expenditures 15-22'!G125,'Expenditures 15-22'!I125)+'Expenditures 15-22'!K182-SUM('Expenditures 15-22'!G182,'Expenditures 15-22'!I182)+'Expenditures 15-22'!D267</f>
        <v>1088530</v>
      </c>
      <c r="H29" s="815"/>
    </row>
    <row r="30" spans="1:9" ht="12" customHeight="1" x14ac:dyDescent="0.2">
      <c r="A30" s="824" t="s">
        <v>100</v>
      </c>
      <c r="B30" s="827"/>
      <c r="C30" s="823">
        <v>2560</v>
      </c>
      <c r="D30" s="1805"/>
      <c r="E30" s="1807">
        <f>'Expenditures 15-22'!K63-SUM('Expenditures 15-22'!G63,'Expenditures 15-22'!I63)+'Expenditures 15-22'!D268-E10</f>
        <v>382792</v>
      </c>
      <c r="F30" s="1805"/>
      <c r="G30" s="1807">
        <f>'Expenditures 15-22'!K63-SUM('Expenditures 15-22'!G63,'Expenditures 15-22'!I63)+'Expenditures 15-22'!D268-E10</f>
        <v>382792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158256</v>
      </c>
      <c r="E37" s="1807">
        <f>E14</f>
        <v>0</v>
      </c>
      <c r="F37" s="1807">
        <f>'Expenditures 15-22'!K71-SUM('Expenditures 15-22'!G71,'Expenditures 15-22'!I71)+'Expenditures 15-22'!D276-E14</f>
        <v>158256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9110</v>
      </c>
      <c r="F39" s="1805"/>
      <c r="G39" s="1807">
        <f>'Expenditures 15-22'!K75-SUM('Expenditures 15-22'!G75,'Expenditures 15-22'!I75)+'Expenditures 15-22'!K130-SUM('Expenditures 15-22'!G130,'Expenditures 15-22'!I130)+'Expenditures 15-22'!K185-SUM('Expenditures 15-22'!G185,'Expenditures 15-22'!I185)+'Expenditures 15-22'!D280</f>
        <v>9110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285122</v>
      </c>
      <c r="E41" s="1809">
        <f>SUM(E19:E40)</f>
        <v>9710390</v>
      </c>
      <c r="F41" s="1809">
        <f>SUM(F19:F39)</f>
        <v>1091737</v>
      </c>
      <c r="G41" s="1809">
        <f>SUM(G19:G40)</f>
        <v>8903775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285122</v>
      </c>
      <c r="F43" s="1458" t="s">
        <v>470</v>
      </c>
      <c r="G43" s="1810">
        <f>F41</f>
        <v>1091737</v>
      </c>
    </row>
    <row r="44" spans="1:7" ht="12" customHeight="1" x14ac:dyDescent="0.2">
      <c r="A44" s="817"/>
      <c r="B44" s="157"/>
      <c r="C44" s="831"/>
      <c r="D44" s="1458" t="s">
        <v>471</v>
      </c>
      <c r="E44" s="1810">
        <f>E41</f>
        <v>9710390</v>
      </c>
      <c r="F44" s="1458" t="s">
        <v>471</v>
      </c>
      <c r="G44" s="1810">
        <f>G41</f>
        <v>8903775</v>
      </c>
    </row>
    <row r="45" spans="1:7" ht="12" customHeight="1" x14ac:dyDescent="0.2">
      <c r="A45" s="817"/>
      <c r="B45" s="157"/>
      <c r="C45" s="157"/>
      <c r="D45" s="1459" t="s">
        <v>999</v>
      </c>
      <c r="E45" s="1811">
        <f>(E43/E44)</f>
        <v>2.936256937157004E-2</v>
      </c>
      <c r="F45" s="1459" t="s">
        <v>999</v>
      </c>
      <c r="G45" s="1811">
        <f>(G43/G44)</f>
        <v>0.12261507057399811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0.75" bottom="0.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90" zoomScaleNormal="90" zoomScaleSheetLayoutView="85"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Schuyler Industry CUSD 5</v>
      </c>
      <c r="D6" s="2415"/>
      <c r="E6" s="2415"/>
      <c r="F6" s="1482"/>
      <c r="G6" s="1507"/>
      <c r="L6" s="1507"/>
      <c r="M6" s="1855"/>
      <c r="N6" s="1855"/>
      <c r="O6" s="1855"/>
    </row>
    <row r="7" spans="1:15" ht="11.25" customHeight="1" thickBot="1" x14ac:dyDescent="0.3">
      <c r="A7" s="1480"/>
      <c r="B7" s="1481"/>
      <c r="C7" s="2416">
        <f>COVER!A13</f>
        <v>26085005026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t="s">
        <v>2070</v>
      </c>
      <c r="E13" s="1498"/>
      <c r="F13" s="1497" t="s">
        <v>2078</v>
      </c>
      <c r="G13" s="1507"/>
      <c r="H13" s="1507">
        <f t="shared" si="0"/>
        <v>0</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2070</v>
      </c>
      <c r="D19" s="1495" t="s">
        <v>2070</v>
      </c>
      <c r="E19" s="1498"/>
      <c r="F19" s="1497" t="s">
        <v>2075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2070</v>
      </c>
      <c r="D26" s="1495" t="s">
        <v>2070</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2070</v>
      </c>
      <c r="D31" s="1495" t="s">
        <v>2070</v>
      </c>
      <c r="E31" s="1498"/>
      <c r="F31" s="1497" t="s">
        <v>2077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2070</v>
      </c>
      <c r="D32" s="1495" t="s">
        <v>2070</v>
      </c>
      <c r="E32" s="1498"/>
      <c r="F32" s="1497" t="s">
        <v>2085</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25</v>
      </c>
      <c r="J34" s="1507">
        <f>SUM(J11:J32)</f>
        <v>0</v>
      </c>
      <c r="K34" s="1507">
        <f>SUM(H34:J34)</f>
        <v>45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Schuyler Industry CUSD 5</v>
      </c>
      <c r="K6" s="2437"/>
      <c r="L6" s="2451"/>
      <c r="M6" s="838"/>
      <c r="N6" s="1999"/>
    </row>
    <row r="7" spans="1:14" x14ac:dyDescent="0.2">
      <c r="A7" s="2452" t="s">
        <v>864</v>
      </c>
      <c r="B7" s="2453"/>
      <c r="C7" s="2453"/>
      <c r="D7" s="2453"/>
      <c r="E7" s="2454"/>
      <c r="F7" s="839"/>
      <c r="G7" s="838"/>
      <c r="H7" s="838"/>
      <c r="I7" s="1925" t="s">
        <v>369</v>
      </c>
      <c r="J7" s="2439">
        <f>COVER!A13</f>
        <v>26085005026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318867</v>
      </c>
      <c r="F12" s="1943"/>
      <c r="G12" s="1969">
        <f>G68</f>
        <v>13899</v>
      </c>
      <c r="H12" s="1945">
        <f t="shared" ref="H12:H18" si="0">SUM(E12:G12)</f>
        <v>332766</v>
      </c>
      <c r="I12" s="1944">
        <v>277520</v>
      </c>
      <c r="J12" s="1943"/>
      <c r="K12" s="1944">
        <v>13752</v>
      </c>
      <c r="L12" s="1945">
        <f t="shared" ref="L12:L18" si="1">SUM(I12:K12)</f>
        <v>291272</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318867</v>
      </c>
      <c r="F19" s="1951">
        <f t="shared" si="2"/>
        <v>0</v>
      </c>
      <c r="G19" s="1951">
        <f t="shared" ref="G19" si="3">SUM(G12:G17)-G18</f>
        <v>13899</v>
      </c>
      <c r="H19" s="1951">
        <f t="shared" si="2"/>
        <v>332766</v>
      </c>
      <c r="I19" s="1951">
        <f t="shared" si="2"/>
        <v>277520</v>
      </c>
      <c r="J19" s="1951">
        <f t="shared" si="2"/>
        <v>0</v>
      </c>
      <c r="K19" s="1951">
        <f t="shared" si="2"/>
        <v>13752</v>
      </c>
      <c r="L19" s="1951">
        <f t="shared" si="2"/>
        <v>291272</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-0.12469422957874302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Schuyler Industry CUSD 5</v>
      </c>
      <c r="M52" s="2437"/>
      <c r="N52" s="2438"/>
    </row>
    <row r="53" spans="1:14" x14ac:dyDescent="0.2">
      <c r="A53" s="1983"/>
      <c r="B53" s="1984"/>
      <c r="C53" s="1984"/>
      <c r="D53" s="1984"/>
      <c r="E53" s="1984"/>
      <c r="F53" s="1984"/>
      <c r="G53" s="1984"/>
      <c r="H53" s="1984"/>
      <c r="I53" s="1984"/>
      <c r="J53" s="1984"/>
      <c r="K53" s="1925" t="s">
        <v>369</v>
      </c>
      <c r="L53" s="2439">
        <f>J7</f>
        <v>26085005026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44003</v>
      </c>
      <c r="F58" s="1973"/>
      <c r="G58" s="2032"/>
      <c r="H58" s="2033"/>
      <c r="I58" s="2033"/>
      <c r="J58" s="2033"/>
      <c r="K58" s="2033"/>
      <c r="L58" s="2033"/>
      <c r="M58" s="2033">
        <v>44003</v>
      </c>
      <c r="N58" s="1976">
        <f>IF((SUM(G58:M58))=E58,SUM(G58:M58),"Column N does not agree with Column E")</f>
        <v>44003</v>
      </c>
    </row>
    <row r="59" spans="1:14" ht="24.75" customHeight="1" x14ac:dyDescent="0.2">
      <c r="A59" s="2419" t="s">
        <v>297</v>
      </c>
      <c r="B59" s="2420"/>
      <c r="C59" s="2420"/>
      <c r="D59" s="1968">
        <v>2363</v>
      </c>
      <c r="E59" s="1978">
        <f>'Expenditures 15-22'!K321</f>
        <v>18966</v>
      </c>
      <c r="F59" s="1973"/>
      <c r="G59" s="2032"/>
      <c r="H59" s="2033"/>
      <c r="I59" s="2033"/>
      <c r="J59" s="2033"/>
      <c r="K59" s="2033"/>
      <c r="L59" s="2033"/>
      <c r="M59" s="2033">
        <v>18966</v>
      </c>
      <c r="N59" s="1976">
        <f>IF((SUM(G59:M59))=E59,SUM(G59:M59),"Column N does not agree with Column E")</f>
        <v>18966</v>
      </c>
    </row>
    <row r="60" spans="1:14" ht="24" customHeight="1" x14ac:dyDescent="0.2">
      <c r="A60" s="2419" t="s">
        <v>236</v>
      </c>
      <c r="B60" s="2420"/>
      <c r="C60" s="2420"/>
      <c r="D60" s="1968">
        <v>2364</v>
      </c>
      <c r="E60" s="1978">
        <f>'Expenditures 15-22'!K322</f>
        <v>2300</v>
      </c>
      <c r="F60" s="1973"/>
      <c r="G60" s="2032"/>
      <c r="H60" s="2033"/>
      <c r="I60" s="2033"/>
      <c r="J60" s="2033"/>
      <c r="K60" s="2033"/>
      <c r="L60" s="2033"/>
      <c r="M60" s="2033">
        <v>2300</v>
      </c>
      <c r="N60" s="1976">
        <f t="shared" ref="N60:N67" si="4">IF((SUM(G60:M60))=E60,SUM(G60:M60),"Column N does not agree with Column E")</f>
        <v>2300</v>
      </c>
    </row>
    <row r="61" spans="1:14" ht="24.75" customHeight="1" x14ac:dyDescent="0.2">
      <c r="A61" s="2419" t="s">
        <v>697</v>
      </c>
      <c r="B61" s="2420"/>
      <c r="C61" s="2420"/>
      <c r="D61" s="1968">
        <v>2365</v>
      </c>
      <c r="E61" s="1978">
        <f>'Expenditures 15-22'!K323</f>
        <v>604197</v>
      </c>
      <c r="F61" s="1973"/>
      <c r="G61" s="2032">
        <v>13899</v>
      </c>
      <c r="H61" s="2033"/>
      <c r="I61" s="2033"/>
      <c r="J61" s="2033"/>
      <c r="K61" s="2033"/>
      <c r="L61" s="2033"/>
      <c r="M61" s="2033">
        <v>590298</v>
      </c>
      <c r="N61" s="1976">
        <f t="shared" si="4"/>
        <v>604197</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2728</v>
      </c>
      <c r="F63" s="1973"/>
      <c r="G63" s="2032"/>
      <c r="H63" s="2033"/>
      <c r="I63" s="2033"/>
      <c r="J63" s="2033"/>
      <c r="K63" s="2033"/>
      <c r="L63" s="2033"/>
      <c r="M63" s="2033">
        <v>2728</v>
      </c>
      <c r="N63" s="1976">
        <f t="shared" si="4"/>
        <v>2728</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9801</v>
      </c>
      <c r="F65" s="1973"/>
      <c r="G65" s="2032"/>
      <c r="H65" s="2033"/>
      <c r="I65" s="2033"/>
      <c r="J65" s="2033"/>
      <c r="K65" s="2033"/>
      <c r="L65" s="2033"/>
      <c r="M65" s="2033">
        <v>9801</v>
      </c>
      <c r="N65" s="1976">
        <f t="shared" si="4"/>
        <v>9801</v>
      </c>
    </row>
    <row r="66" spans="1:14" ht="24" customHeight="1" x14ac:dyDescent="0.2">
      <c r="A66" s="2419" t="s">
        <v>469</v>
      </c>
      <c r="B66" s="2420"/>
      <c r="C66" s="2420"/>
      <c r="D66" s="1968">
        <v>2371</v>
      </c>
      <c r="E66" s="1978">
        <f>'Expenditures 15-22'!K328</f>
        <v>55119</v>
      </c>
      <c r="F66" s="1973"/>
      <c r="G66" s="2032"/>
      <c r="H66" s="2033"/>
      <c r="I66" s="2033"/>
      <c r="J66" s="2033"/>
      <c r="K66" s="2033"/>
      <c r="L66" s="2033"/>
      <c r="M66" s="2033">
        <v>55119</v>
      </c>
      <c r="N66" s="1976">
        <f t="shared" si="4"/>
        <v>55119</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737114</v>
      </c>
      <c r="F68" s="1974"/>
      <c r="G68" s="1975">
        <f t="shared" ref="G68:N68" si="5">SUM(G57:G67)</f>
        <v>13899</v>
      </c>
      <c r="H68" s="1975">
        <f t="shared" si="5"/>
        <v>0</v>
      </c>
      <c r="I68" s="1975">
        <f t="shared" si="5"/>
        <v>0</v>
      </c>
      <c r="J68" s="1975">
        <f t="shared" si="5"/>
        <v>0</v>
      </c>
      <c r="K68" s="1975">
        <f t="shared" si="5"/>
        <v>0</v>
      </c>
      <c r="L68" s="1975">
        <f t="shared" si="5"/>
        <v>0</v>
      </c>
      <c r="M68" s="1975">
        <f t="shared" si="5"/>
        <v>723215</v>
      </c>
      <c r="N68" s="1989">
        <f t="shared" si="5"/>
        <v>737114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2081</v>
      </c>
    </row>
    <row r="6" spans="1:2" x14ac:dyDescent="0.2">
      <c r="A6" s="847">
        <v>2</v>
      </c>
      <c r="B6" s="307" t="s">
        <v>2082</v>
      </c>
    </row>
    <row r="7" spans="1:2" x14ac:dyDescent="0.2">
      <c r="A7" s="847">
        <v>3</v>
      </c>
      <c r="B7" s="307" t="s">
        <v>2083</v>
      </c>
    </row>
    <row r="8" spans="1:2" x14ac:dyDescent="0.2">
      <c r="A8" s="847">
        <v>4</v>
      </c>
      <c r="B8" s="307" t="s">
        <v>2084</v>
      </c>
    </row>
    <row r="9" spans="1:2" x14ac:dyDescent="0.2">
      <c r="A9" s="847">
        <v>5</v>
      </c>
      <c r="B9" s="307" t="s">
        <v>2080</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Schuyler Industry CUSD 5</v>
      </c>
    </row>
    <row r="64" spans="1:2" x14ac:dyDescent="0.2">
      <c r="B64" s="849">
        <f>COVER!A13</f>
        <v>26085005026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8302850</v>
      </c>
      <c r="C8" s="1813">
        <f>'Acct Summary 7-8'!D8</f>
        <v>640085</v>
      </c>
      <c r="D8" s="1813">
        <f>'Acct Summary 7-8'!F8</f>
        <v>961845</v>
      </c>
      <c r="E8" s="1813">
        <f>'Acct Summary 7-8'!I8</f>
        <v>75967</v>
      </c>
      <c r="F8" s="1813">
        <f>SUM(B8:E8)</f>
        <v>9980747</v>
      </c>
    </row>
    <row r="9" spans="1:8" s="858" customFormat="1" ht="14.25" customHeight="1" thickBot="1" x14ac:dyDescent="0.25">
      <c r="A9" s="857" t="s">
        <v>1353</v>
      </c>
      <c r="B9" s="1814">
        <f>'Acct Summary 7-8'!C17</f>
        <v>8029034</v>
      </c>
      <c r="C9" s="1814">
        <f>'Acct Summary 7-8'!D17</f>
        <v>535781</v>
      </c>
      <c r="D9" s="1814">
        <f>'Acct Summary 7-8'!F17</f>
        <v>1012943</v>
      </c>
      <c r="E9" s="1813"/>
      <c r="F9" s="1813">
        <f>SUM(B9:E9)</f>
        <v>9577758</v>
      </c>
    </row>
    <row r="10" spans="1:8" s="858" customFormat="1" ht="14.25" thickTop="1" thickBot="1" x14ac:dyDescent="0.25">
      <c r="A10" s="859" t="s">
        <v>1354</v>
      </c>
      <c r="B10" s="1815">
        <f>(B8-B9)</f>
        <v>273816</v>
      </c>
      <c r="C10" s="1815">
        <f>(C8-C9)</f>
        <v>104304</v>
      </c>
      <c r="D10" s="1815">
        <f>(D8-D9)</f>
        <v>-51098</v>
      </c>
      <c r="E10" s="1814">
        <f>(E8-E9)</f>
        <v>75967</v>
      </c>
      <c r="F10" s="1816">
        <f>SUM(F8-F9)</f>
        <v>402989</v>
      </c>
    </row>
    <row r="11" spans="1:8" s="858" customFormat="1" ht="14.25" thickTop="1" thickBot="1" x14ac:dyDescent="0.25">
      <c r="A11" s="860" t="s">
        <v>1903</v>
      </c>
      <c r="B11" s="1817">
        <f>'Acct Summary 7-8'!C81</f>
        <v>3260217</v>
      </c>
      <c r="C11" s="1817">
        <f>'Acct Summary 7-8'!D81</f>
        <v>949564</v>
      </c>
      <c r="D11" s="1817">
        <f>'Acct Summary 7-8'!F81</f>
        <v>264673</v>
      </c>
      <c r="E11" s="1817">
        <f>'Acct Summary 7-8'!I81</f>
        <v>1277858</v>
      </c>
      <c r="F11" s="1818">
        <f>SUM(B11:E11)</f>
        <v>5752312</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26085005026</v>
      </c>
      <c r="E2" s="1542">
        <v>2020</v>
      </c>
      <c r="F2" s="1542">
        <v>1</v>
      </c>
      <c r="G2" s="1899">
        <v>101000300</v>
      </c>
    </row>
    <row r="3" spans="1:7" ht="15" x14ac:dyDescent="0.25">
      <c r="A3" t="s">
        <v>950</v>
      </c>
      <c r="B3" s="135" t="str">
        <f>COVER!A15</f>
        <v>Schuyler</v>
      </c>
      <c r="E3" s="1830" t="s">
        <v>1971</v>
      </c>
      <c r="F3" s="1830" t="s">
        <v>1970</v>
      </c>
      <c r="G3" s="1899">
        <v>101000400</v>
      </c>
    </row>
    <row r="4" spans="1:7" ht="15" x14ac:dyDescent="0.25">
      <c r="A4" t="s">
        <v>1000</v>
      </c>
      <c r="B4" s="135" t="str">
        <f>COVER!A17</f>
        <v>Schuyler Industry CUSD 5</v>
      </c>
      <c r="E4" s="1828">
        <v>44119</v>
      </c>
      <c r="F4" s="1829">
        <v>44151</v>
      </c>
      <c r="G4" s="1899">
        <v>101000600</v>
      </c>
    </row>
    <row r="5" spans="1:7" ht="15" x14ac:dyDescent="0.25">
      <c r="A5" t="s">
        <v>699</v>
      </c>
      <c r="B5" s="135" t="str">
        <f>COVER!A38</f>
        <v>Beau Fretueg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35370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2670519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4200</v>
      </c>
      <c r="D76" s="2" t="str">
        <f t="shared" si="0"/>
        <v>Error?</v>
      </c>
      <c r="G76" s="1899">
        <v>102570600</v>
      </c>
    </row>
    <row r="77" spans="1:7" ht="15" x14ac:dyDescent="0.25">
      <c r="A77" s="5">
        <v>16</v>
      </c>
      <c r="B77" s="1832">
        <f>'Assets-Liab 5-6'!C13</f>
        <v>3260249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32</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32</v>
      </c>
      <c r="C91" s="2" t="s">
        <v>569</v>
      </c>
      <c r="D91" s="2" t="str">
        <f t="shared" si="0"/>
        <v>Error?</v>
      </c>
      <c r="G91" s="1899">
        <v>102640400</v>
      </c>
    </row>
    <row r="92" spans="1:7" ht="15" x14ac:dyDescent="0.25">
      <c r="A92" s="5">
        <v>31</v>
      </c>
      <c r="B92" s="1832">
        <f>'Assets-Liab 5-6'!C39</f>
        <v>3257841</v>
      </c>
      <c r="D92" s="2" t="str">
        <f t="shared" si="0"/>
        <v>Error?</v>
      </c>
      <c r="G92" s="1899">
        <v>102640600</v>
      </c>
    </row>
    <row r="93" spans="1:7" ht="15" x14ac:dyDescent="0.25">
      <c r="A93" s="5">
        <v>32</v>
      </c>
      <c r="B93" s="1832">
        <f>'Assets-Liab 5-6'!C41</f>
        <v>3260249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842587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949564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949564</v>
      </c>
      <c r="D123" s="2" t="str">
        <f t="shared" si="0"/>
        <v>Error?</v>
      </c>
      <c r="G123" s="1899">
        <v>203000400</v>
      </c>
    </row>
    <row r="124" spans="1:7" ht="15" x14ac:dyDescent="0.25">
      <c r="A124" s="5">
        <v>63</v>
      </c>
      <c r="B124" s="1832">
        <f>'Assets-Liab 5-6'!D41</f>
        <v>949564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51529</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549350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92221</v>
      </c>
      <c r="D140" s="2" t="str">
        <f t="shared" si="1"/>
        <v>Error?</v>
      </c>
    </row>
    <row r="141" spans="1:7" x14ac:dyDescent="0.2">
      <c r="A141" s="5">
        <v>80</v>
      </c>
      <c r="B141" s="1832">
        <f>'Assets-Liab 5-6'!E41</f>
        <v>549350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240733</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264797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124</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124</v>
      </c>
      <c r="C169" s="2" t="s">
        <v>569</v>
      </c>
      <c r="D169" s="2" t="str">
        <f t="shared" si="1"/>
        <v>Error?</v>
      </c>
    </row>
    <row r="170" spans="1:4" x14ac:dyDescent="0.2">
      <c r="A170" s="5">
        <v>109</v>
      </c>
      <c r="B170" s="1832">
        <f>'Assets-Liab 5-6'!F39</f>
        <v>264673</v>
      </c>
      <c r="D170" s="2" t="str">
        <f t="shared" si="1"/>
        <v>Error?</v>
      </c>
    </row>
    <row r="171" spans="1:4" x14ac:dyDescent="0.2">
      <c r="A171" s="5">
        <v>110</v>
      </c>
      <c r="B171" s="1832">
        <f>'Assets-Liab 5-6'!F41</f>
        <v>264797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320050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631057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379105</v>
      </c>
      <c r="D189" s="2" t="str">
        <f t="shared" si="1"/>
        <v>Error?</v>
      </c>
    </row>
    <row r="190" spans="1:4" x14ac:dyDescent="0.2">
      <c r="A190" s="5">
        <v>129</v>
      </c>
      <c r="B190" s="1832">
        <f>'Assets-Liab 5-6'!G41</f>
        <v>631057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453974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453974</v>
      </c>
      <c r="D212" s="2" t="str">
        <f t="shared" si="2"/>
        <v>Error?</v>
      </c>
    </row>
    <row r="213" spans="1:4" x14ac:dyDescent="0.2">
      <c r="A213" s="12">
        <v>152</v>
      </c>
      <c r="B213" s="1832">
        <f>'Assets-Liab 5-6'!H41</f>
        <v>453974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198621</v>
      </c>
      <c r="D273" s="2" t="str">
        <f t="shared" si="3"/>
        <v>Error?</v>
      </c>
    </row>
    <row r="274" spans="1:4" x14ac:dyDescent="0.2">
      <c r="A274" s="5">
        <v>213</v>
      </c>
      <c r="B274" s="1832">
        <f>'Assets-Liab 5-6'!M17</f>
        <v>13171602</v>
      </c>
      <c r="D274" s="2" t="str">
        <f t="shared" si="3"/>
        <v>Error?</v>
      </c>
    </row>
    <row r="275" spans="1:4" x14ac:dyDescent="0.2">
      <c r="A275" s="5">
        <v>214</v>
      </c>
      <c r="B275" s="1832">
        <f>'Assets-Liab 5-6'!M18</f>
        <v>2277369</v>
      </c>
      <c r="D275" s="2" t="str">
        <f t="shared" si="3"/>
        <v>Error?</v>
      </c>
    </row>
    <row r="276" spans="1:4" x14ac:dyDescent="0.2">
      <c r="A276" s="5">
        <v>215</v>
      </c>
      <c r="B276" s="1832">
        <f>'Assets-Liab 5-6'!M19</f>
        <v>776705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16424297</v>
      </c>
      <c r="C279" s="2" t="s">
        <v>569</v>
      </c>
      <c r="D279" s="2" t="str">
        <f t="shared" si="3"/>
        <v>Error?</v>
      </c>
    </row>
    <row r="280" spans="1:4" x14ac:dyDescent="0.2">
      <c r="A280" s="5">
        <v>219</v>
      </c>
      <c r="B280" s="1832">
        <f>'Assets-Liab 5-6'!M40</f>
        <v>16424297</v>
      </c>
      <c r="D280" s="2" t="str">
        <f t="shared" si="3"/>
        <v>Error?</v>
      </c>
    </row>
    <row r="281" spans="1:4" x14ac:dyDescent="0.2">
      <c r="A281" s="5">
        <v>220</v>
      </c>
      <c r="B281" s="1832">
        <f>'Assets-Liab 5-6'!M41</f>
        <v>16424297</v>
      </c>
      <c r="C281" s="2" t="s">
        <v>569</v>
      </c>
      <c r="D281" s="2" t="str">
        <f t="shared" si="3"/>
        <v>Error?</v>
      </c>
    </row>
    <row r="282" spans="1:4" x14ac:dyDescent="0.2">
      <c r="A282" s="5">
        <v>221</v>
      </c>
      <c r="B282" s="1832">
        <f>'Assets-Liab 5-6'!N21</f>
        <v>549350</v>
      </c>
      <c r="D282" s="2" t="str">
        <f t="shared" si="3"/>
        <v>Error?</v>
      </c>
    </row>
    <row r="283" spans="1:4" x14ac:dyDescent="0.2">
      <c r="A283" s="5">
        <v>222</v>
      </c>
      <c r="B283" s="1832">
        <f>'Assets-Liab 5-6'!N22</f>
        <v>1199020</v>
      </c>
      <c r="D283" s="2" t="str">
        <f t="shared" si="3"/>
        <v>Error?</v>
      </c>
    </row>
    <row r="284" spans="1:4" x14ac:dyDescent="0.2">
      <c r="A284" s="5">
        <v>223</v>
      </c>
      <c r="B284" s="1832">
        <f>'Assets-Liab 5-6'!N23</f>
        <v>1748370</v>
      </c>
      <c r="C284" s="2" t="s">
        <v>569</v>
      </c>
      <c r="D284" s="2" t="str">
        <f t="shared" si="3"/>
        <v>Error?</v>
      </c>
    </row>
    <row r="285" spans="1:4" x14ac:dyDescent="0.2">
      <c r="A285" s="5">
        <v>224</v>
      </c>
      <c r="B285" s="1832">
        <f>'Assets-Liab 5-6'!N36</f>
        <v>1748370</v>
      </c>
      <c r="D285" s="2" t="str">
        <f t="shared" si="3"/>
        <v>Error?</v>
      </c>
    </row>
    <row r="286" spans="1:4" x14ac:dyDescent="0.2">
      <c r="A286" s="10">
        <v>225</v>
      </c>
      <c r="B286" s="1832"/>
      <c r="D286" s="2" t="str">
        <f t="shared" si="3"/>
        <v>OK</v>
      </c>
    </row>
    <row r="287" spans="1:4" x14ac:dyDescent="0.2">
      <c r="A287" s="5">
        <v>226</v>
      </c>
      <c r="B287" s="1832">
        <f>'Assets-Liab 5-6'!N37</f>
        <v>1748370</v>
      </c>
      <c r="C287" s="2" t="s">
        <v>569</v>
      </c>
      <c r="D287" s="2" t="str">
        <f t="shared" si="3"/>
        <v>Error?</v>
      </c>
    </row>
    <row r="288" spans="1:4" x14ac:dyDescent="0.2">
      <c r="A288" s="5">
        <v>227</v>
      </c>
      <c r="B288" s="1832">
        <f>'Assets-Liab 5-6'!N41</f>
        <v>1748370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2684559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170557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3793930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78936</v>
      </c>
      <c r="D722" s="2" t="str">
        <f t="shared" si="10"/>
        <v>Error?</v>
      </c>
    </row>
    <row r="723" spans="1:4" x14ac:dyDescent="0.2">
      <c r="A723" s="5">
        <v>662</v>
      </c>
      <c r="B723" s="1832">
        <f>'Expenditures 15-22'!C38</f>
        <v>27783</v>
      </c>
      <c r="D723" s="2" t="str">
        <f t="shared" si="10"/>
        <v>Error?</v>
      </c>
    </row>
    <row r="724" spans="1:4" x14ac:dyDescent="0.2">
      <c r="A724" s="5">
        <v>663</v>
      </c>
      <c r="B724" s="1832">
        <f>'Expenditures 15-22'!C39</f>
        <v>71132</v>
      </c>
      <c r="D724" s="2" t="str">
        <f t="shared" si="10"/>
        <v>Error?</v>
      </c>
    </row>
    <row r="725" spans="1:4" x14ac:dyDescent="0.2">
      <c r="A725" s="5">
        <v>664</v>
      </c>
      <c r="B725" s="1832">
        <f>'Expenditures 15-22'!C40</f>
        <v>156427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334278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2695</v>
      </c>
      <c r="D732" s="2" t="str">
        <f t="shared" si="10"/>
        <v>Error?</v>
      </c>
    </row>
    <row r="733" spans="1:4" x14ac:dyDescent="0.2">
      <c r="A733" s="5">
        <v>672</v>
      </c>
      <c r="B733" s="1832">
        <f>'Expenditures 15-22'!C50</f>
        <v>222729</v>
      </c>
      <c r="D733" s="2" t="str">
        <f t="shared" si="10"/>
        <v>Error?</v>
      </c>
    </row>
    <row r="734" spans="1:4" x14ac:dyDescent="0.2">
      <c r="A734" s="5">
        <v>673</v>
      </c>
      <c r="B734" s="1832">
        <f>'Expenditures 15-22'!C53</f>
        <v>225424</v>
      </c>
      <c r="C734" s="2" t="s">
        <v>569</v>
      </c>
      <c r="D734" s="2" t="str">
        <f t="shared" si="10"/>
        <v>Error?</v>
      </c>
    </row>
    <row r="735" spans="1:4" x14ac:dyDescent="0.2">
      <c r="A735" s="5">
        <v>674</v>
      </c>
      <c r="B735" s="1832">
        <f>'Expenditures 15-22'!C55</f>
        <v>456671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456671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83404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16160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99564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71369</v>
      </c>
      <c r="D751" s="2" t="str">
        <f t="shared" si="10"/>
        <v>Error?</v>
      </c>
    </row>
    <row r="752" spans="1:4" x14ac:dyDescent="0.2">
      <c r="A752" s="10">
        <v>691</v>
      </c>
      <c r="B752" s="1832"/>
      <c r="D752" s="2" t="str">
        <f t="shared" si="10"/>
        <v>OK</v>
      </c>
    </row>
    <row r="753" spans="1:4" x14ac:dyDescent="0.2">
      <c r="A753" s="5">
        <v>692</v>
      </c>
      <c r="B753" s="1832">
        <f>'Expenditures 15-22'!C72</f>
        <v>71369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1187306</v>
      </c>
      <c r="C755" s="2" t="s">
        <v>569</v>
      </c>
      <c r="D755" s="2" t="str">
        <f t="shared" si="10"/>
        <v>Error?</v>
      </c>
    </row>
    <row r="756" spans="1:4" x14ac:dyDescent="0.2">
      <c r="A756" s="5">
        <v>695</v>
      </c>
      <c r="B756" s="1832">
        <f>'Expenditures 15-22'!C75</f>
        <v>1900</v>
      </c>
      <c r="D756" s="2" t="str">
        <f t="shared" si="10"/>
        <v>Error?</v>
      </c>
    </row>
    <row r="757" spans="1:4" x14ac:dyDescent="0.2">
      <c r="A757" s="5">
        <v>696</v>
      </c>
      <c r="B757" s="1832">
        <f>'Expenditures 15-22'!C114</f>
        <v>4983136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476722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4240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788356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21870</v>
      </c>
      <c r="D780" s="2" t="str">
        <f t="shared" si="11"/>
        <v>Error?</v>
      </c>
    </row>
    <row r="781" spans="1:4" x14ac:dyDescent="0.2">
      <c r="A781" s="5">
        <v>720</v>
      </c>
      <c r="B781" s="1832">
        <f>'Expenditures 15-22'!D38</f>
        <v>1750</v>
      </c>
      <c r="D781" s="2" t="str">
        <f t="shared" si="11"/>
        <v>Error?</v>
      </c>
    </row>
    <row r="782" spans="1:4" x14ac:dyDescent="0.2">
      <c r="A782" s="5">
        <v>721</v>
      </c>
      <c r="B782" s="1832">
        <f>'Expenditures 15-22'!D39</f>
        <v>9947</v>
      </c>
      <c r="D782" s="2" t="str">
        <f t="shared" si="11"/>
        <v>Error?</v>
      </c>
    </row>
    <row r="783" spans="1:4" x14ac:dyDescent="0.2">
      <c r="A783" s="5">
        <v>722</v>
      </c>
      <c r="B783" s="1832">
        <f>'Expenditures 15-22'!D40</f>
        <v>30591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64158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1</v>
      </c>
      <c r="D790" s="2" t="str">
        <f t="shared" si="11"/>
        <v>Error?</v>
      </c>
    </row>
    <row r="791" spans="1:4" x14ac:dyDescent="0.2">
      <c r="A791" s="5">
        <v>730</v>
      </c>
      <c r="B791" s="1832">
        <f>'Expenditures 15-22'!D50</f>
        <v>45022</v>
      </c>
      <c r="D791" s="2" t="str">
        <f t="shared" si="11"/>
        <v>Error?</v>
      </c>
    </row>
    <row r="792" spans="1:4" x14ac:dyDescent="0.2">
      <c r="A792" s="5">
        <v>731</v>
      </c>
      <c r="B792" s="1832">
        <f>'Expenditures 15-22'!D53</f>
        <v>45023</v>
      </c>
      <c r="C792" s="2" t="s">
        <v>569</v>
      </c>
      <c r="D792" s="2" t="str">
        <f t="shared" si="11"/>
        <v>Error?</v>
      </c>
    </row>
    <row r="793" spans="1:4" x14ac:dyDescent="0.2">
      <c r="A793" s="5">
        <v>732</v>
      </c>
      <c r="B793" s="1832">
        <f>'Expenditures 15-22'!D55</f>
        <v>97538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97538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29621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3341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32962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8845</v>
      </c>
      <c r="D809" s="2" t="str">
        <f t="shared" si="11"/>
        <v>Error?</v>
      </c>
    </row>
    <row r="810" spans="1:4" x14ac:dyDescent="0.2">
      <c r="A810" s="10">
        <v>749</v>
      </c>
      <c r="B810" s="1832"/>
      <c r="D810" s="2" t="str">
        <f t="shared" si="11"/>
        <v>OK</v>
      </c>
    </row>
    <row r="811" spans="1:4" x14ac:dyDescent="0.2">
      <c r="A811" s="5">
        <v>750</v>
      </c>
      <c r="B811" s="1832">
        <f>'Expenditures 15-22'!D72</f>
        <v>8845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248526</v>
      </c>
      <c r="C813" s="2" t="s">
        <v>569</v>
      </c>
      <c r="D813" s="2" t="str">
        <f t="shared" si="11"/>
        <v>Error?</v>
      </c>
    </row>
    <row r="814" spans="1:4" x14ac:dyDescent="0.2">
      <c r="A814" s="5">
        <v>753</v>
      </c>
      <c r="B814" s="1832">
        <f>'Expenditures 15-22'!D75</f>
        <v>180</v>
      </c>
      <c r="D814" s="2" t="str">
        <f t="shared" si="11"/>
        <v>Error?</v>
      </c>
    </row>
    <row r="815" spans="1:4" x14ac:dyDescent="0.2">
      <c r="A815" s="5">
        <v>754</v>
      </c>
      <c r="B815" s="1832">
        <f>'Expenditures 15-22'!D114</f>
        <v>1037062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121407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39892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169794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491</v>
      </c>
      <c r="D838" s="2" t="str">
        <f t="shared" si="12"/>
        <v>Error?</v>
      </c>
    </row>
    <row r="839" spans="1:4" x14ac:dyDescent="0.2">
      <c r="A839" s="5">
        <v>778</v>
      </c>
      <c r="B839" s="1832">
        <f>'Expenditures 15-22'!E38</f>
        <v>6502</v>
      </c>
      <c r="D839" s="2" t="str">
        <f t="shared" si="12"/>
        <v>Error?</v>
      </c>
    </row>
    <row r="840" spans="1:4" x14ac:dyDescent="0.2">
      <c r="A840" s="5">
        <v>779</v>
      </c>
      <c r="B840" s="1832">
        <f>'Expenditures 15-22'!E39</f>
        <v>134</v>
      </c>
      <c r="D840" s="2" t="str">
        <f t="shared" si="12"/>
        <v>Error?</v>
      </c>
    </row>
    <row r="841" spans="1:4" x14ac:dyDescent="0.2">
      <c r="A841" s="5">
        <v>780</v>
      </c>
      <c r="B841" s="1832">
        <f>'Expenditures 15-22'!E40</f>
        <v>781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7908</v>
      </c>
      <c r="C843" s="2" t="s">
        <v>569</v>
      </c>
      <c r="D843" s="2" t="str">
        <f t="shared" si="12"/>
        <v>Error?</v>
      </c>
    </row>
    <row r="844" spans="1:4" x14ac:dyDescent="0.2">
      <c r="A844" s="5">
        <v>783</v>
      </c>
      <c r="B844" s="1832">
        <f>'Expenditures 15-22'!E44</f>
        <v>106701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106701</v>
      </c>
      <c r="C847" s="2" t="s">
        <v>569</v>
      </c>
      <c r="D847" s="2" t="str">
        <f t="shared" si="12"/>
        <v>Error?</v>
      </c>
    </row>
    <row r="848" spans="1:4" x14ac:dyDescent="0.2">
      <c r="A848" s="5">
        <v>787</v>
      </c>
      <c r="B848" s="1832">
        <f>'Expenditures 15-22'!E49</f>
        <v>33005</v>
      </c>
      <c r="D848" s="2" t="str">
        <f t="shared" si="12"/>
        <v>Error?</v>
      </c>
    </row>
    <row r="849" spans="1:4" x14ac:dyDescent="0.2">
      <c r="A849" s="5">
        <v>788</v>
      </c>
      <c r="B849" s="1832">
        <f>'Expenditures 15-22'!E50</f>
        <v>15957</v>
      </c>
      <c r="D849" s="2" t="str">
        <f t="shared" si="12"/>
        <v>Error?</v>
      </c>
    </row>
    <row r="850" spans="1:4" x14ac:dyDescent="0.2">
      <c r="A850" s="5">
        <v>789</v>
      </c>
      <c r="B850" s="1832">
        <f>'Expenditures 15-22'!E53</f>
        <v>48962</v>
      </c>
      <c r="C850" s="2" t="s">
        <v>569</v>
      </c>
      <c r="D850" s="2" t="str">
        <f t="shared" si="12"/>
        <v>Error?</v>
      </c>
    </row>
    <row r="851" spans="1:4" x14ac:dyDescent="0.2">
      <c r="A851" s="5">
        <v>790</v>
      </c>
      <c r="B851" s="1832">
        <f>'Expenditures 15-22'!E55</f>
        <v>199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199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337522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337522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501292</v>
      </c>
      <c r="C871" s="2" t="s">
        <v>569</v>
      </c>
      <c r="D871" s="2" t="str">
        <f t="shared" si="12"/>
        <v>Error?</v>
      </c>
    </row>
    <row r="872" spans="1:4" x14ac:dyDescent="0.2">
      <c r="A872" s="5">
        <v>811</v>
      </c>
      <c r="B872" s="1832">
        <f>'Expenditures 15-22'!E75</f>
        <v>1566</v>
      </c>
      <c r="D872" s="2" t="str">
        <f t="shared" si="12"/>
        <v>Error?</v>
      </c>
    </row>
    <row r="873" spans="1:4" x14ac:dyDescent="0.2">
      <c r="A873" s="5">
        <v>812</v>
      </c>
      <c r="B873" s="1832">
        <f>'Expenditures 15-22'!E114</f>
        <v>929346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145501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83634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242512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240</v>
      </c>
      <c r="D896" s="2" t="str">
        <f t="shared" si="13"/>
        <v>Error?</v>
      </c>
    </row>
    <row r="897" spans="1:4" x14ac:dyDescent="0.2">
      <c r="A897" s="5">
        <v>836</v>
      </c>
      <c r="B897" s="1832">
        <f>'Expenditures 15-22'!F38</f>
        <v>3087</v>
      </c>
      <c r="D897" s="2" t="str">
        <f t="shared" si="13"/>
        <v>Error?</v>
      </c>
    </row>
    <row r="898" spans="1:4" x14ac:dyDescent="0.2">
      <c r="A898" s="5">
        <v>837</v>
      </c>
      <c r="B898" s="1832">
        <f>'Expenditures 15-22'!F39</f>
        <v>730</v>
      </c>
      <c r="D898" s="2" t="str">
        <f t="shared" si="13"/>
        <v>Error?</v>
      </c>
    </row>
    <row r="899" spans="1:4" x14ac:dyDescent="0.2">
      <c r="A899" s="5">
        <v>838</v>
      </c>
      <c r="B899" s="1832">
        <f>'Expenditures 15-22'!F40</f>
        <v>527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4584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1545</v>
      </c>
      <c r="D906" s="2" t="str">
        <f t="shared" si="13"/>
        <v>Error?</v>
      </c>
    </row>
    <row r="907" spans="1:4" x14ac:dyDescent="0.2">
      <c r="A907" s="5">
        <v>846</v>
      </c>
      <c r="B907" s="1832">
        <f>'Expenditures 15-22'!F50</f>
        <v>33253</v>
      </c>
      <c r="D907" s="2" t="str">
        <f t="shared" si="13"/>
        <v>Error?</v>
      </c>
    </row>
    <row r="908" spans="1:4" x14ac:dyDescent="0.2">
      <c r="A908" s="5">
        <v>847</v>
      </c>
      <c r="B908" s="1832">
        <f>'Expenditures 15-22'!F53</f>
        <v>34798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238812</v>
      </c>
      <c r="D914" s="2" t="str">
        <f t="shared" si="13"/>
        <v>Error?</v>
      </c>
    </row>
    <row r="915" spans="1:4" x14ac:dyDescent="0.2">
      <c r="A915" s="5">
        <v>854</v>
      </c>
      <c r="B915" s="1832">
        <f>'Expenditures 15-22'!F62</f>
        <v>6802</v>
      </c>
      <c r="D915" s="2" t="str">
        <f t="shared" si="13"/>
        <v>Error?</v>
      </c>
    </row>
    <row r="916" spans="1:4" x14ac:dyDescent="0.2">
      <c r="A916" s="5">
        <v>855</v>
      </c>
      <c r="B916" s="1832">
        <f>'Expenditures 15-22'!F63</f>
        <v>26732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272346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63574</v>
      </c>
      <c r="D925" s="2" t="str">
        <f t="shared" si="13"/>
        <v>Error?</v>
      </c>
    </row>
    <row r="926" spans="1:4" x14ac:dyDescent="0.2">
      <c r="A926" s="10">
        <v>865</v>
      </c>
      <c r="B926" s="1832"/>
      <c r="D926" s="2" t="str">
        <f t="shared" si="13"/>
        <v>OK</v>
      </c>
    </row>
    <row r="927" spans="1:4" x14ac:dyDescent="0.2">
      <c r="A927" s="5">
        <v>866</v>
      </c>
      <c r="B927" s="1832">
        <f>'Expenditures 15-22'!F72</f>
        <v>63574</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375302</v>
      </c>
      <c r="C929" s="2" t="s">
        <v>569</v>
      </c>
      <c r="D929" s="2" t="str">
        <f t="shared" si="13"/>
        <v>Error?</v>
      </c>
    </row>
    <row r="930" spans="1:4" x14ac:dyDescent="0.2">
      <c r="A930" s="5">
        <v>869</v>
      </c>
      <c r="B930" s="1832">
        <f>'Expenditures 15-22'!F75</f>
        <v>5341</v>
      </c>
      <c r="D930" s="2" t="str">
        <f t="shared" si="13"/>
        <v>Error?</v>
      </c>
    </row>
    <row r="931" spans="1:4" x14ac:dyDescent="0.2">
      <c r="A931" s="5">
        <v>870</v>
      </c>
      <c r="B931" s="1832">
        <f>'Expenditures 15-22'!F114</f>
        <v>623155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238730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238730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9233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9233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9233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247963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79447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1906</v>
      </c>
      <c r="D1023" s="2" t="str">
        <f t="shared" ref="D1023:D1086" si="15">IF(ISBLANK(B1023),"OK",IF(A1023-B1023=0,"OK","Error?"))</f>
        <v>Error?</v>
      </c>
    </row>
    <row r="1024" spans="1:4" x14ac:dyDescent="0.2">
      <c r="A1024" s="5">
        <v>963</v>
      </c>
      <c r="B1024" s="1832">
        <f>'Expenditures 15-22'!H53</f>
        <v>1906</v>
      </c>
      <c r="C1024" s="2" t="s">
        <v>569</v>
      </c>
      <c r="D1024" s="2" t="str">
        <f t="shared" si="15"/>
        <v>Error?</v>
      </c>
    </row>
    <row r="1025" spans="1:4" x14ac:dyDescent="0.2">
      <c r="A1025" s="5">
        <v>964</v>
      </c>
      <c r="B1025" s="1832">
        <f>'Expenditures 15-22'!H55</f>
        <v>1685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1685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3591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125334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208372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3666919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298323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5312769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101537</v>
      </c>
      <c r="C1110" s="2" t="s">
        <v>569</v>
      </c>
      <c r="D1110" s="2" t="str">
        <f t="shared" si="16"/>
        <v>Error?</v>
      </c>
    </row>
    <row r="1111" spans="1:4" x14ac:dyDescent="0.2">
      <c r="A1111" s="5">
        <v>1050</v>
      </c>
      <c r="B1111" s="1832">
        <f>'Expenditures 15-22'!K38</f>
        <v>39122</v>
      </c>
      <c r="C1111" s="2" t="s">
        <v>569</v>
      </c>
      <c r="D1111" s="2" t="str">
        <f t="shared" si="16"/>
        <v>Error?</v>
      </c>
    </row>
    <row r="1112" spans="1:4" x14ac:dyDescent="0.2">
      <c r="A1112" s="5">
        <v>1051</v>
      </c>
      <c r="B1112" s="1832">
        <f>'Expenditures 15-22'!K39</f>
        <v>81943</v>
      </c>
      <c r="C1112" s="2" t="s">
        <v>569</v>
      </c>
      <c r="D1112" s="2" t="str">
        <f t="shared" si="16"/>
        <v>Error?</v>
      </c>
    </row>
    <row r="1113" spans="1:4" x14ac:dyDescent="0.2">
      <c r="A1113" s="5">
        <v>1052</v>
      </c>
      <c r="B1113" s="1832">
        <f>'Expenditures 15-22'!K40</f>
        <v>188326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410928</v>
      </c>
      <c r="C1115" s="2" t="s">
        <v>569</v>
      </c>
      <c r="D1115" s="2" t="str">
        <f t="shared" si="16"/>
        <v>Error?</v>
      </c>
    </row>
    <row r="1116" spans="1:4" x14ac:dyDescent="0.2">
      <c r="A1116" s="5">
        <v>1055</v>
      </c>
      <c r="B1116" s="1832">
        <f>'Expenditures 15-22'!K44</f>
        <v>106701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106701</v>
      </c>
      <c r="C1119" s="2" t="s">
        <v>569</v>
      </c>
      <c r="D1119" s="2" t="str">
        <f t="shared" si="16"/>
        <v>Error?</v>
      </c>
    </row>
    <row r="1120" spans="1:4" x14ac:dyDescent="0.2">
      <c r="A1120" s="5">
        <v>1059</v>
      </c>
      <c r="B1120" s="1832">
        <f>'Expenditures 15-22'!K49</f>
        <v>37246</v>
      </c>
      <c r="C1120" s="2" t="s">
        <v>569</v>
      </c>
      <c r="D1120" s="2" t="str">
        <f t="shared" si="16"/>
        <v>Error?</v>
      </c>
    </row>
    <row r="1121" spans="1:4" x14ac:dyDescent="0.2">
      <c r="A1121" s="5">
        <v>1060</v>
      </c>
      <c r="B1121" s="1832">
        <f>'Expenditures 15-22'!K50</f>
        <v>318867</v>
      </c>
      <c r="C1121" s="2" t="s">
        <v>569</v>
      </c>
      <c r="D1121" s="2" t="str">
        <f t="shared" si="16"/>
        <v>Error?</v>
      </c>
    </row>
    <row r="1122" spans="1:4" x14ac:dyDescent="0.2">
      <c r="A1122" s="5">
        <v>1061</v>
      </c>
      <c r="B1122" s="1832">
        <f>'Expenditures 15-22'!K53</f>
        <v>356113</v>
      </c>
      <c r="C1122" s="2" t="s">
        <v>569</v>
      </c>
      <c r="D1122" s="2" t="str">
        <f t="shared" si="16"/>
        <v>Error?</v>
      </c>
    </row>
    <row r="1123" spans="1:4" x14ac:dyDescent="0.2">
      <c r="A1123" s="5">
        <v>1062</v>
      </c>
      <c r="B1123" s="1832">
        <f>'Expenditures 15-22'!K55</f>
        <v>556093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556093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113025</v>
      </c>
      <c r="C1127" s="2" t="s">
        <v>569</v>
      </c>
      <c r="D1127" s="2" t="str">
        <f t="shared" si="16"/>
        <v>Error?</v>
      </c>
    </row>
    <row r="1128" spans="1:4" x14ac:dyDescent="0.2">
      <c r="A1128" s="5">
        <v>1067</v>
      </c>
      <c r="B1128" s="1832">
        <f>'Expenditures 15-22'!K61</f>
        <v>238812</v>
      </c>
      <c r="C1128" s="2" t="s">
        <v>569</v>
      </c>
      <c r="D1128" s="2" t="str">
        <f t="shared" si="16"/>
        <v>Error?</v>
      </c>
    </row>
    <row r="1129" spans="1:4" x14ac:dyDescent="0.2">
      <c r="A1129" s="5">
        <v>1068</v>
      </c>
      <c r="B1129" s="1832">
        <f>'Expenditures 15-22'!K62</f>
        <v>6802</v>
      </c>
      <c r="C1129" s="2" t="s">
        <v>569</v>
      </c>
      <c r="D1129" s="2" t="str">
        <f t="shared" si="16"/>
        <v>Error?</v>
      </c>
    </row>
    <row r="1130" spans="1:4" x14ac:dyDescent="0.2">
      <c r="A1130" s="5">
        <v>1069</v>
      </c>
      <c r="B1130" s="1832">
        <f>'Expenditures 15-22'!K63</f>
        <v>392988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751627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143788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143788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2325250</v>
      </c>
      <c r="C1143" s="2" t="s">
        <v>569</v>
      </c>
      <c r="D1143" s="2" t="str">
        <f t="shared" si="16"/>
        <v>Error?</v>
      </c>
    </row>
    <row r="1144" spans="1:4" x14ac:dyDescent="0.2">
      <c r="A1144" s="5">
        <v>1083</v>
      </c>
      <c r="B1144" s="1832">
        <f>'Expenditures 15-22'!K75</f>
        <v>8987</v>
      </c>
      <c r="C1144" s="2" t="s">
        <v>569</v>
      </c>
      <c r="D1144" s="2" t="str">
        <f t="shared" si="16"/>
        <v>Error?</v>
      </c>
    </row>
    <row r="1145" spans="1:4" x14ac:dyDescent="0.2">
      <c r="A1145" s="5">
        <v>1084</v>
      </c>
      <c r="B1145" s="1832">
        <f>'Expenditures 15-22'!K102</f>
        <v>382028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8029034</v>
      </c>
      <c r="C1152" s="2" t="s">
        <v>569</v>
      </c>
      <c r="D1152" s="2" t="str">
        <f t="shared" si="17"/>
        <v>Error?</v>
      </c>
    </row>
    <row r="1153" spans="1:4" x14ac:dyDescent="0.2">
      <c r="A1153" s="5">
        <v>1092</v>
      </c>
      <c r="B1153" s="1832">
        <f>'Expenditures 15-22'!K115</f>
        <v>273816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256872</v>
      </c>
      <c r="D1221" s="2" t="str">
        <f t="shared" si="18"/>
        <v>Error?</v>
      </c>
    </row>
    <row r="1222" spans="1:4" x14ac:dyDescent="0.2">
      <c r="A1222" s="10">
        <v>1161</v>
      </c>
      <c r="B1222" s="1832"/>
      <c r="D1222" s="2" t="str">
        <f t="shared" si="18"/>
        <v>OK</v>
      </c>
    </row>
    <row r="1223" spans="1:4" x14ac:dyDescent="0.2">
      <c r="A1223" s="5">
        <v>1162</v>
      </c>
      <c r="B1223" s="1832">
        <f>'Expenditures 15-22'!C127</f>
        <v>256872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256872</v>
      </c>
      <c r="C1225" s="2" t="s">
        <v>569</v>
      </c>
      <c r="D1225" s="2" t="str">
        <f t="shared" si="18"/>
        <v>Error?</v>
      </c>
    </row>
    <row r="1226" spans="1:4" x14ac:dyDescent="0.2">
      <c r="A1226" s="5">
        <v>1165</v>
      </c>
      <c r="B1226" s="1832">
        <f>'Expenditures 15-22'!C151</f>
        <v>256872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67680</v>
      </c>
      <c r="D1229" s="2" t="str">
        <f t="shared" si="18"/>
        <v>Error?</v>
      </c>
    </row>
    <row r="1230" spans="1:4" x14ac:dyDescent="0.2">
      <c r="A1230" s="10">
        <v>1169</v>
      </c>
      <c r="B1230" s="1832"/>
      <c r="D1230" s="2" t="str">
        <f t="shared" si="18"/>
        <v>OK</v>
      </c>
    </row>
    <row r="1231" spans="1:4" x14ac:dyDescent="0.2">
      <c r="A1231" s="5">
        <v>1170</v>
      </c>
      <c r="B1231" s="1832">
        <f>'Expenditures 15-22'!D127</f>
        <v>67680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67680</v>
      </c>
      <c r="C1233" s="2" t="s">
        <v>569</v>
      </c>
      <c r="D1233" s="2" t="str">
        <f t="shared" si="18"/>
        <v>Error?</v>
      </c>
    </row>
    <row r="1234" spans="1:4" x14ac:dyDescent="0.2">
      <c r="A1234" s="5">
        <v>1173</v>
      </c>
      <c r="B1234" s="1832">
        <f>'Expenditures 15-22'!D151</f>
        <v>67680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107929</v>
      </c>
      <c r="D1237" s="2" t="str">
        <f t="shared" si="18"/>
        <v>Error?</v>
      </c>
    </row>
    <row r="1238" spans="1:4" x14ac:dyDescent="0.2">
      <c r="A1238" s="10">
        <v>1177</v>
      </c>
      <c r="B1238" s="1832"/>
      <c r="D1238" s="2" t="str">
        <f t="shared" si="18"/>
        <v>OK</v>
      </c>
    </row>
    <row r="1239" spans="1:4" x14ac:dyDescent="0.2">
      <c r="A1239" s="5">
        <v>1178</v>
      </c>
      <c r="B1239" s="1832">
        <f>'Expenditures 15-22'!E127</f>
        <v>107929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107929</v>
      </c>
      <c r="C1241" s="2" t="s">
        <v>569</v>
      </c>
      <c r="D1241" s="2" t="str">
        <f t="shared" si="18"/>
        <v>Error?</v>
      </c>
    </row>
    <row r="1242" spans="1:4" x14ac:dyDescent="0.2">
      <c r="A1242" s="5">
        <v>1181</v>
      </c>
      <c r="B1242" s="1832">
        <f>'Expenditures 15-22'!E151</f>
        <v>107929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87468</v>
      </c>
      <c r="D1245" s="2" t="str">
        <f t="shared" si="18"/>
        <v>Error?</v>
      </c>
    </row>
    <row r="1246" spans="1:4" x14ac:dyDescent="0.2">
      <c r="A1246" s="10">
        <v>1185</v>
      </c>
      <c r="B1246" s="1832"/>
      <c r="D1246" s="2" t="str">
        <f t="shared" si="18"/>
        <v>OK</v>
      </c>
    </row>
    <row r="1247" spans="1:4" x14ac:dyDescent="0.2">
      <c r="A1247" s="5">
        <v>1186</v>
      </c>
      <c r="B1247" s="1832">
        <f>'Expenditures 15-22'!F127</f>
        <v>87468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87468</v>
      </c>
      <c r="C1249" s="2" t="s">
        <v>569</v>
      </c>
      <c r="D1249" s="2" t="str">
        <f t="shared" si="18"/>
        <v>Error?</v>
      </c>
    </row>
    <row r="1250" spans="1:4" x14ac:dyDescent="0.2">
      <c r="A1250" s="5">
        <v>1189</v>
      </c>
      <c r="B1250" s="1832">
        <f>'Expenditures 15-22'!F151</f>
        <v>87468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15832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15832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15832</v>
      </c>
      <c r="C1258" s="2" t="s">
        <v>569</v>
      </c>
      <c r="D1258" s="2" t="str">
        <f t="shared" si="18"/>
        <v>Error?</v>
      </c>
    </row>
    <row r="1259" spans="1:4" x14ac:dyDescent="0.2">
      <c r="A1259" s="5">
        <v>1198</v>
      </c>
      <c r="B1259" s="1832">
        <f>'Expenditures 15-22'!G151</f>
        <v>15832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535781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535781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535781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535781</v>
      </c>
      <c r="C1288" s="2" t="s">
        <v>569</v>
      </c>
      <c r="D1288" s="2" t="str">
        <f t="shared" si="19"/>
        <v>Error?</v>
      </c>
    </row>
    <row r="1289" spans="1:4" x14ac:dyDescent="0.2">
      <c r="A1289" s="5">
        <v>1228</v>
      </c>
      <c r="B1289" s="1832">
        <f>'Expenditures 15-22'!K152</f>
        <v>104304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100356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775196</v>
      </c>
      <c r="D1315" s="2" t="str">
        <f t="shared" si="19"/>
        <v>Error?</v>
      </c>
    </row>
    <row r="1316" spans="1:4" x14ac:dyDescent="0.2">
      <c r="A1316" s="5">
        <v>1255</v>
      </c>
      <c r="B1316" s="1832">
        <f>'Expenditures 15-22'!H171</f>
        <v>800</v>
      </c>
      <c r="D1316" s="2" t="str">
        <f t="shared" si="19"/>
        <v>Error?</v>
      </c>
    </row>
    <row r="1317" spans="1:4" x14ac:dyDescent="0.2">
      <c r="A1317" s="5">
        <v>1256</v>
      </c>
      <c r="B1317" s="1832">
        <f>'Expenditures 15-22'!H172</f>
        <v>876352</v>
      </c>
      <c r="C1317" s="2" t="s">
        <v>569</v>
      </c>
      <c r="D1317" s="2" t="str">
        <f t="shared" si="19"/>
        <v>Error?</v>
      </c>
    </row>
    <row r="1318" spans="1:4" x14ac:dyDescent="0.2">
      <c r="A1318" s="5">
        <v>1257</v>
      </c>
      <c r="B1318" s="1832">
        <f>'Expenditures 15-22'!H174</f>
        <v>876352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100356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775196</v>
      </c>
      <c r="C1329" s="2" t="s">
        <v>569</v>
      </c>
      <c r="D1329" s="2" t="str">
        <f t="shared" si="19"/>
        <v>Error?</v>
      </c>
    </row>
    <row r="1330" spans="1:4" x14ac:dyDescent="0.2">
      <c r="A1330" s="5">
        <v>1269</v>
      </c>
      <c r="B1330" s="1832">
        <f>'Expenditures 15-22'!K171</f>
        <v>800</v>
      </c>
      <c r="C1330" s="2" t="s">
        <v>569</v>
      </c>
      <c r="D1330" s="2" t="str">
        <f t="shared" si="19"/>
        <v>Error?</v>
      </c>
    </row>
    <row r="1331" spans="1:4" x14ac:dyDescent="0.2">
      <c r="A1331" s="5">
        <v>1270</v>
      </c>
      <c r="B1331" s="1832">
        <f>'Expenditures 15-22'!K172</f>
        <v>876352</v>
      </c>
      <c r="C1331" s="2" t="s">
        <v>569</v>
      </c>
      <c r="D1331" s="2" t="str">
        <f t="shared" si="19"/>
        <v>Error?</v>
      </c>
    </row>
    <row r="1332" spans="1:4" x14ac:dyDescent="0.2">
      <c r="A1332" s="5">
        <v>1271</v>
      </c>
      <c r="B1332" s="1832">
        <f>'Expenditures 15-22'!K174</f>
        <v>876352</v>
      </c>
      <c r="C1332" s="2" t="s">
        <v>569</v>
      </c>
      <c r="D1332" s="2" t="str">
        <f t="shared" si="19"/>
        <v>Error?</v>
      </c>
    </row>
    <row r="1333" spans="1:4" x14ac:dyDescent="0.2">
      <c r="A1333" s="5">
        <v>1272</v>
      </c>
      <c r="B1333" s="1832">
        <f>'Expenditures 15-22'!K175</f>
        <v>6842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443578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443578</v>
      </c>
      <c r="C1339" s="2" t="s">
        <v>569</v>
      </c>
      <c r="D1339" s="2" t="str">
        <f t="shared" si="19"/>
        <v>Error?</v>
      </c>
    </row>
    <row r="1340" spans="1:4" x14ac:dyDescent="0.2">
      <c r="A1340" s="5">
        <v>1279</v>
      </c>
      <c r="B1340" s="1832">
        <f>'Expenditures 15-22'!C210</f>
        <v>443578</v>
      </c>
      <c r="C1340" s="2" t="s">
        <v>569</v>
      </c>
      <c r="D1340" s="2" t="str">
        <f t="shared" si="19"/>
        <v>Error?</v>
      </c>
    </row>
    <row r="1341" spans="1:4" x14ac:dyDescent="0.2">
      <c r="A1341" s="5">
        <v>1280</v>
      </c>
      <c r="B1341" s="1832">
        <f>'Expenditures 15-22'!D182</f>
        <v>57300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57300</v>
      </c>
      <c r="C1345" s="2" t="s">
        <v>569</v>
      </c>
      <c r="D1345" s="2" t="str">
        <f t="shared" si="20"/>
        <v>Error?</v>
      </c>
    </row>
    <row r="1346" spans="1:4" x14ac:dyDescent="0.2">
      <c r="A1346" s="5">
        <v>1285</v>
      </c>
      <c r="B1346" s="1832">
        <f>'Expenditures 15-22'!D210</f>
        <v>57300</v>
      </c>
      <c r="C1346" s="2" t="s">
        <v>569</v>
      </c>
      <c r="D1346" s="2" t="str">
        <f t="shared" si="20"/>
        <v>Error?</v>
      </c>
    </row>
    <row r="1347" spans="1:4" x14ac:dyDescent="0.2">
      <c r="A1347" s="5">
        <v>1286</v>
      </c>
      <c r="B1347" s="1832">
        <f>'Expenditures 15-22'!E182</f>
        <v>397593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397593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397593</v>
      </c>
      <c r="C1353" s="2" t="s">
        <v>569</v>
      </c>
      <c r="D1353" s="2" t="str">
        <f t="shared" si="20"/>
        <v>Error?</v>
      </c>
    </row>
    <row r="1354" spans="1:4" x14ac:dyDescent="0.2">
      <c r="A1354" s="5">
        <v>1293</v>
      </c>
      <c r="B1354" s="1832">
        <f>'Expenditures 15-22'!F182</f>
        <v>114472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114472</v>
      </c>
      <c r="C1358" s="2" t="s">
        <v>569</v>
      </c>
      <c r="D1358" s="2" t="str">
        <f t="shared" si="20"/>
        <v>Error?</v>
      </c>
    </row>
    <row r="1359" spans="1:4" x14ac:dyDescent="0.2">
      <c r="A1359" s="5">
        <v>1298</v>
      </c>
      <c r="B1359" s="1832">
        <f>'Expenditures 15-22'!F210</f>
        <v>114472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1012943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1012943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1012943</v>
      </c>
      <c r="C1388" s="2" t="s">
        <v>569</v>
      </c>
      <c r="D1388" s="2" t="str">
        <f t="shared" si="20"/>
        <v>Error?</v>
      </c>
    </row>
    <row r="1389" spans="1:4" x14ac:dyDescent="0.2">
      <c r="A1389" s="5">
        <v>1328</v>
      </c>
      <c r="B1389" s="1832">
        <f>'Expenditures 15-22'!K211</f>
        <v>-51098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7822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128634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1274</v>
      </c>
      <c r="D1412" s="2" t="str">
        <f t="shared" si="21"/>
        <v>Error?</v>
      </c>
    </row>
    <row r="1413" spans="1:4" x14ac:dyDescent="0.2">
      <c r="A1413" s="5">
        <v>1352</v>
      </c>
      <c r="B1413" s="1832">
        <f>'Expenditures 15-22'!D234</f>
        <v>4326</v>
      </c>
      <c r="D1413" s="2" t="str">
        <f t="shared" si="21"/>
        <v>Error?</v>
      </c>
    </row>
    <row r="1414" spans="1:4" x14ac:dyDescent="0.2">
      <c r="A1414" s="5">
        <v>1353</v>
      </c>
      <c r="B1414" s="1832">
        <f>'Expenditures 15-22'!D235</f>
        <v>1066</v>
      </c>
      <c r="D1414" s="2" t="str">
        <f t="shared" si="21"/>
        <v>Error?</v>
      </c>
    </row>
    <row r="1415" spans="1:4" x14ac:dyDescent="0.2">
      <c r="A1415" s="5">
        <v>1354</v>
      </c>
      <c r="B1415" s="1832">
        <f>'Expenditures 15-22'!D236</f>
        <v>2305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8971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648</v>
      </c>
      <c r="D1422" s="2" t="str">
        <f t="shared" si="21"/>
        <v>Error?</v>
      </c>
    </row>
    <row r="1423" spans="1:4" x14ac:dyDescent="0.2">
      <c r="A1423" s="5">
        <v>1362</v>
      </c>
      <c r="B1423" s="1832">
        <f>'Expenditures 15-22'!D246</f>
        <v>12847</v>
      </c>
      <c r="D1423" s="2" t="str">
        <f t="shared" si="21"/>
        <v>Error?</v>
      </c>
    </row>
    <row r="1424" spans="1:4" x14ac:dyDescent="0.2">
      <c r="A1424" s="5">
        <v>1363</v>
      </c>
      <c r="B1424" s="1832">
        <f>'Expenditures 15-22'!D257</f>
        <v>13495</v>
      </c>
      <c r="C1424" s="2" t="s">
        <v>569</v>
      </c>
      <c r="D1424" s="2" t="str">
        <f t="shared" si="21"/>
        <v>Error?</v>
      </c>
    </row>
    <row r="1425" spans="1:4" x14ac:dyDescent="0.2">
      <c r="A1425" s="5">
        <v>1364</v>
      </c>
      <c r="B1425" s="1832">
        <f>'Expenditures 15-22'!D259</f>
        <v>31255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31255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13841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47854</v>
      </c>
      <c r="D1431" s="2" t="str">
        <f t="shared" si="21"/>
        <v>Error?</v>
      </c>
    </row>
    <row r="1432" spans="1:4" x14ac:dyDescent="0.2">
      <c r="A1432" s="5">
        <v>1371</v>
      </c>
      <c r="B1432" s="1832">
        <f>'Expenditures 15-22'!D267</f>
        <v>68785</v>
      </c>
      <c r="D1432" s="2" t="str">
        <f t="shared" si="21"/>
        <v>Error?</v>
      </c>
    </row>
    <row r="1433" spans="1:4" x14ac:dyDescent="0.2">
      <c r="A1433" s="5">
        <v>1372</v>
      </c>
      <c r="B1433" s="1832">
        <f>'Expenditures 15-22'!D268</f>
        <v>1920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132400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14468</v>
      </c>
      <c r="D1442" s="2" t="str">
        <f t="shared" si="21"/>
        <v>Error?</v>
      </c>
    </row>
    <row r="1443" spans="1:4" x14ac:dyDescent="0.2">
      <c r="A1443" s="10">
        <v>1382</v>
      </c>
      <c r="B1443" s="1832"/>
      <c r="D1443" s="2" t="str">
        <f t="shared" si="21"/>
        <v>OK</v>
      </c>
    </row>
    <row r="1444" spans="1:4" x14ac:dyDescent="0.2">
      <c r="A1444" s="5">
        <v>1383</v>
      </c>
      <c r="B1444" s="1832">
        <f>'Expenditures 15-22'!D277</f>
        <v>14468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200589</v>
      </c>
      <c r="C1446" s="2" t="s">
        <v>569</v>
      </c>
      <c r="D1446" s="2" t="str">
        <f t="shared" si="21"/>
        <v>Error?</v>
      </c>
    </row>
    <row r="1447" spans="1:4" x14ac:dyDescent="0.2">
      <c r="A1447" s="5">
        <v>1386</v>
      </c>
      <c r="B1447" s="1832">
        <f>'Expenditures 15-22'!D280</f>
        <v>123</v>
      </c>
      <c r="D1447" s="2" t="str">
        <f t="shared" si="21"/>
        <v>Error?</v>
      </c>
    </row>
    <row r="1448" spans="1:4" x14ac:dyDescent="0.2">
      <c r="A1448" s="5">
        <v>1387</v>
      </c>
      <c r="B1448" s="1832">
        <f>'Expenditures 15-22'!D295</f>
        <v>329346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7822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128634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1274</v>
      </c>
      <c r="C1476" s="2" t="s">
        <v>569</v>
      </c>
      <c r="D1476" s="2" t="str">
        <f t="shared" si="22"/>
        <v>Error?</v>
      </c>
    </row>
    <row r="1477" spans="1:4" x14ac:dyDescent="0.2">
      <c r="A1477" s="5">
        <v>1416</v>
      </c>
      <c r="B1477" s="1832">
        <f>'Expenditures 15-22'!K234</f>
        <v>4326</v>
      </c>
      <c r="C1477" s="2" t="s">
        <v>569</v>
      </c>
      <c r="D1477" s="2" t="str">
        <f t="shared" si="22"/>
        <v>Error?</v>
      </c>
    </row>
    <row r="1478" spans="1:4" x14ac:dyDescent="0.2">
      <c r="A1478" s="5">
        <v>1417</v>
      </c>
      <c r="B1478" s="1832">
        <f>'Expenditures 15-22'!K235</f>
        <v>1066</v>
      </c>
      <c r="C1478" s="2" t="s">
        <v>569</v>
      </c>
      <c r="D1478" s="2" t="str">
        <f t="shared" si="22"/>
        <v>Error?</v>
      </c>
    </row>
    <row r="1479" spans="1:4" x14ac:dyDescent="0.2">
      <c r="A1479" s="5">
        <v>1418</v>
      </c>
      <c r="B1479" s="1832">
        <f>'Expenditures 15-22'!K236</f>
        <v>2305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8971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648</v>
      </c>
      <c r="C1486" s="2" t="s">
        <v>569</v>
      </c>
      <c r="D1486" s="2" t="str">
        <f t="shared" si="22"/>
        <v>Error?</v>
      </c>
    </row>
    <row r="1487" spans="1:4" x14ac:dyDescent="0.2">
      <c r="A1487" s="5">
        <v>1426</v>
      </c>
      <c r="B1487" s="1832">
        <f>'Expenditures 15-22'!K246</f>
        <v>12847</v>
      </c>
      <c r="C1487" s="2" t="s">
        <v>569</v>
      </c>
      <c r="D1487" s="2" t="str">
        <f t="shared" si="22"/>
        <v>Error?</v>
      </c>
    </row>
    <row r="1488" spans="1:4" x14ac:dyDescent="0.2">
      <c r="A1488" s="5">
        <v>1427</v>
      </c>
      <c r="B1488" s="1832">
        <f>'Expenditures 15-22'!K257</f>
        <v>13495</v>
      </c>
      <c r="C1488" s="2" t="s">
        <v>569</v>
      </c>
      <c r="D1488" s="2" t="str">
        <f t="shared" si="22"/>
        <v>Error?</v>
      </c>
    </row>
    <row r="1489" spans="1:4" x14ac:dyDescent="0.2">
      <c r="A1489" s="5">
        <v>1428</v>
      </c>
      <c r="B1489" s="1832">
        <f>'Expenditures 15-22'!K259</f>
        <v>31255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31255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13841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47854</v>
      </c>
      <c r="C1495" s="2" t="s">
        <v>569</v>
      </c>
      <c r="D1495" s="2" t="str">
        <f t="shared" si="22"/>
        <v>Error?</v>
      </c>
    </row>
    <row r="1496" spans="1:4" x14ac:dyDescent="0.2">
      <c r="A1496" s="5">
        <v>1435</v>
      </c>
      <c r="B1496" s="1832">
        <f>'Expenditures 15-22'!K267</f>
        <v>68785</v>
      </c>
      <c r="C1496" s="2" t="s">
        <v>569</v>
      </c>
      <c r="D1496" s="2" t="str">
        <f t="shared" si="22"/>
        <v>Error?</v>
      </c>
    </row>
    <row r="1497" spans="1:4" x14ac:dyDescent="0.2">
      <c r="A1497" s="5">
        <v>1436</v>
      </c>
      <c r="B1497" s="1832">
        <f>'Expenditures 15-22'!K268</f>
        <v>1920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132400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14468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14468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200589</v>
      </c>
      <c r="C1510" s="2" t="s">
        <v>569</v>
      </c>
      <c r="D1510" s="2" t="str">
        <f t="shared" si="22"/>
        <v>Error?</v>
      </c>
    </row>
    <row r="1511" spans="1:4" x14ac:dyDescent="0.2">
      <c r="A1511" s="5">
        <v>1450</v>
      </c>
      <c r="B1511" s="1832">
        <f>'Expenditures 15-22'!K280</f>
        <v>123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329346</v>
      </c>
      <c r="C1517" s="2" t="s">
        <v>569</v>
      </c>
      <c r="D1517" s="2" t="str">
        <f t="shared" si="22"/>
        <v>Error?</v>
      </c>
    </row>
    <row r="1518" spans="1:4" x14ac:dyDescent="0.2">
      <c r="A1518" s="5">
        <v>1457</v>
      </c>
      <c r="B1518" s="1832">
        <f>'Expenditures 15-22'!K296</f>
        <v>92660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1068170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1068170</v>
      </c>
      <c r="C1547" s="2" t="s">
        <v>569</v>
      </c>
      <c r="D1547" s="2" t="str">
        <f t="shared" si="23"/>
        <v>Error?</v>
      </c>
    </row>
    <row r="1548" spans="1:4" x14ac:dyDescent="0.2">
      <c r="A1548" s="5">
        <v>1487</v>
      </c>
      <c r="B1548" s="1832">
        <f>'Expenditures 15-22'!G312</f>
        <v>1068170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1068170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1068170</v>
      </c>
      <c r="C1559" s="2" t="s">
        <v>569</v>
      </c>
      <c r="D1559" s="2" t="str">
        <f t="shared" si="23"/>
        <v>Error?</v>
      </c>
    </row>
    <row r="1560" spans="1:4" x14ac:dyDescent="0.2">
      <c r="A1560" s="5">
        <v>1499</v>
      </c>
      <c r="B1560" s="1832">
        <f>'Expenditures 15-22'!K312</f>
        <v>1068170</v>
      </c>
      <c r="C1560" s="2" t="s">
        <v>569</v>
      </c>
      <c r="D1560" s="2" t="str">
        <f t="shared" si="23"/>
        <v>Error?</v>
      </c>
    </row>
    <row r="1561" spans="1:4" x14ac:dyDescent="0.2">
      <c r="A1561" s="5">
        <v>1500</v>
      </c>
      <c r="B1561" s="1832">
        <f>'Expenditures 15-22'!K313</f>
        <v>-557793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2821524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3260217</v>
      </c>
      <c r="C1630" s="2" t="s">
        <v>569</v>
      </c>
      <c r="D1630" s="2" t="str">
        <f t="shared" si="24"/>
        <v>Error?</v>
      </c>
    </row>
    <row r="1631" spans="1:4" x14ac:dyDescent="0.2">
      <c r="A1631" s="5">
        <v>1570</v>
      </c>
      <c r="B1631" s="1832">
        <f>'Acct Summary 7-8'!D79</f>
        <v>845260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949564</v>
      </c>
      <c r="C1644" s="2" t="s">
        <v>569</v>
      </c>
      <c r="D1644" s="2" t="str">
        <f t="shared" si="24"/>
        <v>Error?</v>
      </c>
    </row>
    <row r="1645" spans="1:4" x14ac:dyDescent="0.2">
      <c r="A1645" s="5">
        <v>1584</v>
      </c>
      <c r="B1645" s="1832">
        <f>'Acct Summary 7-8'!E79</f>
        <v>468655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549350</v>
      </c>
      <c r="C1658" s="2" t="s">
        <v>569</v>
      </c>
      <c r="D1658" s="2" t="str">
        <f t="shared" si="24"/>
        <v>Error?</v>
      </c>
    </row>
    <row r="1659" spans="1:4" x14ac:dyDescent="0.2">
      <c r="A1659" s="5">
        <v>1598</v>
      </c>
      <c r="B1659" s="1832">
        <f>'Acct Summary 7-8'!F79</f>
        <v>315771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264673</v>
      </c>
      <c r="C1672" s="2" t="s">
        <v>569</v>
      </c>
      <c r="D1672" s="2" t="str">
        <f t="shared" si="25"/>
        <v>Error?</v>
      </c>
    </row>
    <row r="1673" spans="1:4" x14ac:dyDescent="0.2">
      <c r="A1673" s="5">
        <v>1612</v>
      </c>
      <c r="B1673" s="1832">
        <f>'Acct Summary 7-8'!G79</f>
        <v>538397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631057</v>
      </c>
      <c r="C1686" s="2" t="s">
        <v>569</v>
      </c>
      <c r="D1686" s="2" t="str">
        <f t="shared" si="25"/>
        <v>Error?</v>
      </c>
    </row>
    <row r="1687" spans="1:4" x14ac:dyDescent="0.2">
      <c r="A1687" s="5">
        <v>1626</v>
      </c>
      <c r="B1687" s="1832">
        <f>'Acct Summary 7-8'!H79</f>
        <v>1011767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453974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2826239</v>
      </c>
      <c r="C1744" s="2" t="s">
        <v>569</v>
      </c>
      <c r="D1744" s="2" t="str">
        <f t="shared" si="26"/>
        <v>Error?</v>
      </c>
    </row>
    <row r="1745" spans="1:5" x14ac:dyDescent="0.2">
      <c r="A1745" s="5">
        <v>1684</v>
      </c>
      <c r="B1745" s="1832">
        <f>'Tax Sched 23'!B5</f>
        <v>614399</v>
      </c>
      <c r="C1745" s="2" t="s">
        <v>569</v>
      </c>
      <c r="D1745" s="2" t="str">
        <f t="shared" si="26"/>
        <v>Error?</v>
      </c>
    </row>
    <row r="1746" spans="1:5" x14ac:dyDescent="0.2">
      <c r="A1746" s="5">
        <v>1685</v>
      </c>
      <c r="B1746" s="1832">
        <f>'Tax Sched 23'!B6</f>
        <v>513955</v>
      </c>
      <c r="C1746" s="2" t="s">
        <v>569</v>
      </c>
      <c r="D1746" s="2" t="str">
        <f t="shared" si="26"/>
        <v>Error?</v>
      </c>
    </row>
    <row r="1747" spans="1:5" x14ac:dyDescent="0.2">
      <c r="A1747" s="5">
        <v>1686</v>
      </c>
      <c r="B1747" s="1832">
        <f>'Tax Sched 23'!B7</f>
        <v>245760</v>
      </c>
      <c r="C1747" s="2" t="s">
        <v>569</v>
      </c>
      <c r="D1747" s="2" t="str">
        <f t="shared" si="26"/>
        <v>Error?</v>
      </c>
    </row>
    <row r="1748" spans="1:5" x14ac:dyDescent="0.2">
      <c r="A1748" s="5">
        <v>1687</v>
      </c>
      <c r="B1748" s="1832">
        <f>'Tax Sched 23'!B8</f>
        <v>189795</v>
      </c>
      <c r="C1748" s="2" t="s">
        <v>569</v>
      </c>
      <c r="D1748" s="2" t="str">
        <f t="shared" si="26"/>
        <v>Error?</v>
      </c>
    </row>
    <row r="1749" spans="1:5" x14ac:dyDescent="0.2">
      <c r="A1749" s="5">
        <v>1688</v>
      </c>
      <c r="B1749" s="1832">
        <f>'Tax Sched 23'!B10</f>
        <v>61439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740609</v>
      </c>
      <c r="C1752" s="2" t="s">
        <v>569</v>
      </c>
      <c r="D1752" s="2" t="str">
        <f t="shared" si="26"/>
        <v>Error?</v>
      </c>
    </row>
    <row r="1753" spans="1:5" x14ac:dyDescent="0.2">
      <c r="A1753" s="5">
        <v>1692</v>
      </c>
      <c r="B1753" s="1832">
        <f>'Tax Sched 23'!B12</f>
        <v>61439</v>
      </c>
      <c r="C1753" s="2" t="s">
        <v>569</v>
      </c>
      <c r="D1753" s="2" t="str">
        <f t="shared" si="26"/>
        <v>Error?</v>
      </c>
    </row>
    <row r="1754" spans="1:5" x14ac:dyDescent="0.2">
      <c r="A1754" s="5">
        <v>1693</v>
      </c>
      <c r="B1754" s="1832">
        <f>'Tax Sched 23'!B14</f>
        <v>49152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5577149</v>
      </c>
      <c r="C1759" s="2" t="s">
        <v>569</v>
      </c>
      <c r="D1759" s="2" t="str">
        <f t="shared" si="26"/>
        <v>Error?</v>
      </c>
    </row>
    <row r="1760" spans="1:5" x14ac:dyDescent="0.2">
      <c r="A1760" s="5">
        <v>1699</v>
      </c>
      <c r="B1760" s="1832">
        <f>'Tax Sched 23'!D4</f>
        <v>2504540</v>
      </c>
      <c r="C1760" s="2" t="s">
        <v>569</v>
      </c>
      <c r="D1760" s="2" t="str">
        <f t="shared" si="26"/>
        <v>Error?</v>
      </c>
    </row>
    <row r="1761" spans="1:7" x14ac:dyDescent="0.2">
      <c r="A1761" s="5">
        <v>1700</v>
      </c>
      <c r="B1761" s="1832">
        <f>'Tax Sched 23'!D5</f>
        <v>544464</v>
      </c>
      <c r="C1761" s="2" t="s">
        <v>569</v>
      </c>
      <c r="D1761" s="2" t="str">
        <f t="shared" si="26"/>
        <v>Error?</v>
      </c>
    </row>
    <row r="1762" spans="1:7" s="8" customFormat="1" x14ac:dyDescent="0.2">
      <c r="A1762" s="5">
        <v>1701</v>
      </c>
      <c r="B1762" s="1832">
        <f>'Tax Sched 23'!D6</f>
        <v>459338</v>
      </c>
      <c r="C1762" s="2" t="s">
        <v>569</v>
      </c>
      <c r="D1762" s="2" t="str">
        <f t="shared" si="26"/>
        <v>Error?</v>
      </c>
      <c r="E1762" s="9"/>
      <c r="G1762"/>
    </row>
    <row r="1763" spans="1:7" x14ac:dyDescent="0.2">
      <c r="A1763" s="5">
        <v>1702</v>
      </c>
      <c r="B1763" s="1832">
        <f>'Tax Sched 23'!D7</f>
        <v>217786</v>
      </c>
      <c r="C1763" s="2" t="s">
        <v>569</v>
      </c>
      <c r="D1763" s="2" t="str">
        <f t="shared" si="26"/>
        <v>Error?</v>
      </c>
    </row>
    <row r="1764" spans="1:7" x14ac:dyDescent="0.2">
      <c r="A1764" s="5">
        <v>1703</v>
      </c>
      <c r="B1764" s="1832">
        <f>'Tax Sched 23'!D8</f>
        <v>169338</v>
      </c>
      <c r="C1764" s="2" t="s">
        <v>569</v>
      </c>
      <c r="D1764" s="2" t="str">
        <f t="shared" si="26"/>
        <v>Error?</v>
      </c>
    </row>
    <row r="1765" spans="1:7" x14ac:dyDescent="0.2">
      <c r="A1765" s="5">
        <v>1704</v>
      </c>
      <c r="B1765" s="1832">
        <f>'Tax Sched 23'!D10</f>
        <v>54446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660777</v>
      </c>
      <c r="C1768" s="2" t="s">
        <v>569</v>
      </c>
      <c r="D1768" s="2" t="str">
        <f t="shared" si="26"/>
        <v>Error?</v>
      </c>
    </row>
    <row r="1769" spans="1:7" x14ac:dyDescent="0.2">
      <c r="A1769" s="5">
        <v>1708</v>
      </c>
      <c r="B1769" s="1832">
        <f>'Tax Sched 23'!D12</f>
        <v>54446</v>
      </c>
      <c r="C1769" s="2" t="s">
        <v>569</v>
      </c>
      <c r="D1769" s="2" t="str">
        <f t="shared" si="26"/>
        <v>Error?</v>
      </c>
    </row>
    <row r="1770" spans="1:7" x14ac:dyDescent="0.2">
      <c r="A1770" s="5">
        <v>1709</v>
      </c>
      <c r="B1770" s="1832">
        <f>'Tax Sched 23'!D14</f>
        <v>43557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4953108</v>
      </c>
      <c r="C1775" s="2" t="s">
        <v>569</v>
      </c>
      <c r="D1775" s="2" t="str">
        <f t="shared" si="26"/>
        <v>Error?</v>
      </c>
    </row>
    <row r="1776" spans="1:7" x14ac:dyDescent="0.2">
      <c r="A1776" s="5">
        <v>1715</v>
      </c>
      <c r="B1776" s="1832">
        <f>'Tax Sched 23'!C4</f>
        <v>321699</v>
      </c>
      <c r="D1776" s="2" t="str">
        <f t="shared" si="26"/>
        <v>Error?</v>
      </c>
    </row>
    <row r="1777" spans="1:4" x14ac:dyDescent="0.2">
      <c r="A1777" s="5">
        <v>1716</v>
      </c>
      <c r="B1777" s="1832">
        <f>'Tax Sched 23'!C5</f>
        <v>69935</v>
      </c>
      <c r="D1777" s="2" t="str">
        <f t="shared" si="26"/>
        <v>Error?</v>
      </c>
    </row>
    <row r="1778" spans="1:4" x14ac:dyDescent="0.2">
      <c r="A1778" s="5">
        <v>1717</v>
      </c>
      <c r="B1778" s="1832">
        <f>'Tax Sched 23'!C6</f>
        <v>54617</v>
      </c>
      <c r="D1778" s="2" t="str">
        <f t="shared" si="26"/>
        <v>Error?</v>
      </c>
    </row>
    <row r="1779" spans="1:4" x14ac:dyDescent="0.2">
      <c r="A1779" s="5">
        <v>1718</v>
      </c>
      <c r="B1779" s="1832">
        <f>'Tax Sched 23'!C7</f>
        <v>27974</v>
      </c>
      <c r="D1779" s="2" t="str">
        <f t="shared" si="26"/>
        <v>Error?</v>
      </c>
    </row>
    <row r="1780" spans="1:4" x14ac:dyDescent="0.2">
      <c r="A1780" s="5">
        <v>1719</v>
      </c>
      <c r="B1780" s="1832">
        <f>'Tax Sched 23'!C8</f>
        <v>20457</v>
      </c>
      <c r="D1780" s="2" t="str">
        <f t="shared" si="26"/>
        <v>Error?</v>
      </c>
    </row>
    <row r="1781" spans="1:4" x14ac:dyDescent="0.2">
      <c r="A1781" s="5">
        <v>1720</v>
      </c>
      <c r="B1781" s="1832">
        <f>'Tax Sched 23'!C10</f>
        <v>6993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79832</v>
      </c>
      <c r="D1784" s="2" t="str">
        <f t="shared" si="26"/>
        <v>Error?</v>
      </c>
    </row>
    <row r="1785" spans="1:4" x14ac:dyDescent="0.2">
      <c r="A1785" s="5">
        <v>1724</v>
      </c>
      <c r="B1785" s="1832">
        <f>'Tax Sched 23'!C12</f>
        <v>6993</v>
      </c>
      <c r="D1785" s="2" t="str">
        <f t="shared" si="26"/>
        <v>Error?</v>
      </c>
    </row>
    <row r="1786" spans="1:4" x14ac:dyDescent="0.2">
      <c r="A1786" s="5">
        <v>1725</v>
      </c>
      <c r="B1786" s="1832">
        <f>'Tax Sched 23'!C14</f>
        <v>5595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624041</v>
      </c>
      <c r="C1791" s="2" t="s">
        <v>569</v>
      </c>
      <c r="D1791" s="2" t="str">
        <f t="shared" ref="D1791:D1854" si="27">IF(ISBLANK(B1791),"OK",IF(A1791-B1791=0,"OK","Error?"))</f>
        <v>Error?</v>
      </c>
    </row>
    <row r="1792" spans="1:4" x14ac:dyDescent="0.2">
      <c r="A1792" s="5">
        <v>1731</v>
      </c>
      <c r="B1792" s="1832">
        <f>'Tax Sched 23'!F4</f>
        <v>2902088</v>
      </c>
      <c r="C1792" s="2" t="s">
        <v>569</v>
      </c>
      <c r="D1792" s="2" t="str">
        <f t="shared" si="27"/>
        <v>Error?</v>
      </c>
    </row>
    <row r="1793" spans="1:4" x14ac:dyDescent="0.2">
      <c r="A1793" s="5">
        <v>1732</v>
      </c>
      <c r="B1793" s="1832">
        <f>'Tax Sched 23'!F5</f>
        <v>630888</v>
      </c>
      <c r="C1793" s="2" t="s">
        <v>569</v>
      </c>
      <c r="D1793" s="2" t="str">
        <f t="shared" si="27"/>
        <v>Error?</v>
      </c>
    </row>
    <row r="1794" spans="1:4" x14ac:dyDescent="0.2">
      <c r="A1794" s="5">
        <v>1733</v>
      </c>
      <c r="B1794" s="1832">
        <f>'Tax Sched 23'!F6</f>
        <v>492712</v>
      </c>
      <c r="C1794" s="2" t="s">
        <v>569</v>
      </c>
      <c r="D1794" s="2" t="str">
        <f t="shared" si="27"/>
        <v>Error?</v>
      </c>
    </row>
    <row r="1795" spans="1:4" x14ac:dyDescent="0.2">
      <c r="A1795" s="5">
        <v>1734</v>
      </c>
      <c r="B1795" s="1832">
        <f>'Tax Sched 23'!F7</f>
        <v>252355</v>
      </c>
      <c r="C1795" s="2" t="s">
        <v>569</v>
      </c>
      <c r="D1795" s="2" t="str">
        <f t="shared" si="27"/>
        <v>Error?</v>
      </c>
    </row>
    <row r="1796" spans="1:4" x14ac:dyDescent="0.2">
      <c r="A1796" s="5">
        <v>1735</v>
      </c>
      <c r="B1796" s="1832">
        <f>'Tax Sched 23'!F8</f>
        <v>184544</v>
      </c>
      <c r="C1796" s="2" t="s">
        <v>569</v>
      </c>
      <c r="D1796" s="2" t="str">
        <f t="shared" si="27"/>
        <v>Error?</v>
      </c>
    </row>
    <row r="1797" spans="1:4" x14ac:dyDescent="0.2">
      <c r="A1797" s="5">
        <v>1736</v>
      </c>
      <c r="B1797" s="1832">
        <f>'Tax Sched 23'!F10</f>
        <v>63089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720172</v>
      </c>
      <c r="C1800" s="2" t="s">
        <v>569</v>
      </c>
      <c r="D1800" s="2" t="str">
        <f t="shared" si="27"/>
        <v>Error?</v>
      </c>
    </row>
    <row r="1801" spans="1:4" x14ac:dyDescent="0.2">
      <c r="A1801" s="5">
        <v>1740</v>
      </c>
      <c r="B1801" s="1832">
        <f>'Tax Sched 23'!F12</f>
        <v>63089</v>
      </c>
      <c r="C1801" s="2" t="s">
        <v>569</v>
      </c>
      <c r="D1801" s="2" t="str">
        <f t="shared" si="27"/>
        <v>Error?</v>
      </c>
    </row>
    <row r="1802" spans="1:4" x14ac:dyDescent="0.2">
      <c r="A1802" s="5">
        <v>1741</v>
      </c>
      <c r="B1802" s="1832">
        <f>'Tax Sched 23'!F14</f>
        <v>50471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5629554</v>
      </c>
      <c r="C1807" s="2" t="s">
        <v>569</v>
      </c>
      <c r="D1807" s="2" t="str">
        <f t="shared" si="27"/>
        <v>Error?</v>
      </c>
    </row>
    <row r="1808" spans="1:4" x14ac:dyDescent="0.2">
      <c r="A1808" s="5">
        <v>1747</v>
      </c>
      <c r="B1808" s="1832">
        <f>'Tax Sched 23'!E4</f>
        <v>3223787</v>
      </c>
      <c r="D1808" s="2" t="str">
        <f t="shared" si="27"/>
        <v>Error?</v>
      </c>
    </row>
    <row r="1809" spans="1:4" x14ac:dyDescent="0.2">
      <c r="A1809" s="5">
        <v>1748</v>
      </c>
      <c r="B1809" s="1832">
        <f>'Tax Sched 23'!E5</f>
        <v>700823</v>
      </c>
      <c r="D1809" s="2" t="str">
        <f t="shared" si="27"/>
        <v>Error?</v>
      </c>
    </row>
    <row r="1810" spans="1:4" x14ac:dyDescent="0.2">
      <c r="A1810" s="5">
        <v>1749</v>
      </c>
      <c r="B1810" s="1832">
        <f>'Tax Sched 23'!E6</f>
        <v>547329</v>
      </c>
      <c r="D1810" s="2" t="str">
        <f t="shared" si="27"/>
        <v>Error?</v>
      </c>
    </row>
    <row r="1811" spans="1:4" x14ac:dyDescent="0.2">
      <c r="A1811" s="5">
        <v>1750</v>
      </c>
      <c r="B1811" s="1832">
        <f>'Tax Sched 23'!E7</f>
        <v>280329</v>
      </c>
      <c r="D1811" s="2" t="str">
        <f t="shared" si="27"/>
        <v>Error?</v>
      </c>
    </row>
    <row r="1812" spans="1:4" x14ac:dyDescent="0.2">
      <c r="A1812" s="5">
        <v>1751</v>
      </c>
      <c r="B1812" s="1832">
        <f>'Tax Sched 23'!E8</f>
        <v>205001</v>
      </c>
      <c r="D1812" s="2" t="str">
        <f t="shared" si="27"/>
        <v>Error?</v>
      </c>
    </row>
    <row r="1813" spans="1:4" x14ac:dyDescent="0.2">
      <c r="A1813" s="5">
        <v>1752</v>
      </c>
      <c r="B1813" s="1832">
        <f>'Tax Sched 23'!E10</f>
        <v>70082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800004</v>
      </c>
      <c r="D1816" s="2" t="str">
        <f t="shared" si="27"/>
        <v>Error?</v>
      </c>
    </row>
    <row r="1817" spans="1:4" x14ac:dyDescent="0.2">
      <c r="A1817" s="5">
        <v>1756</v>
      </c>
      <c r="B1817" s="1832">
        <f>'Tax Sched 23'!E12</f>
        <v>70082</v>
      </c>
      <c r="D1817" s="2" t="str">
        <f t="shared" si="27"/>
        <v>Error?</v>
      </c>
    </row>
    <row r="1818" spans="1:4" x14ac:dyDescent="0.2">
      <c r="A1818" s="5">
        <v>1757</v>
      </c>
      <c r="B1818" s="1832">
        <f>'Tax Sched 23'!E14</f>
        <v>56066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6253595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2284837</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49152</v>
      </c>
      <c r="D1972" s="2" t="str">
        <f t="shared" si="29"/>
        <v>Error?</v>
      </c>
    </row>
    <row r="1973" spans="1:5" x14ac:dyDescent="0.2">
      <c r="A1973" s="5">
        <v>1912</v>
      </c>
      <c r="B1973" s="1832">
        <f>'Rest Tax Levies-Tort Im 25'!H6</f>
        <v>16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49168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49168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198621</v>
      </c>
      <c r="D2008" s="2" t="str">
        <f t="shared" si="30"/>
        <v>Error?</v>
      </c>
    </row>
    <row r="2009" spans="1:4" x14ac:dyDescent="0.2">
      <c r="A2009" s="5">
        <v>1948</v>
      </c>
      <c r="B2009" s="1832">
        <f>'Cap Outlay Deprec 26'!C8</f>
        <v>11759548</v>
      </c>
      <c r="D2009" s="2" t="str">
        <f t="shared" si="30"/>
        <v>Error?</v>
      </c>
    </row>
    <row r="2010" spans="1:4" x14ac:dyDescent="0.2">
      <c r="A2010" s="5">
        <v>1949</v>
      </c>
      <c r="B2010" s="1832">
        <f>'Cap Outlay Deprec 26'!C10</f>
        <v>2277369</v>
      </c>
      <c r="D2010" s="2" t="str">
        <f t="shared" si="30"/>
        <v>Error?</v>
      </c>
    </row>
    <row r="2011" spans="1:4" x14ac:dyDescent="0.2">
      <c r="A2011" s="5">
        <v>1950</v>
      </c>
      <c r="B2011" s="1832">
        <f>'Cap Outlay Deprec 26'!C12</f>
        <v>441755</v>
      </c>
      <c r="D2011" s="2" t="str">
        <f t="shared" si="30"/>
        <v>Error?</v>
      </c>
    </row>
    <row r="2012" spans="1:4" x14ac:dyDescent="0.2">
      <c r="A2012" s="5">
        <v>1951</v>
      </c>
      <c r="B2012" s="1832">
        <f>'Cap Outlay Deprec 26'!C13</f>
        <v>64471</v>
      </c>
      <c r="D2012" s="2" t="str">
        <f t="shared" si="30"/>
        <v>Error?</v>
      </c>
    </row>
    <row r="2013" spans="1:4" x14ac:dyDescent="0.2">
      <c r="A2013" s="5">
        <v>1952</v>
      </c>
      <c r="B2013" s="1832">
        <f>'Cap Outlay Deprec 26'!C16</f>
        <v>15103204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1412054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281351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1693405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10872</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372312</v>
      </c>
      <c r="C2025" s="2" t="s">
        <v>569</v>
      </c>
      <c r="D2025" s="2" t="str">
        <f t="shared" si="30"/>
        <v>Error?</v>
      </c>
    </row>
    <row r="2026" spans="1:4" x14ac:dyDescent="0.2">
      <c r="A2026" s="5">
        <v>1965</v>
      </c>
      <c r="B2026" s="1832">
        <f>'Cap Outlay Deprec 26'!F5</f>
        <v>198621</v>
      </c>
      <c r="C2026" s="2" t="s">
        <v>569</v>
      </c>
      <c r="D2026" s="2" t="str">
        <f t="shared" si="30"/>
        <v>Error?</v>
      </c>
    </row>
    <row r="2027" spans="1:4" x14ac:dyDescent="0.2">
      <c r="A2027" s="5">
        <v>1966</v>
      </c>
      <c r="B2027" s="1832">
        <f>'Cap Outlay Deprec 26'!F8</f>
        <v>13171602</v>
      </c>
      <c r="C2027" s="2" t="s">
        <v>569</v>
      </c>
      <c r="D2027" s="2" t="str">
        <f t="shared" si="30"/>
        <v>Error?</v>
      </c>
    </row>
    <row r="2028" spans="1:4" x14ac:dyDescent="0.2">
      <c r="A2028" s="5">
        <v>1967</v>
      </c>
      <c r="B2028" s="1832">
        <f>'Cap Outlay Deprec 26'!F10</f>
        <v>2277369</v>
      </c>
      <c r="C2028" s="2" t="s">
        <v>569</v>
      </c>
      <c r="D2028" s="2" t="str">
        <f t="shared" si="30"/>
        <v>Error?</v>
      </c>
    </row>
    <row r="2029" spans="1:4" x14ac:dyDescent="0.2">
      <c r="A2029" s="5">
        <v>1968</v>
      </c>
      <c r="B2029" s="1832">
        <f>'Cap Outlay Deprec 26'!F12</f>
        <v>712234</v>
      </c>
      <c r="C2029" s="2" t="s">
        <v>569</v>
      </c>
      <c r="D2029" s="2" t="str">
        <f t="shared" si="30"/>
        <v>Error?</v>
      </c>
    </row>
    <row r="2030" spans="1:4" x14ac:dyDescent="0.2">
      <c r="A2030" s="5">
        <v>1969</v>
      </c>
      <c r="B2030" s="1832">
        <f>'Cap Outlay Deprec 26'!F13</f>
        <v>64471</v>
      </c>
      <c r="C2030" s="2" t="s">
        <v>569</v>
      </c>
      <c r="D2030" s="2" t="str">
        <f t="shared" si="30"/>
        <v>Error?</v>
      </c>
    </row>
    <row r="2031" spans="1:4" x14ac:dyDescent="0.2">
      <c r="A2031" s="5">
        <v>1970</v>
      </c>
      <c r="B2031" s="1832">
        <f>'Cap Outlay Deprec 26'!F16</f>
        <v>16424297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5761335</v>
      </c>
      <c r="D2033" s="2" t="str">
        <f t="shared" si="30"/>
        <v>Error?</v>
      </c>
    </row>
    <row r="2034" spans="1:4" x14ac:dyDescent="0.2">
      <c r="A2034" s="5">
        <v>1973</v>
      </c>
      <c r="B2034" s="1832">
        <f>'Cap Outlay Deprec 26'!H10</f>
        <v>1037224</v>
      </c>
      <c r="D2034" s="2" t="str">
        <f t="shared" si="30"/>
        <v>Error?</v>
      </c>
    </row>
    <row r="2035" spans="1:4" x14ac:dyDescent="0.2">
      <c r="A2035" s="5">
        <v>1974</v>
      </c>
      <c r="B2035" s="1832">
        <f>'Cap Outlay Deprec 26'!H12</f>
        <v>120701</v>
      </c>
      <c r="D2035" s="2" t="str">
        <f t="shared" si="30"/>
        <v>Error?</v>
      </c>
    </row>
    <row r="2036" spans="1:4" x14ac:dyDescent="0.2">
      <c r="A2036" s="5">
        <v>1975</v>
      </c>
      <c r="B2036" s="1832">
        <f>'Cap Outlay Deprec 26'!H13</f>
        <v>56911</v>
      </c>
      <c r="D2036" s="2" t="str">
        <f t="shared" si="30"/>
        <v>Error?</v>
      </c>
    </row>
    <row r="2037" spans="1:4" x14ac:dyDescent="0.2">
      <c r="A2037" s="5">
        <v>1976</v>
      </c>
      <c r="B2037" s="1832">
        <f>'Cap Outlay Deprec 26'!H16</f>
        <v>6976171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222710</v>
      </c>
      <c r="D2039" s="2" t="str">
        <f t="shared" si="30"/>
        <v>Error?</v>
      </c>
    </row>
    <row r="2040" spans="1:4" x14ac:dyDescent="0.2">
      <c r="A2040" s="5">
        <v>1979</v>
      </c>
      <c r="B2040" s="1832">
        <f>'Cap Outlay Deprec 26'!I10</f>
        <v>101606</v>
      </c>
      <c r="D2040" s="2" t="str">
        <f t="shared" si="30"/>
        <v>Error?</v>
      </c>
    </row>
    <row r="2041" spans="1:4" x14ac:dyDescent="0.2">
      <c r="A2041" s="5">
        <v>1980</v>
      </c>
      <c r="B2041" s="1832">
        <f>'Cap Outlay Deprec 26'!I12</f>
        <v>74906</v>
      </c>
      <c r="D2041" s="2" t="str">
        <f t="shared" si="30"/>
        <v>Error?</v>
      </c>
    </row>
    <row r="2042" spans="1:4" x14ac:dyDescent="0.2">
      <c r="A2042" s="5">
        <v>1981</v>
      </c>
      <c r="B2042" s="1832">
        <f>'Cap Outlay Deprec 26'!I13</f>
        <v>3780</v>
      </c>
      <c r="D2042" s="2" t="str">
        <f t="shared" si="30"/>
        <v>Error?</v>
      </c>
    </row>
    <row r="2043" spans="1:4" x14ac:dyDescent="0.2">
      <c r="A2043" s="5">
        <v>1982</v>
      </c>
      <c r="B2043" s="1832">
        <f>'Cap Outlay Deprec 26'!I16</f>
        <v>403002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10872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10872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5984045</v>
      </c>
      <c r="C2051" s="2" t="s">
        <v>569</v>
      </c>
      <c r="D2051" s="2" t="str">
        <f t="shared" si="31"/>
        <v>Error?</v>
      </c>
    </row>
    <row r="2052" spans="1:4" x14ac:dyDescent="0.2">
      <c r="A2052" s="5">
        <v>1991</v>
      </c>
      <c r="B2052" s="1832">
        <f>'Cap Outlay Deprec 26'!K10</f>
        <v>1138830</v>
      </c>
      <c r="C2052" s="2" t="s">
        <v>569</v>
      </c>
      <c r="D2052" s="2" t="str">
        <f t="shared" si="31"/>
        <v>Error?</v>
      </c>
    </row>
    <row r="2053" spans="1:4" x14ac:dyDescent="0.2">
      <c r="A2053" s="5">
        <v>1992</v>
      </c>
      <c r="B2053" s="1832">
        <f>'Cap Outlay Deprec 26'!K12</f>
        <v>184735</v>
      </c>
      <c r="C2053" s="2" t="s">
        <v>569</v>
      </c>
      <c r="D2053" s="2" t="str">
        <f t="shared" si="31"/>
        <v>Error?</v>
      </c>
    </row>
    <row r="2054" spans="1:4" x14ac:dyDescent="0.2">
      <c r="A2054" s="5">
        <v>1993</v>
      </c>
      <c r="B2054" s="1832">
        <f>'Cap Outlay Deprec 26'!K13</f>
        <v>60691</v>
      </c>
      <c r="C2054" s="2" t="s">
        <v>569</v>
      </c>
      <c r="D2054" s="2" t="str">
        <f t="shared" si="31"/>
        <v>Error?</v>
      </c>
    </row>
    <row r="2055" spans="1:4" x14ac:dyDescent="0.2">
      <c r="A2055" s="5">
        <v>1994</v>
      </c>
      <c r="B2055" s="1832">
        <f>'Cap Outlay Deprec 26'!K16</f>
        <v>7368301</v>
      </c>
      <c r="C2055" s="2" t="s">
        <v>569</v>
      </c>
      <c r="D2055" s="2" t="str">
        <f t="shared" si="31"/>
        <v>Error?</v>
      </c>
    </row>
    <row r="2056" spans="1:4" x14ac:dyDescent="0.2">
      <c r="A2056" s="5">
        <v>1995</v>
      </c>
      <c r="B2056" s="1832">
        <f>'Cap Outlay Deprec 26'!L5</f>
        <v>198621</v>
      </c>
      <c r="C2056" s="2" t="s">
        <v>569</v>
      </c>
      <c r="D2056" s="2" t="str">
        <f t="shared" si="31"/>
        <v>Error?</v>
      </c>
    </row>
    <row r="2057" spans="1:4" x14ac:dyDescent="0.2">
      <c r="A2057" s="5">
        <v>1996</v>
      </c>
      <c r="B2057" s="1832">
        <f>'Cap Outlay Deprec 26'!L8</f>
        <v>7187557</v>
      </c>
      <c r="C2057" s="2" t="s">
        <v>569</v>
      </c>
      <c r="D2057" s="2" t="str">
        <f t="shared" si="31"/>
        <v>Error?</v>
      </c>
    </row>
    <row r="2058" spans="1:4" x14ac:dyDescent="0.2">
      <c r="A2058" s="5">
        <v>1997</v>
      </c>
      <c r="B2058" s="1832">
        <f>'Cap Outlay Deprec 26'!L10</f>
        <v>1138539</v>
      </c>
      <c r="C2058" s="2" t="s">
        <v>569</v>
      </c>
      <c r="D2058" s="2" t="str">
        <f t="shared" si="31"/>
        <v>Error?</v>
      </c>
    </row>
    <row r="2059" spans="1:4" x14ac:dyDescent="0.2">
      <c r="A2059" s="5">
        <v>1998</v>
      </c>
      <c r="B2059" s="1832">
        <f>'Cap Outlay Deprec 26'!L12</f>
        <v>527499</v>
      </c>
      <c r="C2059" s="2" t="s">
        <v>569</v>
      </c>
      <c r="D2059" s="2" t="str">
        <f t="shared" si="31"/>
        <v>Error?</v>
      </c>
    </row>
    <row r="2060" spans="1:4" x14ac:dyDescent="0.2">
      <c r="A2060" s="5">
        <v>1999</v>
      </c>
      <c r="B2060" s="1832">
        <f>'Cap Outlay Deprec 26'!L13</f>
        <v>3780</v>
      </c>
      <c r="C2060" s="2" t="s">
        <v>569</v>
      </c>
      <c r="D2060" s="2" t="str">
        <f t="shared" si="31"/>
        <v>Error?</v>
      </c>
    </row>
    <row r="2061" spans="1:4" x14ac:dyDescent="0.2">
      <c r="A2061" s="5">
        <v>2000</v>
      </c>
      <c r="B2061" s="1832">
        <f>'Cap Outlay Deprec 26'!L16</f>
        <v>9055996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256694</v>
      </c>
      <c r="C2088" s="2" t="s">
        <v>569</v>
      </c>
      <c r="D2088" s="2" t="str">
        <f t="shared" si="31"/>
        <v>Error?</v>
      </c>
    </row>
    <row r="2089" spans="1:4" x14ac:dyDescent="0.2">
      <c r="A2089" s="5">
        <v>2028</v>
      </c>
      <c r="B2089" s="1832">
        <f>'Expenditures 15-22'!K92</f>
        <v>125334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2376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251952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457129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3567486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3998407</v>
      </c>
      <c r="C2553" s="2" t="s">
        <v>569</v>
      </c>
      <c r="D2553" s="2" t="str">
        <f t="shared" si="38"/>
        <v>Error?</v>
      </c>
    </row>
    <row r="2554" spans="1:4" x14ac:dyDescent="0.2">
      <c r="A2554" s="5">
        <v>2493</v>
      </c>
      <c r="B2554" s="1832">
        <f>'Acct Summary 7-8'!C7</f>
        <v>736957</v>
      </c>
      <c r="C2554" s="2" t="s">
        <v>569</v>
      </c>
      <c r="D2554" s="2" t="str">
        <f t="shared" si="38"/>
        <v>Error?</v>
      </c>
    </row>
    <row r="2555" spans="1:4" x14ac:dyDescent="0.2">
      <c r="A2555" s="5">
        <v>2494</v>
      </c>
      <c r="B2555" s="1832">
        <f>'Acct Summary 7-8'!C8</f>
        <v>8302850</v>
      </c>
      <c r="C2555" s="2" t="s">
        <v>569</v>
      </c>
      <c r="D2555" s="2" t="str">
        <f t="shared" si="38"/>
        <v>Error?</v>
      </c>
    </row>
    <row r="2556" spans="1:4" x14ac:dyDescent="0.2">
      <c r="A2556" s="5">
        <v>2495</v>
      </c>
      <c r="B2556" s="1832">
        <f>'Acct Summary 7-8'!C12</f>
        <v>5312769</v>
      </c>
      <c r="C2556" s="2" t="s">
        <v>569</v>
      </c>
      <c r="D2556" s="2" t="str">
        <f t="shared" si="38"/>
        <v>Error?</v>
      </c>
    </row>
    <row r="2557" spans="1:4" x14ac:dyDescent="0.2">
      <c r="A2557" s="5">
        <v>2496</v>
      </c>
      <c r="B2557" s="1832">
        <f>'Acct Summary 7-8'!C13</f>
        <v>2325250</v>
      </c>
      <c r="C2557" s="2" t="s">
        <v>569</v>
      </c>
      <c r="D2557" s="2" t="str">
        <f t="shared" si="38"/>
        <v>Error?</v>
      </c>
    </row>
    <row r="2558" spans="1:4" x14ac:dyDescent="0.2">
      <c r="A2558" s="5">
        <v>2497</v>
      </c>
      <c r="B2558" s="1832">
        <f>'Acct Summary 7-8'!C14</f>
        <v>8987</v>
      </c>
      <c r="C2558" s="2" t="s">
        <v>569</v>
      </c>
      <c r="D2558" s="2" t="str">
        <f t="shared" si="38"/>
        <v>Error?</v>
      </c>
    </row>
    <row r="2559" spans="1:4" x14ac:dyDescent="0.2">
      <c r="A2559" s="5">
        <v>2498</v>
      </c>
      <c r="B2559" s="1832">
        <f>'Acct Summary 7-8'!C15</f>
        <v>382028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8029034</v>
      </c>
      <c r="C2561" s="2" t="s">
        <v>569</v>
      </c>
      <c r="D2561" s="2" t="str">
        <f t="shared" si="39"/>
        <v>Error?</v>
      </c>
    </row>
    <row r="2562" spans="1:4" x14ac:dyDescent="0.2">
      <c r="A2562" s="5">
        <v>2501</v>
      </c>
      <c r="B2562" s="1832">
        <f>'Acct Summary 7-8'!C20</f>
        <v>273816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640085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640085</v>
      </c>
      <c r="C2568" s="2" t="s">
        <v>569</v>
      </c>
      <c r="D2568" s="2" t="str">
        <f t="shared" si="39"/>
        <v>Error?</v>
      </c>
    </row>
    <row r="2569" spans="1:4" x14ac:dyDescent="0.2">
      <c r="A2569" s="5">
        <v>2508</v>
      </c>
      <c r="B2569" s="1832">
        <f>'Acct Summary 7-8'!D13</f>
        <v>535781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535781</v>
      </c>
      <c r="C2573" s="2" t="s">
        <v>569</v>
      </c>
      <c r="D2573" s="2" t="str">
        <f t="shared" si="39"/>
        <v>Error?</v>
      </c>
    </row>
    <row r="2574" spans="1:4" x14ac:dyDescent="0.2">
      <c r="A2574" s="5">
        <v>2513</v>
      </c>
      <c r="B2574" s="1832">
        <f>'Acct Summary 7-8'!D20</f>
        <v>104304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248662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713183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961845</v>
      </c>
      <c r="C2595" s="2" t="s">
        <v>569</v>
      </c>
      <c r="D2595" s="2" t="str">
        <f t="shared" si="39"/>
        <v>Error?</v>
      </c>
    </row>
    <row r="2596" spans="1:4" x14ac:dyDescent="0.2">
      <c r="A2596" s="5">
        <v>2535</v>
      </c>
      <c r="B2596" s="1832">
        <f>'Acct Summary 7-8'!F13</f>
        <v>1012943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1012943</v>
      </c>
      <c r="C2600" s="2" t="s">
        <v>569</v>
      </c>
      <c r="D2600" s="2" t="str">
        <f t="shared" si="39"/>
        <v>Error?</v>
      </c>
    </row>
    <row r="2601" spans="1:4" x14ac:dyDescent="0.2">
      <c r="A2601" s="5">
        <v>2540</v>
      </c>
      <c r="B2601" s="1832">
        <f>'Acct Summary 7-8'!F20</f>
        <v>-51098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422006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422006</v>
      </c>
      <c r="C2606" s="2" t="s">
        <v>569</v>
      </c>
      <c r="D2606" s="2" t="str">
        <f t="shared" si="39"/>
        <v>Error?</v>
      </c>
    </row>
    <row r="2607" spans="1:4" x14ac:dyDescent="0.2">
      <c r="A2607" s="5">
        <v>2546</v>
      </c>
      <c r="B2607" s="1832">
        <f>'Acct Summary 7-8'!G12</f>
        <v>128634</v>
      </c>
      <c r="C2607" s="2" t="s">
        <v>569</v>
      </c>
      <c r="D2607" s="2" t="str">
        <f t="shared" si="39"/>
        <v>Error?</v>
      </c>
    </row>
    <row r="2608" spans="1:4" x14ac:dyDescent="0.2">
      <c r="A2608" s="5">
        <v>2547</v>
      </c>
      <c r="B2608" s="1832">
        <f>'Acct Summary 7-8'!G13</f>
        <v>200589</v>
      </c>
      <c r="C2608" s="2" t="s">
        <v>569</v>
      </c>
      <c r="D2608" s="2" t="str">
        <f t="shared" si="39"/>
        <v>Error?</v>
      </c>
    </row>
    <row r="2609" spans="1:4" x14ac:dyDescent="0.2">
      <c r="A2609" s="5">
        <v>2548</v>
      </c>
      <c r="B2609" s="1832">
        <f>'Acct Summary 7-8'!G14</f>
        <v>123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329346</v>
      </c>
      <c r="C2612" s="2" t="s">
        <v>569</v>
      </c>
      <c r="D2612" s="2" t="str">
        <f t="shared" si="39"/>
        <v>Error?</v>
      </c>
    </row>
    <row r="2613" spans="1:4" x14ac:dyDescent="0.2">
      <c r="A2613" s="5">
        <v>2552</v>
      </c>
      <c r="B2613" s="1832">
        <f>'Acct Summary 7-8'!G20</f>
        <v>92660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883194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883194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876352</v>
      </c>
      <c r="C2634" s="2" t="s">
        <v>569</v>
      </c>
      <c r="D2634" s="2" t="str">
        <f t="shared" si="40"/>
        <v>Error?</v>
      </c>
    </row>
    <row r="2635" spans="1:4" x14ac:dyDescent="0.2">
      <c r="A2635" s="5">
        <v>2574</v>
      </c>
      <c r="B2635" s="1832">
        <f>'Acct Summary 7-8'!E17</f>
        <v>876352</v>
      </c>
      <c r="C2635" s="2" t="s">
        <v>569</v>
      </c>
      <c r="D2635" s="2" t="str">
        <f t="shared" si="40"/>
        <v>Error?</v>
      </c>
    </row>
    <row r="2636" spans="1:4" x14ac:dyDescent="0.2">
      <c r="A2636" s="5">
        <v>2575</v>
      </c>
      <c r="B2636" s="1832">
        <f>'Acct Summary 7-8'!E20</f>
        <v>6842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510377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510377</v>
      </c>
      <c r="C2658" s="2" t="s">
        <v>569</v>
      </c>
      <c r="D2658" s="2" t="str">
        <f t="shared" si="40"/>
        <v>Error?</v>
      </c>
    </row>
    <row r="2659" spans="1:4" x14ac:dyDescent="0.2">
      <c r="A2659" s="5">
        <v>2598</v>
      </c>
      <c r="B2659" s="1832">
        <f>'Acct Summary 7-8'!H13</f>
        <v>1068170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1068170</v>
      </c>
      <c r="C2661" s="2" t="s">
        <v>569</v>
      </c>
      <c r="D2661" s="2" t="str">
        <f t="shared" si="40"/>
        <v>Error?</v>
      </c>
    </row>
    <row r="2662" spans="1:4" x14ac:dyDescent="0.2">
      <c r="A2662" s="5">
        <v>2601</v>
      </c>
      <c r="B2662" s="1832">
        <f>'Acct Summary 7-8'!H20</f>
        <v>-557793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256694</v>
      </c>
      <c r="C2789" s="2" t="s">
        <v>569</v>
      </c>
      <c r="D2789" s="2" t="str">
        <f t="shared" si="42"/>
        <v>Error?</v>
      </c>
    </row>
    <row r="2790" spans="1:4" x14ac:dyDescent="0.2">
      <c r="A2790" s="5">
        <v>2729</v>
      </c>
      <c r="B2790" s="1832">
        <f>'Expenditures 15-22'!E102</f>
        <v>256694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1277858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294175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1277858</v>
      </c>
      <c r="D2912" s="2" t="str">
        <f t="shared" si="44"/>
        <v>Error?</v>
      </c>
    </row>
    <row r="2913" spans="1:4" x14ac:dyDescent="0.2">
      <c r="A2913" s="5">
        <v>2852</v>
      </c>
      <c r="B2913" s="1832">
        <f>'Assets-Liab 5-6'!I41</f>
        <v>1277858</v>
      </c>
      <c r="C2913" s="2" t="s">
        <v>569</v>
      </c>
      <c r="D2913" s="2" t="str">
        <f t="shared" si="44"/>
        <v>Error?</v>
      </c>
    </row>
    <row r="2914" spans="1:4" x14ac:dyDescent="0.2">
      <c r="A2914" s="5">
        <v>2853</v>
      </c>
      <c r="B2914" s="1832">
        <f>'Assets-Liab 5-6'!L33</f>
        <v>199670</v>
      </c>
      <c r="D2914" s="2" t="str">
        <f t="shared" si="44"/>
        <v>Error?</v>
      </c>
    </row>
    <row r="2915" spans="1:4" x14ac:dyDescent="0.2">
      <c r="A2915" s="10">
        <v>2854</v>
      </c>
      <c r="B2915" s="1832"/>
      <c r="D2915" s="2" t="str">
        <f t="shared" si="44"/>
        <v>OK</v>
      </c>
    </row>
    <row r="2916" spans="1:4" x14ac:dyDescent="0.2">
      <c r="A2916" s="5">
        <v>2855</v>
      </c>
      <c r="B2916" s="1832">
        <f>'Assets-Liab 5-6'!L34</f>
        <v>199670</v>
      </c>
      <c r="C2916" s="2" t="s">
        <v>569</v>
      </c>
      <c r="D2916" s="2" t="str">
        <f t="shared" si="44"/>
        <v>Error?</v>
      </c>
    </row>
    <row r="2917" spans="1:4" x14ac:dyDescent="0.2">
      <c r="A2917" s="5">
        <v>2856</v>
      </c>
      <c r="B2917" s="1832">
        <f>'Assets-Liab 5-6'!L41</f>
        <v>294175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256694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256694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94505</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75967</v>
      </c>
      <c r="C3225" s="2" t="s">
        <v>569</v>
      </c>
      <c r="D3225" s="2" t="str">
        <f t="shared" si="49"/>
        <v>Error?</v>
      </c>
    </row>
    <row r="3226" spans="1:4" x14ac:dyDescent="0.2">
      <c r="A3226" s="5">
        <v>3165</v>
      </c>
      <c r="B3226" s="1832">
        <f>'Acct Summary 7-8'!I8</f>
        <v>75967</v>
      </c>
      <c r="C3226" s="2" t="s">
        <v>569</v>
      </c>
      <c r="D3226" s="2" t="str">
        <f t="shared" si="49"/>
        <v>Error?</v>
      </c>
    </row>
    <row r="3227" spans="1:4" x14ac:dyDescent="0.2">
      <c r="A3227" s="5">
        <v>3166</v>
      </c>
      <c r="B3227" s="1832">
        <f>'Acct Summary 7-8'!I20</f>
        <v>75967</v>
      </c>
      <c r="C3227" s="2" t="s">
        <v>569</v>
      </c>
      <c r="D3227" s="2" t="str">
        <f t="shared" si="49"/>
        <v>Error?</v>
      </c>
    </row>
    <row r="3228" spans="1:4" x14ac:dyDescent="0.2">
      <c r="A3228" s="5">
        <v>3167</v>
      </c>
      <c r="B3228" s="1832">
        <f>'Acct Summary 7-8'!C43</f>
        <v>238730</v>
      </c>
      <c r="D3228" s="2" t="str">
        <f t="shared" si="49"/>
        <v>Error?</v>
      </c>
    </row>
    <row r="3229" spans="1:4" x14ac:dyDescent="0.2">
      <c r="A3229" s="5">
        <v>3168</v>
      </c>
      <c r="B3229" s="1832">
        <f>'Acct Summary 7-8'!C44</f>
        <v>238730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73853</v>
      </c>
      <c r="C3231" s="2" t="s">
        <v>569</v>
      </c>
      <c r="D3231" s="2" t="str">
        <f t="shared" si="49"/>
        <v>Error?</v>
      </c>
    </row>
    <row r="3232" spans="1:4" x14ac:dyDescent="0.2">
      <c r="A3232" s="5">
        <v>3171</v>
      </c>
      <c r="B3232" s="1832">
        <f>'Acct Summary 7-8'!C77</f>
        <v>164877</v>
      </c>
      <c r="C3232" s="2" t="s">
        <v>569</v>
      </c>
      <c r="D3232" s="2" t="str">
        <f t="shared" si="49"/>
        <v>Error?</v>
      </c>
    </row>
    <row r="3233" spans="1:4" x14ac:dyDescent="0.2">
      <c r="A3233" s="5">
        <v>3172</v>
      </c>
      <c r="B3233" s="1832">
        <f>'Acct Summary 7-8'!C78</f>
        <v>438693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104304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-51098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92660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73853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73853</v>
      </c>
      <c r="C3277" s="2" t="s">
        <v>569</v>
      </c>
      <c r="D3277" s="2" t="str">
        <f t="shared" si="50"/>
        <v>Error?</v>
      </c>
    </row>
    <row r="3278" spans="1:4" x14ac:dyDescent="0.2">
      <c r="A3278" s="5">
        <v>3217</v>
      </c>
      <c r="B3278" s="1832">
        <f>'Acct Summary 7-8'!E78</f>
        <v>80695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-557793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75967</v>
      </c>
      <c r="C3320" s="2" t="s">
        <v>569</v>
      </c>
      <c r="D3320" s="2" t="str">
        <f t="shared" si="50"/>
        <v>Error?</v>
      </c>
    </row>
    <row r="3321" spans="1:4" x14ac:dyDescent="0.2">
      <c r="A3321" s="5">
        <v>3260</v>
      </c>
      <c r="B3321" s="1832">
        <f>'Acct Summary 7-8'!I79</f>
        <v>1201891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1277858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774353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260040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5270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2837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1042500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47468</v>
      </c>
      <c r="D3387" s="2" t="str">
        <f t="shared" si="51"/>
        <v>Error?</v>
      </c>
    </row>
    <row r="3388" spans="1:4" x14ac:dyDescent="0.2">
      <c r="A3388" s="5">
        <v>3327</v>
      </c>
      <c r="B3388" s="1832">
        <f>'Expenditures 15-22'!D217</f>
        <v>64732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47468</v>
      </c>
      <c r="C3390" s="2" t="s">
        <v>569</v>
      </c>
      <c r="D3390" s="2" t="str">
        <f t="shared" si="51"/>
        <v>Error?</v>
      </c>
    </row>
    <row r="3391" spans="1:4" x14ac:dyDescent="0.2">
      <c r="A3391" s="5">
        <v>3330</v>
      </c>
      <c r="B3391" s="1832">
        <f>'Expenditures 15-22'!K217</f>
        <v>64732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584188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106977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497821</v>
      </c>
      <c r="D3417" s="2" t="str">
        <f t="shared" si="52"/>
        <v>Error?</v>
      </c>
    </row>
    <row r="3418" spans="1:4" x14ac:dyDescent="0.2">
      <c r="A3418" s="10">
        <v>3357</v>
      </c>
      <c r="B3418" s="1832"/>
      <c r="D3418" s="2" t="str">
        <f t="shared" si="52"/>
        <v>OK</v>
      </c>
    </row>
    <row r="3419" spans="1:4" x14ac:dyDescent="0.2">
      <c r="A3419" s="5">
        <v>3358</v>
      </c>
      <c r="B3419" s="1832">
        <f>'Assets-Liab 5-6'!F4</f>
        <v>24064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311007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453974</v>
      </c>
      <c r="D3425" s="2" t="str">
        <f t="shared" si="52"/>
        <v>Error?</v>
      </c>
    </row>
    <row r="3426" spans="1:4" x14ac:dyDescent="0.2">
      <c r="A3426" s="10">
        <v>3365</v>
      </c>
      <c r="B3426" s="1832"/>
      <c r="D3426" s="2" t="str">
        <f t="shared" si="52"/>
        <v>OK</v>
      </c>
    </row>
    <row r="3427" spans="1:4" x14ac:dyDescent="0.2">
      <c r="A3427" s="5">
        <v>3366</v>
      </c>
      <c r="B3427" s="1832">
        <f>'Assets-Liab 5-6'!I4</f>
        <v>1277858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294175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212923</v>
      </c>
      <c r="C3446" s="2" t="s">
        <v>569</v>
      </c>
      <c r="D3446" s="2" t="str">
        <f t="shared" si="52"/>
        <v>Error?</v>
      </c>
    </row>
    <row r="3447" spans="1:4" x14ac:dyDescent="0.2">
      <c r="A3447" s="5">
        <v>3386</v>
      </c>
      <c r="B3447" s="1832">
        <f>'Tax Sched 23'!D16</f>
        <v>189970</v>
      </c>
      <c r="C3447" s="2" t="s">
        <v>569</v>
      </c>
      <c r="D3447" s="2" t="str">
        <f t="shared" si="52"/>
        <v>Error?</v>
      </c>
    </row>
    <row r="3448" spans="1:4" x14ac:dyDescent="0.2">
      <c r="A3448" s="5">
        <v>3387</v>
      </c>
      <c r="B3448" s="1832">
        <f>'Tax Sched 23'!C16</f>
        <v>22953</v>
      </c>
      <c r="D3448" s="2" t="str">
        <f t="shared" si="52"/>
        <v>Error?</v>
      </c>
    </row>
    <row r="3449" spans="1:4" x14ac:dyDescent="0.2">
      <c r="A3449" s="5">
        <v>3388</v>
      </c>
      <c r="B3449" s="1832">
        <f>'Tax Sched 23'!F16</f>
        <v>207057</v>
      </c>
      <c r="C3449" s="2" t="s">
        <v>569</v>
      </c>
      <c r="D3449" s="2" t="str">
        <f t="shared" si="52"/>
        <v>Error?</v>
      </c>
    </row>
    <row r="3450" spans="1:4" x14ac:dyDescent="0.2">
      <c r="A3450" s="5">
        <v>3389</v>
      </c>
      <c r="B3450" s="1832">
        <f>'Tax Sched 23'!E16</f>
        <v>230010</v>
      </c>
      <c r="D3450" s="2" t="str">
        <f t="shared" si="52"/>
        <v>Error?</v>
      </c>
    </row>
    <row r="3451" spans="1:4" x14ac:dyDescent="0.2">
      <c r="A3451" s="5">
        <v>3390</v>
      </c>
      <c r="B3451" s="1832">
        <f>'Cap Outlay Deprec 26'!C15</f>
        <v>361440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361440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418757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20595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439352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439352</v>
      </c>
      <c r="D3567" s="2" t="str">
        <f t="shared" si="54"/>
        <v>Error?</v>
      </c>
    </row>
    <row r="3568" spans="1:4" x14ac:dyDescent="0.2">
      <c r="A3568" s="5">
        <v>3507</v>
      </c>
      <c r="B3568" s="1832">
        <f>'Assets-Liab 5-6'!K41</f>
        <v>439352</v>
      </c>
      <c r="C3568" s="2" t="s">
        <v>569</v>
      </c>
      <c r="D3568" s="2" t="str">
        <f t="shared" si="54"/>
        <v>Error?</v>
      </c>
    </row>
    <row r="3569" spans="1:4" x14ac:dyDescent="0.2">
      <c r="A3569" s="5">
        <v>3508</v>
      </c>
      <c r="B3569" s="1832">
        <f>'Acct Summary 7-8'!K4</f>
        <v>66363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66363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66363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66363</v>
      </c>
      <c r="C3588" s="2" t="s">
        <v>569</v>
      </c>
      <c r="D3588" s="2" t="str">
        <f t="shared" si="55"/>
        <v>Error?</v>
      </c>
    </row>
    <row r="3589" spans="1:4" x14ac:dyDescent="0.2">
      <c r="A3589" s="5">
        <v>3528</v>
      </c>
      <c r="B3589" s="1832">
        <f>'Acct Summary 7-8'!K79</f>
        <v>372989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439352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66363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61439</v>
      </c>
      <c r="C3725" s="2" t="s">
        <v>569</v>
      </c>
      <c r="D3725" s="2" t="str">
        <f t="shared" si="57"/>
        <v>Error?</v>
      </c>
    </row>
    <row r="3726" spans="1:4" x14ac:dyDescent="0.2">
      <c r="A3726" s="5">
        <v>3665</v>
      </c>
      <c r="B3726" s="1832">
        <f>'Tax Sched 23'!D13</f>
        <v>54446</v>
      </c>
      <c r="C3726" s="2" t="s">
        <v>569</v>
      </c>
      <c r="D3726" s="2" t="str">
        <f t="shared" si="57"/>
        <v>Error?</v>
      </c>
    </row>
    <row r="3727" spans="1:4" x14ac:dyDescent="0.2">
      <c r="A3727" s="5">
        <v>3666</v>
      </c>
      <c r="B3727" s="1832">
        <f>'Tax Sched 23'!C13</f>
        <v>6993</v>
      </c>
      <c r="D3727" s="2" t="str">
        <f t="shared" si="57"/>
        <v>Error?</v>
      </c>
    </row>
    <row r="3728" spans="1:4" x14ac:dyDescent="0.2">
      <c r="A3728" s="5">
        <v>3667</v>
      </c>
      <c r="B3728" s="1832">
        <f>'Tax Sched 23'!F13</f>
        <v>63089</v>
      </c>
      <c r="C3728" s="2" t="s">
        <v>569</v>
      </c>
      <c r="D3728" s="2" t="str">
        <f t="shared" si="57"/>
        <v>Error?</v>
      </c>
    </row>
    <row r="3729" spans="1:4" x14ac:dyDescent="0.2">
      <c r="A3729" s="5">
        <v>3668</v>
      </c>
      <c r="B3729" s="1832">
        <f>'Tax Sched 23'!E13</f>
        <v>70082</v>
      </c>
      <c r="D3729" s="2" t="str">
        <f t="shared" si="57"/>
        <v>Error?</v>
      </c>
    </row>
    <row r="3730" spans="1:4" x14ac:dyDescent="0.2">
      <c r="A3730" s="5">
        <v>3669</v>
      </c>
      <c r="B3730" s="1832">
        <f>'ICR Computation 30'!E10</f>
        <v>2883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3432441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11735291</v>
      </c>
      <c r="C4122" s="2" t="s">
        <v>569</v>
      </c>
      <c r="D4122" s="2" t="str">
        <f t="shared" si="63"/>
        <v>Error?</v>
      </c>
    </row>
    <row r="4123" spans="1:4" x14ac:dyDescent="0.2">
      <c r="A4123" s="5">
        <v>4062</v>
      </c>
      <c r="B4123" s="1832">
        <f>'Acct Summary 7-8'!D10</f>
        <v>640085</v>
      </c>
      <c r="C4123" s="2" t="s">
        <v>569</v>
      </c>
      <c r="D4123" s="2" t="str">
        <f t="shared" si="63"/>
        <v>Error?</v>
      </c>
    </row>
    <row r="4124" spans="1:4" x14ac:dyDescent="0.2">
      <c r="A4124" s="5">
        <v>4063</v>
      </c>
      <c r="B4124" s="1832">
        <f>'Acct Summary 7-8'!E10</f>
        <v>883194</v>
      </c>
      <c r="C4124" s="2" t="s">
        <v>569</v>
      </c>
      <c r="D4124" s="2" t="str">
        <f t="shared" si="63"/>
        <v>Error?</v>
      </c>
    </row>
    <row r="4125" spans="1:4" x14ac:dyDescent="0.2">
      <c r="A4125" s="5">
        <v>4064</v>
      </c>
      <c r="B4125" s="1832">
        <f>'Acct Summary 7-8'!F10</f>
        <v>961845</v>
      </c>
      <c r="C4125" s="2" t="s">
        <v>569</v>
      </c>
      <c r="D4125" s="2" t="str">
        <f t="shared" si="63"/>
        <v>Error?</v>
      </c>
    </row>
    <row r="4126" spans="1:4" x14ac:dyDescent="0.2">
      <c r="A4126" s="5">
        <v>4065</v>
      </c>
      <c r="B4126" s="1832">
        <f>'Acct Summary 7-8'!G10</f>
        <v>422006</v>
      </c>
      <c r="C4126" s="2" t="s">
        <v>569</v>
      </c>
      <c r="D4126" s="2" t="str">
        <f t="shared" si="63"/>
        <v>Error?</v>
      </c>
    </row>
    <row r="4127" spans="1:4" x14ac:dyDescent="0.2">
      <c r="A4127" s="5">
        <v>4066</v>
      </c>
      <c r="B4127" s="1832">
        <f>'Acct Summary 7-8'!H10</f>
        <v>510377</v>
      </c>
      <c r="C4127" s="2" t="s">
        <v>569</v>
      </c>
      <c r="D4127" s="2" t="str">
        <f t="shared" si="63"/>
        <v>Error?</v>
      </c>
    </row>
    <row r="4128" spans="1:4" x14ac:dyDescent="0.2">
      <c r="A4128" s="5">
        <v>4067</v>
      </c>
      <c r="B4128" s="1832">
        <f>'Acct Summary 7-8'!I10</f>
        <v>75967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66363</v>
      </c>
      <c r="C4130" s="2" t="s">
        <v>569</v>
      </c>
      <c r="D4130" s="2" t="str">
        <f t="shared" si="63"/>
        <v>Error?</v>
      </c>
    </row>
    <row r="4131" spans="1:4" x14ac:dyDescent="0.2">
      <c r="A4131" s="5">
        <v>4070</v>
      </c>
      <c r="B4131" s="1832">
        <f>'Acct Summary 7-8'!C18</f>
        <v>3432441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11461475</v>
      </c>
      <c r="C4136" s="2" t="s">
        <v>569</v>
      </c>
      <c r="D4136" s="2" t="str">
        <f t="shared" si="63"/>
        <v>Error?</v>
      </c>
    </row>
    <row r="4137" spans="1:4" x14ac:dyDescent="0.2">
      <c r="A4137" s="5">
        <v>4076</v>
      </c>
      <c r="B4137" s="1832">
        <f>'Acct Summary 7-8'!D19</f>
        <v>535781</v>
      </c>
      <c r="C4137" s="2" t="s">
        <v>569</v>
      </c>
      <c r="D4137" s="2" t="str">
        <f t="shared" si="63"/>
        <v>Error?</v>
      </c>
    </row>
    <row r="4138" spans="1:4" x14ac:dyDescent="0.2">
      <c r="A4138" s="5">
        <v>4077</v>
      </c>
      <c r="B4138" s="1832">
        <f>'Acct Summary 7-8'!E19</f>
        <v>876352</v>
      </c>
      <c r="C4138" s="2" t="s">
        <v>569</v>
      </c>
      <c r="D4138" s="2" t="str">
        <f t="shared" si="63"/>
        <v>Error?</v>
      </c>
    </row>
    <row r="4139" spans="1:4" x14ac:dyDescent="0.2">
      <c r="A4139" s="5">
        <v>4078</v>
      </c>
      <c r="B4139" s="1832">
        <f>'Acct Summary 7-8'!F19</f>
        <v>1012943</v>
      </c>
      <c r="C4139" s="2" t="s">
        <v>569</v>
      </c>
      <c r="D4139" s="2" t="str">
        <f t="shared" si="63"/>
        <v>Error?</v>
      </c>
    </row>
    <row r="4140" spans="1:4" x14ac:dyDescent="0.2">
      <c r="A4140" s="5">
        <v>4079</v>
      </c>
      <c r="B4140" s="1832">
        <f>'Acct Summary 7-8'!G19</f>
        <v>329346</v>
      </c>
      <c r="C4140" s="2" t="s">
        <v>569</v>
      </c>
      <c r="D4140" s="2" t="str">
        <f t="shared" si="63"/>
        <v>Error?</v>
      </c>
    </row>
    <row r="4141" spans="1:4" x14ac:dyDescent="0.2">
      <c r="A4141" s="5">
        <v>4080</v>
      </c>
      <c r="B4141" s="1832">
        <f>'Acct Summary 7-8'!H19</f>
        <v>1068170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1748370</v>
      </c>
      <c r="C4171" s="2" t="s">
        <v>569</v>
      </c>
      <c r="D4171" s="2" t="str">
        <f t="shared" si="64"/>
        <v>Error?</v>
      </c>
    </row>
    <row r="4172" spans="1:4" x14ac:dyDescent="0.2">
      <c r="A4172" s="5">
        <v>4111</v>
      </c>
      <c r="B4172" s="1832">
        <f>'Short-Term Long-Term Debt 24'!J49</f>
        <v>1199020</v>
      </c>
      <c r="C4172" s="2" t="s">
        <v>569</v>
      </c>
      <c r="D4172" s="2" t="str">
        <f t="shared" si="64"/>
        <v>Error?</v>
      </c>
    </row>
    <row r="4173" spans="1:4" x14ac:dyDescent="0.2">
      <c r="A4173" s="5">
        <v>4112</v>
      </c>
      <c r="B4173" s="1832">
        <f>'Short-Term Long-Term Debt 24'!H49</f>
        <v>775196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238729</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3000</v>
      </c>
      <c r="C4268" s="2" t="s">
        <v>569</v>
      </c>
      <c r="D4268" s="2" t="str">
        <f t="shared" si="65"/>
        <v>Error?</v>
      </c>
    </row>
    <row r="4269" spans="1:5" x14ac:dyDescent="0.2">
      <c r="A4269" s="12">
        <v>4208</v>
      </c>
      <c r="B4269" s="1832">
        <f>'FP Info 3'!J16</f>
        <v>5752312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19062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25360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3400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31860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140164648</v>
      </c>
      <c r="D4995" s="2" t="str">
        <f t="shared" si="77"/>
        <v>Error?</v>
      </c>
    </row>
    <row r="4996" spans="1:4" x14ac:dyDescent="0.2">
      <c r="A4996" s="12">
        <v>4935</v>
      </c>
      <c r="B4996" s="1832">
        <f>'FP Info 3'!H31</f>
        <v>19342721.424000002</v>
      </c>
      <c r="D4996" s="2" t="str">
        <f t="shared" si="77"/>
        <v>Error?</v>
      </c>
    </row>
    <row r="4997" spans="1:4" x14ac:dyDescent="0.2">
      <c r="A4997" s="12">
        <v>4936</v>
      </c>
      <c r="B4997" s="1832">
        <f>'FP Info 3'!H37</f>
        <v>1748370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61439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2826239</v>
      </c>
      <c r="D5061" s="2" t="str">
        <f t="shared" si="78"/>
        <v>Error?</v>
      </c>
    </row>
    <row r="5062" spans="1:4" x14ac:dyDescent="0.2">
      <c r="A5062" s="10">
        <v>5001</v>
      </c>
      <c r="B5062" s="1832"/>
      <c r="D5062" s="2" t="str">
        <f t="shared" si="78"/>
        <v>OK</v>
      </c>
    </row>
    <row r="5063" spans="1:4" x14ac:dyDescent="0.2">
      <c r="A5063" s="5">
        <v>5002</v>
      </c>
      <c r="B5063" s="1832">
        <f>'Revenues 9-14'!C7</f>
        <v>49152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2936830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119634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119634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52059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52059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119536</v>
      </c>
      <c r="C5096" s="2" t="s">
        <v>569</v>
      </c>
      <c r="D5096" s="2" t="str">
        <f t="shared" si="78"/>
        <v>Error?</v>
      </c>
    </row>
    <row r="5097" spans="1:4" x14ac:dyDescent="0.2">
      <c r="A5097" s="5">
        <v>5036</v>
      </c>
      <c r="B5097" s="1832">
        <f>'Revenues 9-14'!C77</f>
        <v>45461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45461</v>
      </c>
      <c r="C5102" s="2" t="s">
        <v>569</v>
      </c>
      <c r="D5102" s="2" t="str">
        <f t="shared" si="78"/>
        <v>Error?</v>
      </c>
    </row>
    <row r="5103" spans="1:4" x14ac:dyDescent="0.2">
      <c r="A5103" s="5">
        <v>5042</v>
      </c>
      <c r="B5103" s="1832">
        <f>'Revenues 9-14'!C84</f>
        <v>70358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70358</v>
      </c>
      <c r="C5112" s="2" t="s">
        <v>569</v>
      </c>
      <c r="D5112" s="2" t="str">
        <f t="shared" si="78"/>
        <v>Error?</v>
      </c>
    </row>
    <row r="5113" spans="1:4" x14ac:dyDescent="0.2">
      <c r="A5113" s="5">
        <v>5052</v>
      </c>
      <c r="B5113" s="1832">
        <f>'Revenues 9-14'!C95</f>
        <v>12727</v>
      </c>
      <c r="D5113" s="2" t="str">
        <f t="shared" si="78"/>
        <v>Error?</v>
      </c>
    </row>
    <row r="5114" spans="1:4" x14ac:dyDescent="0.2">
      <c r="A5114" s="5">
        <v>5053</v>
      </c>
      <c r="B5114" s="1832">
        <f>'Revenues 9-14'!C96</f>
        <v>4530</v>
      </c>
      <c r="D5114" s="2" t="str">
        <f t="shared" si="78"/>
        <v>Error?</v>
      </c>
    </row>
    <row r="5115" spans="1:4" x14ac:dyDescent="0.2">
      <c r="A5115" s="5">
        <v>5054</v>
      </c>
      <c r="B5115" s="1832">
        <f>'Revenues 9-14'!C98</f>
        <v>127565</v>
      </c>
      <c r="D5115" s="2" t="str">
        <f t="shared" si="78"/>
        <v>Error?</v>
      </c>
    </row>
    <row r="5116" spans="1:4" x14ac:dyDescent="0.2">
      <c r="A5116" s="5">
        <v>5055</v>
      </c>
      <c r="B5116" s="1832">
        <f>'Revenues 9-14'!C99</f>
        <v>45718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29018</v>
      </c>
      <c r="D5119" s="2" t="str">
        <f t="shared" ref="D5119:D5182" si="79">IF(ISBLANK(B5119),"OK",IF(A5119-B5119=0,"OK","Error?"))</f>
        <v>Error?</v>
      </c>
    </row>
    <row r="5120" spans="1:4" x14ac:dyDescent="0.2">
      <c r="A5120" s="5">
        <v>5059</v>
      </c>
      <c r="B5120" s="1832">
        <f>'Revenues 9-14'!C108</f>
        <v>223608</v>
      </c>
      <c r="C5120" s="2" t="s">
        <v>569</v>
      </c>
      <c r="D5120" s="2" t="str">
        <f t="shared" si="79"/>
        <v>Error?</v>
      </c>
    </row>
    <row r="5121" spans="1:4" x14ac:dyDescent="0.2">
      <c r="A5121" s="5">
        <v>5060</v>
      </c>
      <c r="B5121" s="1832">
        <f>'Revenues 9-14'!C109</f>
        <v>3567486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3734775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3734775</v>
      </c>
      <c r="C5132" s="2" t="s">
        <v>569</v>
      </c>
      <c r="D5132" s="2" t="str">
        <f t="shared" si="79"/>
        <v>Error?</v>
      </c>
    </row>
    <row r="5133" spans="1:4" x14ac:dyDescent="0.2">
      <c r="A5133" s="5">
        <v>5072</v>
      </c>
      <c r="B5133" s="1832">
        <f>'Revenues 9-14'!C125</f>
        <v>16936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28104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45040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12024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3290</v>
      </c>
      <c r="D5167" s="2" t="str">
        <f t="shared" si="79"/>
        <v>Error?</v>
      </c>
    </row>
    <row r="5168" spans="1:4" x14ac:dyDescent="0.2">
      <c r="A5168" s="5">
        <v>5107</v>
      </c>
      <c r="B5168" s="1832">
        <f>'Revenues 9-14'!C148</f>
        <v>11631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191647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263632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3998407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160983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62354</v>
      </c>
      <c r="D5241" s="2" t="str">
        <f t="shared" si="80"/>
        <v>Error?</v>
      </c>
    </row>
    <row r="5242" spans="1:4" x14ac:dyDescent="0.2">
      <c r="A5242" s="5">
        <v>5181</v>
      </c>
      <c r="B5242" s="1832">
        <f>'Revenues 9-14'!C194</f>
        <v>155929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379266</v>
      </c>
      <c r="C5246" s="2" t="s">
        <v>569</v>
      </c>
      <c r="D5246" s="2" t="str">
        <f t="shared" si="80"/>
        <v>Error?</v>
      </c>
    </row>
    <row r="5247" spans="1:4" x14ac:dyDescent="0.2">
      <c r="A5247" s="5">
        <v>5186</v>
      </c>
      <c r="B5247" s="1832">
        <f>'Revenues 9-14'!C200</f>
        <v>278009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278009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736957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736957</v>
      </c>
      <c r="C5326" s="2" t="s">
        <v>569</v>
      </c>
      <c r="D5326" s="2" t="str">
        <f t="shared" si="82"/>
        <v>Error?</v>
      </c>
    </row>
    <row r="5327" spans="1:5" x14ac:dyDescent="0.2">
      <c r="A5327" s="5">
        <v>5266</v>
      </c>
      <c r="B5327" s="1832">
        <f>'Revenues 9-14'!C268</f>
        <v>8302850</v>
      </c>
      <c r="C5327" s="2" t="s">
        <v>569</v>
      </c>
      <c r="D5327" s="2" t="str">
        <f t="shared" si="82"/>
        <v>Error?</v>
      </c>
    </row>
    <row r="5328" spans="1:5" x14ac:dyDescent="0.2">
      <c r="A5328" s="5">
        <v>5267</v>
      </c>
      <c r="B5328" s="1832">
        <f>'Revenues 9-14'!D5</f>
        <v>614399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614399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13686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13686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12000</v>
      </c>
      <c r="C5355" s="2" t="s">
        <v>569</v>
      </c>
      <c r="D5355" s="2" t="str">
        <f t="shared" si="82"/>
        <v>Error?</v>
      </c>
    </row>
    <row r="5356" spans="1:4" x14ac:dyDescent="0.2">
      <c r="A5356" s="5">
        <v>5295</v>
      </c>
      <c r="B5356" s="1832">
        <f>'Revenues 9-14'!D109</f>
        <v>640085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640085</v>
      </c>
      <c r="C5508" s="2" t="s">
        <v>569</v>
      </c>
      <c r="D5508" s="2" t="str">
        <f t="shared" si="85"/>
        <v>Error?</v>
      </c>
    </row>
    <row r="5509" spans="1:4" x14ac:dyDescent="0.2">
      <c r="A5509" s="5">
        <v>5448</v>
      </c>
      <c r="B5509" s="1832">
        <f>'Revenues 9-14'!E5</f>
        <v>513955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513955</v>
      </c>
      <c r="C5513" s="2" t="s">
        <v>569</v>
      </c>
      <c r="D5513" s="2" t="str">
        <f t="shared" si="85"/>
        <v>Error?</v>
      </c>
    </row>
    <row r="5514" spans="1:4" x14ac:dyDescent="0.2">
      <c r="A5514" s="5">
        <v>5453</v>
      </c>
      <c r="B5514" s="1832">
        <f>'Revenues 9-14'!E14</f>
        <v>2483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2483</v>
      </c>
      <c r="C5518" s="2" t="s">
        <v>569</v>
      </c>
      <c r="D5518" s="2" t="str">
        <f t="shared" si="85"/>
        <v>Error?</v>
      </c>
    </row>
    <row r="5519" spans="1:4" x14ac:dyDescent="0.2">
      <c r="A5519" s="5">
        <v>5458</v>
      </c>
      <c r="B5519" s="1832">
        <f>'Revenues 9-14'!E65</f>
        <v>7568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7568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359188</v>
      </c>
      <c r="C5526" s="2" t="s">
        <v>569</v>
      </c>
      <c r="D5526" s="2" t="str">
        <f t="shared" si="85"/>
        <v>Error?</v>
      </c>
    </row>
    <row r="5527" spans="1:4" x14ac:dyDescent="0.2">
      <c r="A5527" s="5">
        <v>5466</v>
      </c>
      <c r="B5527" s="1832">
        <f>'Revenues 9-14'!E109</f>
        <v>883194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883194</v>
      </c>
      <c r="C5552" s="2" t="s">
        <v>569</v>
      </c>
      <c r="D5552" s="2" t="str">
        <f t="shared" si="85"/>
        <v>Error?</v>
      </c>
    </row>
    <row r="5553" spans="1:4" x14ac:dyDescent="0.2">
      <c r="A5553" s="5">
        <v>5492</v>
      </c>
      <c r="B5553" s="1832">
        <f>'Revenues 9-14'!F5</f>
        <v>245760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245760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2176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2176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726</v>
      </c>
      <c r="D5586" s="2" t="str">
        <f t="shared" si="86"/>
        <v>Error?</v>
      </c>
    </row>
    <row r="5587" spans="1:4" x14ac:dyDescent="0.2">
      <c r="A5587" s="5">
        <v>5526</v>
      </c>
      <c r="B5587" s="1832">
        <f>'Revenues 9-14'!F108</f>
        <v>726</v>
      </c>
      <c r="C5587" s="2" t="s">
        <v>569</v>
      </c>
      <c r="D5587" s="2" t="str">
        <f t="shared" si="86"/>
        <v>Error?</v>
      </c>
    </row>
    <row r="5588" spans="1:4" x14ac:dyDescent="0.2">
      <c r="A5588" s="5">
        <v>5527</v>
      </c>
      <c r="B5588" s="1832">
        <f>'Revenues 9-14'!F109</f>
        <v>248662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408015</v>
      </c>
      <c r="D5615" s="2" t="str">
        <f t="shared" si="86"/>
        <v>Error?</v>
      </c>
    </row>
    <row r="5616" spans="1:4" x14ac:dyDescent="0.2">
      <c r="A5616" s="10">
        <v>5555</v>
      </c>
      <c r="B5616" s="1832"/>
      <c r="D5616" s="2" t="str">
        <f t="shared" si="86"/>
        <v>OK</v>
      </c>
    </row>
    <row r="5617" spans="1:5" x14ac:dyDescent="0.2">
      <c r="A5617" s="5">
        <v>5556</v>
      </c>
      <c r="B5617" s="1832">
        <f>'Revenues 9-14'!F153</f>
        <v>188929</v>
      </c>
      <c r="D5617" s="2" t="str">
        <f t="shared" si="86"/>
        <v>Error?</v>
      </c>
    </row>
    <row r="5618" spans="1:5" x14ac:dyDescent="0.2">
      <c r="A5618" s="5">
        <v>5557</v>
      </c>
      <c r="B5618" s="1832">
        <f>'Revenues 9-14'!F155</f>
        <v>596944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116239</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713183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713183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961845</v>
      </c>
      <c r="C5720" s="2" t="s">
        <v>569</v>
      </c>
      <c r="D5720" s="2" t="str">
        <f t="shared" si="88"/>
        <v>Error?</v>
      </c>
    </row>
    <row r="5721" spans="1:4" x14ac:dyDescent="0.2">
      <c r="A5721" s="5">
        <v>5660</v>
      </c>
      <c r="B5721" s="1832">
        <f>'Revenues 9-14'!G5</f>
        <v>189795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212923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402718</v>
      </c>
      <c r="C5725" s="2" t="s">
        <v>569</v>
      </c>
      <c r="D5725" s="2" t="str">
        <f t="shared" si="88"/>
        <v>Error?</v>
      </c>
    </row>
    <row r="5726" spans="1:4" x14ac:dyDescent="0.2">
      <c r="A5726" s="5">
        <v>5665</v>
      </c>
      <c r="B5726" s="1832">
        <f>'Revenues 9-14'!G14</f>
        <v>2864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10264</v>
      </c>
      <c r="C5730" s="2" t="s">
        <v>569</v>
      </c>
      <c r="D5730" s="2" t="str">
        <f t="shared" si="88"/>
        <v>Error?</v>
      </c>
    </row>
    <row r="5731" spans="1:4" x14ac:dyDescent="0.2">
      <c r="A5731" s="5">
        <v>5670</v>
      </c>
      <c r="B5731" s="1832">
        <f>'Revenues 9-14'!G65</f>
        <v>9024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9024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422006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10377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10377</v>
      </c>
      <c r="C5881" s="2" t="s">
        <v>569</v>
      </c>
      <c r="D5881" s="2" t="str">
        <f t="shared" si="90"/>
        <v>Error?</v>
      </c>
    </row>
    <row r="5882" spans="1:4" x14ac:dyDescent="0.2">
      <c r="A5882" s="5">
        <v>5821</v>
      </c>
      <c r="B5882" s="1832">
        <f>'Revenues 9-14'!H96</f>
        <v>500000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500000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510377</v>
      </c>
      <c r="C5915" s="2" t="s">
        <v>569</v>
      </c>
      <c r="D5915" s="2" t="str">
        <f t="shared" si="91"/>
        <v>Error?</v>
      </c>
    </row>
    <row r="5916" spans="1:4" x14ac:dyDescent="0.2">
      <c r="A5916" s="5">
        <v>5855</v>
      </c>
      <c r="B5916" s="1832">
        <f>'Revenues 9-14'!I5</f>
        <v>61439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61439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14528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14528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75967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61439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61439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4924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4924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66363</v>
      </c>
      <c r="C6023" s="2" t="s">
        <v>569</v>
      </c>
      <c r="D6023" s="2" t="str">
        <f t="shared" si="93"/>
        <v>Error?</v>
      </c>
    </row>
    <row r="6024" spans="1:5" x14ac:dyDescent="0.2">
      <c r="A6024" s="5">
        <v>5963</v>
      </c>
      <c r="B6024" s="1832">
        <f>'Revenues 9-14'!G109</f>
        <v>422006</v>
      </c>
      <c r="C6024" s="2" t="s">
        <v>569</v>
      </c>
      <c r="D6024" s="2" t="str">
        <f t="shared" si="93"/>
        <v>Error?</v>
      </c>
    </row>
    <row r="6025" spans="1:5" x14ac:dyDescent="0.2">
      <c r="A6025" s="5">
        <v>5964</v>
      </c>
      <c r="B6025" s="1832">
        <f>'Revenues 9-14'!H109</f>
        <v>510377</v>
      </c>
      <c r="C6025" s="2" t="s">
        <v>569</v>
      </c>
      <c r="D6025" s="2" t="str">
        <f t="shared" si="93"/>
        <v>Error?</v>
      </c>
    </row>
    <row r="6026" spans="1:5" x14ac:dyDescent="0.2">
      <c r="A6026" s="5">
        <v>5965</v>
      </c>
      <c r="B6026" s="1832">
        <f>'Revenues 9-14'!I109</f>
        <v>75967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66363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119118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34088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946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1342</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390514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390514</v>
      </c>
      <c r="D6215" s="2" t="str">
        <f t="shared" si="96"/>
        <v>Error?</v>
      </c>
      <c r="E6215" s="2" t="s">
        <v>189</v>
      </c>
    </row>
    <row r="6216" spans="1:5" x14ac:dyDescent="0.2">
      <c r="A6216">
        <v>6155</v>
      </c>
      <c r="B6216" s="1832">
        <f>'Assets-Liab 5-6'!J41</f>
        <v>390514</v>
      </c>
      <c r="D6216" s="2" t="str">
        <f t="shared" si="96"/>
        <v>Error?</v>
      </c>
      <c r="E6216" s="2" t="s">
        <v>189</v>
      </c>
    </row>
    <row r="6217" spans="1:5" x14ac:dyDescent="0.2">
      <c r="A6217">
        <v>6156</v>
      </c>
      <c r="B6217" s="1832">
        <f>'Assets-Liab 5-6'!J4</f>
        <v>88380</v>
      </c>
      <c r="D6217" s="2" t="str">
        <f t="shared" si="96"/>
        <v>Error?</v>
      </c>
      <c r="E6217" s="2" t="s">
        <v>189</v>
      </c>
    </row>
    <row r="6218" spans="1:5" x14ac:dyDescent="0.2">
      <c r="A6218">
        <v>6157</v>
      </c>
      <c r="B6218" s="1832">
        <f>'Assets-Liab 5-6'!J5</f>
        <v>302134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755346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755346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755346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737114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737114</v>
      </c>
      <c r="D6229" s="2" t="str">
        <f t="shared" si="96"/>
        <v>Error?</v>
      </c>
      <c r="E6229" s="2" t="s">
        <v>189</v>
      </c>
    </row>
    <row r="6230" spans="1:5" x14ac:dyDescent="0.2">
      <c r="A6230">
        <v>6169</v>
      </c>
      <c r="B6230" s="1832">
        <f>'Acct Summary 7-8'!J20</f>
        <v>18232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69196</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4657</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18232</v>
      </c>
      <c r="D6263" s="2" t="str">
        <f t="shared" si="96"/>
        <v>Error?</v>
      </c>
      <c r="E6263" s="2" t="s">
        <v>189</v>
      </c>
    </row>
    <row r="6264" spans="1:5" x14ac:dyDescent="0.2">
      <c r="A6264">
        <v>6203</v>
      </c>
      <c r="B6264" s="1832">
        <f>'Acct Summary 7-8'!J79</f>
        <v>372282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390514</v>
      </c>
      <c r="D6266" s="2" t="str">
        <f t="shared" si="96"/>
        <v>Error?</v>
      </c>
      <c r="E6266" s="2" t="s">
        <v>189</v>
      </c>
    </row>
    <row r="6267" spans="1:5" x14ac:dyDescent="0.2">
      <c r="A6267">
        <v>6206</v>
      </c>
      <c r="B6267" s="1832">
        <f>'Acct Summary 7-8'!C82</f>
        <v>438693</v>
      </c>
      <c r="D6267" s="2" t="str">
        <f t="shared" si="96"/>
        <v>Error?</v>
      </c>
      <c r="E6267" s="2" t="s">
        <v>189</v>
      </c>
    </row>
    <row r="6268" spans="1:5" x14ac:dyDescent="0.2">
      <c r="A6268">
        <v>6207</v>
      </c>
      <c r="B6268" s="1832">
        <f>'Acct Summary 7-8'!D82</f>
        <v>104304</v>
      </c>
      <c r="D6268" s="2" t="str">
        <f t="shared" si="96"/>
        <v>Error?</v>
      </c>
      <c r="E6268" s="2" t="s">
        <v>189</v>
      </c>
    </row>
    <row r="6269" spans="1:5" x14ac:dyDescent="0.2">
      <c r="A6269">
        <v>6208</v>
      </c>
      <c r="B6269" s="1832">
        <f>'Acct Summary 7-8'!E82</f>
        <v>80695</v>
      </c>
      <c r="D6269" s="2" t="str">
        <f t="shared" si="96"/>
        <v>Error?</v>
      </c>
      <c r="E6269" s="2" t="s">
        <v>189</v>
      </c>
    </row>
    <row r="6270" spans="1:5" x14ac:dyDescent="0.2">
      <c r="A6270">
        <v>6209</v>
      </c>
      <c r="B6270" s="1832">
        <f>'Acct Summary 7-8'!F82</f>
        <v>-51098</v>
      </c>
      <c r="D6270" s="2" t="str">
        <f t="shared" si="96"/>
        <v>Error?</v>
      </c>
      <c r="E6270" s="2" t="s">
        <v>189</v>
      </c>
    </row>
    <row r="6271" spans="1:5" x14ac:dyDescent="0.2">
      <c r="A6271">
        <v>6210</v>
      </c>
      <c r="B6271" s="1832">
        <f>'Acct Summary 7-8'!G82</f>
        <v>92660</v>
      </c>
      <c r="D6271" s="2" t="str">
        <f t="shared" ref="D6271:D6334" si="97">IF(ISBLANK(B6271),"OK",IF(A6271-B6271=0,"OK","Error?"))</f>
        <v>Error?</v>
      </c>
      <c r="E6271" s="2" t="s">
        <v>189</v>
      </c>
    </row>
    <row r="6272" spans="1:5" x14ac:dyDescent="0.2">
      <c r="A6272">
        <v>6211</v>
      </c>
      <c r="B6272" s="1832">
        <f>'Acct Summary 7-8'!H82</f>
        <v>-557793</v>
      </c>
      <c r="D6272" s="2" t="str">
        <f t="shared" si="97"/>
        <v>Error?</v>
      </c>
      <c r="E6272" s="2" t="s">
        <v>189</v>
      </c>
    </row>
    <row r="6273" spans="1:5" x14ac:dyDescent="0.2">
      <c r="A6273">
        <v>6212</v>
      </c>
      <c r="B6273" s="1832">
        <f>'Acct Summary 7-8'!I82</f>
        <v>75967</v>
      </c>
      <c r="D6273" s="2" t="str">
        <f t="shared" si="97"/>
        <v>Error?</v>
      </c>
      <c r="E6273" s="2" t="s">
        <v>189</v>
      </c>
    </row>
    <row r="6274" spans="1:5" x14ac:dyDescent="0.2">
      <c r="A6274">
        <v>6213</v>
      </c>
      <c r="B6274" s="1832">
        <f>'Acct Summary 7-8'!J82</f>
        <v>18232</v>
      </c>
      <c r="D6274" s="2" t="str">
        <f t="shared" si="97"/>
        <v>Error?</v>
      </c>
      <c r="E6274" s="2" t="s">
        <v>189</v>
      </c>
    </row>
    <row r="6275" spans="1:5" x14ac:dyDescent="0.2">
      <c r="A6275">
        <v>6214</v>
      </c>
      <c r="B6275" s="1832">
        <f>'Acct Summary 7-8'!K82</f>
        <v>66363</v>
      </c>
      <c r="D6275" s="2" t="str">
        <f t="shared" si="97"/>
        <v>Error?</v>
      </c>
      <c r="E6275" s="2" t="s">
        <v>189</v>
      </c>
    </row>
    <row r="6276" spans="1:5" x14ac:dyDescent="0.2">
      <c r="A6276">
        <v>6215</v>
      </c>
      <c r="B6276" s="1832">
        <f>'Acct Summary 7-8'!C83</f>
        <v>0.13455944803674111</v>
      </c>
      <c r="D6276" s="2" t="str">
        <f t="shared" si="97"/>
        <v>Error?</v>
      </c>
      <c r="E6276" s="2" t="s">
        <v>189</v>
      </c>
    </row>
    <row r="6277" spans="1:5" x14ac:dyDescent="0.2">
      <c r="A6277">
        <v>6216</v>
      </c>
      <c r="B6277" s="1832">
        <f>'Acct Summary 7-8'!D83</f>
        <v>0.10984409686972126</v>
      </c>
      <c r="D6277" s="2" t="str">
        <f t="shared" si="97"/>
        <v>Error?</v>
      </c>
      <c r="E6277" s="2" t="s">
        <v>189</v>
      </c>
    </row>
    <row r="6278" spans="1:5" x14ac:dyDescent="0.2">
      <c r="A6278">
        <v>6217</v>
      </c>
      <c r="B6278" s="1832">
        <f>'Acct Summary 7-8'!E83</f>
        <v>0.14689178119595886</v>
      </c>
      <c r="D6278" s="2" t="str">
        <f t="shared" si="97"/>
        <v>Error?</v>
      </c>
      <c r="E6278" s="2" t="s">
        <v>189</v>
      </c>
    </row>
    <row r="6279" spans="1:5" x14ac:dyDescent="0.2">
      <c r="A6279">
        <v>6218</v>
      </c>
      <c r="B6279" s="1832">
        <f>'Acct Summary 7-8'!F83</f>
        <v>-0.19306087133935082</v>
      </c>
      <c r="D6279" s="2" t="str">
        <f t="shared" si="97"/>
        <v>Error?</v>
      </c>
      <c r="E6279" s="2" t="s">
        <v>189</v>
      </c>
    </row>
    <row r="6280" spans="1:5" x14ac:dyDescent="0.2">
      <c r="A6280">
        <v>6219</v>
      </c>
      <c r="B6280" s="1832">
        <f>'Acct Summary 7-8'!G83</f>
        <v>0.14683301191493003</v>
      </c>
      <c r="D6280" s="2" t="str">
        <f t="shared" si="97"/>
        <v>Error?</v>
      </c>
      <c r="E6280" s="2" t="s">
        <v>189</v>
      </c>
    </row>
    <row r="6281" spans="1:5" x14ac:dyDescent="0.2">
      <c r="A6281">
        <v>6220</v>
      </c>
      <c r="B6281" s="1832">
        <f>'Acct Summary 7-8'!H83</f>
        <v>-1.2286893081982668</v>
      </c>
      <c r="D6281" s="2" t="str">
        <f t="shared" si="97"/>
        <v>Error?</v>
      </c>
      <c r="E6281" s="2" t="s">
        <v>189</v>
      </c>
    </row>
    <row r="6282" spans="1:5" x14ac:dyDescent="0.2">
      <c r="A6282">
        <v>6221</v>
      </c>
      <c r="B6282" s="1832">
        <f>'Acct Summary 7-8'!I83</f>
        <v>5.944870243798607E-2</v>
      </c>
      <c r="D6282" s="2" t="str">
        <f t="shared" si="97"/>
        <v>Error?</v>
      </c>
      <c r="E6282" s="2" t="s">
        <v>189</v>
      </c>
    </row>
    <row r="6283" spans="1:5" x14ac:dyDescent="0.2">
      <c r="A6283">
        <v>6222</v>
      </c>
      <c r="B6283" s="1832">
        <f>'Acct Summary 7-8'!J83</f>
        <v>4.6687186630953052E-2</v>
      </c>
      <c r="D6283" s="2" t="str">
        <f t="shared" si="97"/>
        <v>Error?</v>
      </c>
      <c r="E6283" s="2" t="s">
        <v>189</v>
      </c>
    </row>
    <row r="6284" spans="1:5" x14ac:dyDescent="0.2">
      <c r="A6284">
        <v>6223</v>
      </c>
      <c r="B6284" s="1832">
        <f>'Acct Summary 7-8'!K83</f>
        <v>0.15104745170159689</v>
      </c>
      <c r="D6284" s="2" t="str">
        <f t="shared" si="97"/>
        <v>Error?</v>
      </c>
      <c r="E6284" s="2" t="s">
        <v>189</v>
      </c>
    </row>
    <row r="6285" spans="1:5" x14ac:dyDescent="0.2">
      <c r="A6285">
        <v>6224</v>
      </c>
      <c r="B6285" s="1832">
        <f>'Acct Summary 7-8'!E37</f>
        <v>69196</v>
      </c>
      <c r="D6285" s="2" t="str">
        <f t="shared" si="97"/>
        <v>Error?</v>
      </c>
      <c r="E6285" s="2" t="s">
        <v>189</v>
      </c>
    </row>
    <row r="6286" spans="1:5" x14ac:dyDescent="0.2">
      <c r="A6286">
        <v>6225</v>
      </c>
      <c r="B6286" s="1832">
        <f>'Acct Summary 7-8'!E38</f>
        <v>4657</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740609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740609</v>
      </c>
      <c r="D6301" s="2" t="str">
        <f t="shared" si="97"/>
        <v>Error?</v>
      </c>
      <c r="E6301" s="2" t="s">
        <v>189</v>
      </c>
    </row>
    <row r="6302" spans="1:5" x14ac:dyDescent="0.2">
      <c r="A6302">
        <v>6241</v>
      </c>
      <c r="B6302" s="1832">
        <f>'Revenues 9-14'!J14</f>
        <v>5261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5261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9476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9476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4050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755346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12024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142643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202107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23473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79447</v>
      </c>
      <c r="D6880" s="2" t="str">
        <f t="shared" si="106"/>
        <v>Error?</v>
      </c>
    </row>
    <row r="6881" spans="1:4" x14ac:dyDescent="0.2">
      <c r="A6881">
        <v>6820</v>
      </c>
      <c r="B6881" s="1832">
        <f>'Expenditures 15-22'!K22</f>
        <v>79447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125334</v>
      </c>
      <c r="D6983" s="2" t="str">
        <f t="shared" si="108"/>
        <v>Error?</v>
      </c>
    </row>
    <row r="6984" spans="1:4" x14ac:dyDescent="0.2">
      <c r="A6984">
        <v>6923</v>
      </c>
      <c r="B6984" s="1832">
        <f>'Expenditures 15-22'!K86</f>
        <v>125334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125334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737114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755346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8265</v>
      </c>
      <c r="D7073" s="2" t="str">
        <f t="shared" si="109"/>
        <v>Error?</v>
      </c>
    </row>
    <row r="7074" spans="1:4" x14ac:dyDescent="0.2">
      <c r="A7074">
        <v>7013</v>
      </c>
      <c r="B7074" s="1832">
        <f>'Expenditures 15-22'!K216</f>
        <v>8265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347</v>
      </c>
      <c r="D7079" s="2" t="str">
        <f t="shared" si="109"/>
        <v>Error?</v>
      </c>
    </row>
    <row r="7080" spans="1:4" x14ac:dyDescent="0.2">
      <c r="A7080">
        <v>7019</v>
      </c>
      <c r="B7080" s="1832">
        <f>'Expenditures 15-22'!K226</f>
        <v>347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44003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44003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18966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18966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2300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2300</v>
      </c>
      <c r="D7153" s="2" t="str">
        <f t="shared" si="110"/>
        <v>Error?</v>
      </c>
    </row>
    <row r="7154" spans="1:4" x14ac:dyDescent="0.2">
      <c r="A7154">
        <v>7093</v>
      </c>
      <c r="B7154" s="1832">
        <f>'Expenditures 15-22'!C323</f>
        <v>604197</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604197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2728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2728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9801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9801</v>
      </c>
      <c r="D7198" s="2" t="str">
        <f t="shared" si="111"/>
        <v>Error?</v>
      </c>
    </row>
    <row r="7199" spans="1:4" x14ac:dyDescent="0.2">
      <c r="A7199">
        <v>7138</v>
      </c>
      <c r="B7199" s="1832">
        <f>'Expenditures 15-22'!C330</f>
        <v>604197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132917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737114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604197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132917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737114</v>
      </c>
      <c r="D7224" s="2" t="str">
        <f t="shared" si="111"/>
        <v>Error?</v>
      </c>
    </row>
    <row r="7225" spans="1:4" x14ac:dyDescent="0.2">
      <c r="A7225">
        <v>7164</v>
      </c>
      <c r="B7225" s="1832">
        <f>'Expenditures 15-22'!K343</f>
        <v>18232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47329</v>
      </c>
      <c r="D7246" s="2" t="str">
        <f t="shared" si="112"/>
        <v>Error?</v>
      </c>
    </row>
    <row r="7247" spans="1:4" x14ac:dyDescent="0.2">
      <c r="A7247">
        <f t="shared" si="113"/>
        <v>7186</v>
      </c>
      <c r="B7247" s="1832">
        <f>'Expenditures 15-22'!E7</f>
        <v>1595</v>
      </c>
      <c r="D7247" s="2" t="str">
        <f t="shared" si="112"/>
        <v>Error?</v>
      </c>
    </row>
    <row r="7248" spans="1:4" x14ac:dyDescent="0.2">
      <c r="A7248">
        <f t="shared" si="113"/>
        <v>7187</v>
      </c>
      <c r="B7248" s="1832">
        <f>'Expenditures 15-22'!F7</f>
        <v>10540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21818</v>
      </c>
      <c r="D7263" s="2" t="str">
        <f t="shared" si="112"/>
        <v>Error?</v>
      </c>
    </row>
    <row r="7264" spans="1:4" x14ac:dyDescent="0.2">
      <c r="A7264">
        <f t="shared" si="113"/>
        <v>7203</v>
      </c>
      <c r="B7264" s="1832">
        <f>'Expenditures 15-22'!D17</f>
        <v>25</v>
      </c>
      <c r="D7264" s="2" t="str">
        <f t="shared" si="112"/>
        <v>Error?</v>
      </c>
    </row>
    <row r="7265" spans="1:5" x14ac:dyDescent="0.2">
      <c r="A7265">
        <f t="shared" si="113"/>
        <v>7204</v>
      </c>
      <c r="B7265" s="1832">
        <f>'Expenditures 15-22'!E17</f>
        <v>1630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403002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55119</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55119</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714610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6853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4050</v>
      </c>
      <c r="D7712" s="2" t="str">
        <f t="shared" si="126"/>
        <v>Error?</v>
      </c>
      <c r="E7712" s="2" t="s">
        <v>822</v>
      </c>
    </row>
    <row r="7713" spans="1:6" x14ac:dyDescent="0.2">
      <c r="A7713">
        <v>7652</v>
      </c>
      <c r="B7713" s="1832">
        <f>'Rest Tax Levies-Tort Im 25'!J8</f>
        <v>359188</v>
      </c>
      <c r="D7713" s="2" t="str">
        <f t="shared" si="126"/>
        <v>Error?</v>
      </c>
      <c r="E7713" s="2" t="s">
        <v>822</v>
      </c>
    </row>
    <row r="7714" spans="1:6" x14ac:dyDescent="0.2">
      <c r="A7714">
        <v>7653</v>
      </c>
      <c r="B7714" s="1832">
        <f>'Rest Tax Levies-Tort Im 25'!K9</f>
        <v>11631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366041</v>
      </c>
      <c r="D7718" s="2" t="str">
        <f t="shared" si="126"/>
        <v>Error?</v>
      </c>
      <c r="E7718" s="2" t="s">
        <v>822</v>
      </c>
    </row>
    <row r="7719" spans="1:6" x14ac:dyDescent="0.2">
      <c r="A7719">
        <v>7658</v>
      </c>
      <c r="B7719" s="1832">
        <f>'Rest Tax Levies-Tort Im 25'!K12</f>
        <v>15681</v>
      </c>
      <c r="D7719" s="2" t="str">
        <f t="shared" si="126"/>
        <v>Error?</v>
      </c>
      <c r="E7719" s="2" t="s">
        <v>822</v>
      </c>
    </row>
    <row r="7720" spans="1:6" x14ac:dyDescent="0.2">
      <c r="A7720">
        <v>7659</v>
      </c>
      <c r="B7720" s="1832">
        <f>'Rest Tax Levies-Tort Im 25'!H14</f>
        <v>49168</v>
      </c>
      <c r="D7720" s="2" t="str">
        <f t="shared" si="126"/>
        <v>Error?</v>
      </c>
      <c r="E7720" s="2" t="s">
        <v>822</v>
      </c>
    </row>
    <row r="7721" spans="1:6" x14ac:dyDescent="0.2">
      <c r="A7721">
        <v>7660</v>
      </c>
      <c r="B7721" s="1832">
        <f>'Rest Tax Levies-Tort Im 25'!K14</f>
        <v>15681</v>
      </c>
      <c r="D7721" s="2" t="str">
        <f t="shared" si="126"/>
        <v>Error?</v>
      </c>
      <c r="E7721" s="2" t="s">
        <v>822</v>
      </c>
    </row>
    <row r="7722" spans="1:6" x14ac:dyDescent="0.2">
      <c r="A7722">
        <v>7661</v>
      </c>
      <c r="B7722" s="1832">
        <f>'Rest Tax Levies-Tort Im 25'!J15</f>
        <v>377432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45290</v>
      </c>
      <c r="D7724" s="2" t="str">
        <f t="shared" si="126"/>
        <v>Error?</v>
      </c>
      <c r="E7724" s="2" t="s">
        <v>822</v>
      </c>
      <c r="F7724" s="2"/>
    </row>
    <row r="7725" spans="1:6" x14ac:dyDescent="0.2">
      <c r="A7725">
        <v>7664</v>
      </c>
      <c r="B7725" s="1832">
        <f>'Rest Tax Levies-Tort Im 25'!J19</f>
        <v>200000</v>
      </c>
      <c r="D7725" s="2" t="str">
        <f t="shared" si="126"/>
        <v>Error?</v>
      </c>
      <c r="E7725" s="2" t="s">
        <v>822</v>
      </c>
    </row>
    <row r="7726" spans="1:6" x14ac:dyDescent="0.2">
      <c r="A7726">
        <v>7665</v>
      </c>
      <c r="B7726" s="1832">
        <f>'Rest Tax Levies-Tort Im 25'!J20</f>
        <v>800</v>
      </c>
      <c r="D7726" s="2" t="str">
        <f t="shared" si="126"/>
        <v>Error?</v>
      </c>
      <c r="E7726" s="2" t="s">
        <v>822</v>
      </c>
    </row>
    <row r="7727" spans="1:6" x14ac:dyDescent="0.2">
      <c r="A7727">
        <v>7666</v>
      </c>
      <c r="B7727" s="1832">
        <f>'Rest Tax Levies-Tort Im 25'!J21</f>
        <v>246090</v>
      </c>
      <c r="D7727" s="2" t="str">
        <f t="shared" si="126"/>
        <v>Error?</v>
      </c>
      <c r="E7727" s="2" t="s">
        <v>822</v>
      </c>
    </row>
    <row r="7728" spans="1:6" x14ac:dyDescent="0.2">
      <c r="A7728">
        <v>7667</v>
      </c>
      <c r="B7728" s="1832">
        <f>'Revenues 9-14'!E103</f>
        <v>359188</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623522</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457129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457129</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15681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3918016</v>
      </c>
      <c r="D7817" s="2" t="str">
        <f t="shared" si="128"/>
        <v>Error?</v>
      </c>
      <c r="E7817" s="4" t="s">
        <v>1966</v>
      </c>
    </row>
    <row r="7818" spans="1:5" x14ac:dyDescent="0.2">
      <c r="A7818">
        <v>7757</v>
      </c>
      <c r="B7818" s="1832">
        <f>'PCTC-OEPP 27-28'!F172</f>
        <v>394051.77</v>
      </c>
      <c r="D7818" s="2" t="str">
        <f t="shared" si="128"/>
        <v>Error?</v>
      </c>
      <c r="E7818" s="4" t="s">
        <v>1980</v>
      </c>
    </row>
    <row r="7819" spans="1:5" x14ac:dyDescent="0.2">
      <c r="A7819">
        <v>7758</v>
      </c>
      <c r="B7819" s="1832">
        <f>'PCTC-OEPP 27-28'!F173</f>
        <v>1377.37</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11520570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202107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8987</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1719948</v>
      </c>
      <c r="D7834" s="2" t="str">
        <f t="shared" si="129"/>
        <v>Error?</v>
      </c>
      <c r="E7834" s="4" t="s">
        <v>1998</v>
      </c>
    </row>
    <row r="7835" spans="1:5" x14ac:dyDescent="0.2">
      <c r="A7835">
        <v>7774</v>
      </c>
      <c r="B7835" s="1832">
        <f>'PCTC-OEPP 27-28'!F78</f>
        <v>9800622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10360.065539112051</v>
      </c>
      <c r="D7837" s="2" t="str">
        <f t="shared" si="129"/>
        <v>Error?</v>
      </c>
      <c r="E7837" s="4" t="s">
        <v>1998</v>
      </c>
    </row>
    <row r="7838" spans="1:5" x14ac:dyDescent="0.2">
      <c r="A7838">
        <v>7777</v>
      </c>
      <c r="B7838" s="1832">
        <f>'PCTC-OEPP 27-28'!F96</f>
        <v>45461</v>
      </c>
      <c r="D7838" s="2" t="str">
        <f t="shared" si="129"/>
        <v>Error?</v>
      </c>
      <c r="E7838" s="4" t="s">
        <v>1998</v>
      </c>
    </row>
    <row r="7839" spans="1:5" x14ac:dyDescent="0.2">
      <c r="A7839">
        <v>7778</v>
      </c>
      <c r="B7839" s="1832">
        <f>'PCTC-OEPP 27-28'!F102</f>
        <v>24727</v>
      </c>
      <c r="D7839" s="2" t="str">
        <f t="shared" si="129"/>
        <v>Error?</v>
      </c>
      <c r="E7839" s="4" t="s">
        <v>1998</v>
      </c>
    </row>
    <row r="7840" spans="1:5" x14ac:dyDescent="0.2">
      <c r="A7840">
        <v>7779</v>
      </c>
      <c r="B7840" s="1832">
        <f>'PCTC-OEPP 27-28'!F103</f>
        <v>127565</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45040</v>
      </c>
      <c r="D7842" s="2" t="str">
        <f t="shared" si="129"/>
        <v>Error?</v>
      </c>
      <c r="E7842" s="4" t="s">
        <v>1998</v>
      </c>
    </row>
    <row r="7843" spans="1:5" x14ac:dyDescent="0.2">
      <c r="A7843">
        <v>7782</v>
      </c>
      <c r="B7843" s="1832">
        <f>'PCTC-OEPP 27-28'!F107</f>
        <v>12024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11631</v>
      </c>
      <c r="D7846" s="2" t="str">
        <f t="shared" si="129"/>
        <v>Error?</v>
      </c>
      <c r="E7846" s="4" t="s">
        <v>1998</v>
      </c>
    </row>
    <row r="7847" spans="1:5" x14ac:dyDescent="0.2">
      <c r="A7847">
        <v>7786</v>
      </c>
      <c r="B7847" s="1832">
        <f>'PCTC-OEPP 27-28'!F112</f>
        <v>596944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379266</v>
      </c>
      <c r="D7858" s="2" t="str">
        <f t="shared" si="129"/>
        <v>Error?</v>
      </c>
      <c r="E7858" s="4" t="s">
        <v>1998</v>
      </c>
    </row>
    <row r="7859" spans="1:5" x14ac:dyDescent="0.2">
      <c r="A7859">
        <v>7798</v>
      </c>
      <c r="B7859" s="1832">
        <f>'PCTC-OEPP 27-28'!F127</f>
        <v>278009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3400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31860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19062</v>
      </c>
      <c r="D7874" s="2" t="str">
        <f t="shared" si="129"/>
        <v>Error?</v>
      </c>
      <c r="E7874" s="4" t="s">
        <v>1998</v>
      </c>
    </row>
    <row r="7875" spans="1:5" x14ac:dyDescent="0.2">
      <c r="A7875">
        <v>7814</v>
      </c>
      <c r="B7875" s="1832">
        <f>'PCTC-OEPP 27-28'!F170</f>
        <v>25360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2188962.14</v>
      </c>
      <c r="D7877" s="2" t="str">
        <f t="shared" si="129"/>
        <v>Error?</v>
      </c>
      <c r="E7877" s="4" t="s">
        <v>1998</v>
      </c>
    </row>
    <row r="7878" spans="1:5" x14ac:dyDescent="0.2">
      <c r="A7878">
        <v>7817</v>
      </c>
      <c r="B7878" s="1832">
        <f>'PCTC-OEPP 27-28'!F176</f>
        <v>7611659.8599999994</v>
      </c>
      <c r="D7878" s="2" t="str">
        <f t="shared" si="129"/>
        <v>Error?</v>
      </c>
      <c r="E7878" s="4" t="s">
        <v>1998</v>
      </c>
    </row>
    <row r="7879" spans="1:5" x14ac:dyDescent="0.2">
      <c r="A7879">
        <v>7818</v>
      </c>
      <c r="B7879" s="1832">
        <f>'PCTC-OEPP 27-28'!F178</f>
        <v>8014661.8599999994</v>
      </c>
      <c r="D7879" s="2" t="str">
        <f t="shared" si="129"/>
        <v>Error?</v>
      </c>
      <c r="E7879" s="4" t="s">
        <v>1998</v>
      </c>
    </row>
    <row r="7880" spans="1:5" x14ac:dyDescent="0.2">
      <c r="A7880">
        <v>7819</v>
      </c>
      <c r="B7880" s="1832">
        <f>'PCTC-OEPP 27-28'!F180</f>
        <v>8472.1584143763212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Schuyler Industry CUSD 5</v>
      </c>
      <c r="B7" s="2516"/>
      <c r="C7" s="2516"/>
      <c r="D7" s="2554"/>
      <c r="E7" s="2555">
        <f>COVER!A13</f>
        <v>26085005026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Beau Fretueg</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tcustis@gorenzcpa.com</v>
      </c>
      <c r="J13" s="2550"/>
      <c r="K13" s="2550"/>
      <c r="L13" s="2551"/>
    </row>
    <row r="14" spans="1:29" ht="13.5" customHeight="1" x14ac:dyDescent="0.2">
      <c r="A14" s="2528" t="str">
        <f>COVER!A19</f>
        <v>740 N. Maple Avenue</v>
      </c>
      <c r="B14" s="2541"/>
      <c r="C14" s="2541"/>
      <c r="D14" s="2541"/>
      <c r="E14" s="2541"/>
      <c r="F14" s="2542"/>
      <c r="G14" s="974" t="s">
        <v>1175</v>
      </c>
      <c r="H14" s="972"/>
      <c r="I14" s="972"/>
      <c r="J14" s="972"/>
      <c r="K14" s="972"/>
      <c r="L14" s="973"/>
    </row>
    <row r="15" spans="1:29" ht="13.5" customHeight="1" x14ac:dyDescent="0.2">
      <c r="A15" s="2528" t="str">
        <f>COVER!A21</f>
        <v>Rushville</v>
      </c>
      <c r="B15" s="2541"/>
      <c r="C15" s="2541"/>
      <c r="D15" s="2541"/>
      <c r="E15" s="2541"/>
      <c r="F15" s="2542"/>
      <c r="G15" s="2538" t="str">
        <f>COVER!T15</f>
        <v>Tim C. Custis, CPA</v>
      </c>
      <c r="H15" s="2539"/>
      <c r="I15" s="2539"/>
      <c r="J15" s="2539"/>
      <c r="K15" s="2539"/>
      <c r="L15" s="2540"/>
    </row>
    <row r="16" spans="1:29" ht="12.2" customHeight="1" x14ac:dyDescent="0.2">
      <c r="A16" s="2518">
        <f>COVER!A25</f>
        <v>62681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Schuyler Industry CUSD 5</v>
      </c>
      <c r="B1" s="2558"/>
      <c r="C1" s="2558"/>
      <c r="D1" s="2558"/>
    </row>
    <row r="2" spans="1:11" s="991" customFormat="1" ht="12.75" x14ac:dyDescent="0.2">
      <c r="A2" s="2559">
        <f>'Single Audit Cover'!E7</f>
        <v>26085005026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Schuyler Industry CUSD 5</v>
      </c>
      <c r="B1" s="2562"/>
      <c r="C1" s="2562"/>
      <c r="D1" s="2562"/>
      <c r="E1" s="2562"/>
    </row>
    <row r="2" spans="1:5" x14ac:dyDescent="0.2">
      <c r="A2" s="2563">
        <f>'Single Audit Cover'!E7</f>
        <v>26085005026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736957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34088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-25360</v>
      </c>
    </row>
    <row r="19" spans="1:4" ht="13.5" thickBot="1" x14ac:dyDescent="0.25">
      <c r="A19" s="1041" t="s">
        <v>1224</v>
      </c>
      <c r="D19" s="1042">
        <f>SUM(D10:D17)</f>
        <v>745685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745685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745685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Schuyler Industry CUSD 5</v>
      </c>
      <c r="C1" s="2566"/>
      <c r="D1" s="2566"/>
      <c r="E1" s="2566"/>
      <c r="F1" s="2566"/>
      <c r="G1" s="2566"/>
      <c r="H1" s="2566"/>
      <c r="I1" s="2566"/>
      <c r="J1" s="2566"/>
      <c r="K1" s="2566"/>
      <c r="L1" s="2566"/>
      <c r="M1" s="2566"/>
    </row>
    <row r="2" spans="2:14" ht="15" x14ac:dyDescent="0.2">
      <c r="B2" s="2567">
        <f>'Single Audit Cover'!E7</f>
        <v>26085005026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Schuyler Industry CUSD 5</v>
      </c>
      <c r="B1" s="2571"/>
      <c r="C1" s="2571"/>
      <c r="D1" s="2571"/>
      <c r="E1" s="2571"/>
      <c r="F1" s="2571"/>
    </row>
    <row r="2" spans="1:7" ht="13.5" customHeight="1" x14ac:dyDescent="0.2">
      <c r="A2" s="2567">
        <f>'Single Audit Cover'!E7</f>
        <v>26085005026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35370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2086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Schuyler Industry CUSD 5</v>
      </c>
      <c r="C1" s="2587"/>
      <c r="D1" s="2587"/>
      <c r="E1" s="2587"/>
      <c r="F1" s="2587"/>
      <c r="G1" s="2587"/>
      <c r="H1" s="2587"/>
      <c r="I1" s="2587"/>
      <c r="J1" s="1178"/>
    </row>
    <row r="2" spans="2:10" s="295" customFormat="1" ht="12.75" customHeight="1" x14ac:dyDescent="0.2">
      <c r="B2" s="2588">
        <f>'Single Audit Cover'!E7</f>
        <v>26085005026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Schuyler Industry CUSD 5</v>
      </c>
      <c r="C1" s="2586"/>
      <c r="D1" s="2586"/>
      <c r="E1" s="2586"/>
      <c r="F1" s="2586"/>
      <c r="G1" s="2586"/>
      <c r="H1" s="2586"/>
      <c r="I1" s="2586"/>
      <c r="J1" s="2586"/>
      <c r="K1" s="2586"/>
      <c r="L1" s="1144"/>
      <c r="M1" s="1144"/>
    </row>
    <row r="2" spans="1:13" ht="12" customHeight="1" x14ac:dyDescent="0.2">
      <c r="B2" s="2588">
        <f>'Single Audit Cover'!E7</f>
        <v>26085005026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Schuyler Industry CUSD 5</v>
      </c>
      <c r="C1" s="2613"/>
      <c r="D1" s="2613"/>
      <c r="E1" s="2613"/>
      <c r="F1" s="2613"/>
      <c r="G1" s="2613"/>
      <c r="H1" s="2613"/>
      <c r="I1" s="2613"/>
      <c r="J1" s="2613"/>
      <c r="K1" s="2613"/>
      <c r="L1" s="1221"/>
    </row>
    <row r="2" spans="1:12" ht="12.75" customHeight="1" x14ac:dyDescent="0.2">
      <c r="B2" s="2614">
        <f>'Single Audit Cover'!E7</f>
        <v>26085005026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Schuyler Industry CUSD 5</v>
      </c>
      <c r="C1" s="2586"/>
      <c r="D1" s="2586"/>
      <c r="E1" s="1240"/>
    </row>
    <row r="2" spans="2:5" s="1058" customFormat="1" ht="12.75" customHeight="1" x14ac:dyDescent="0.2">
      <c r="B2" s="2588">
        <f>'Single Audit Cover'!E7</f>
        <v>26085005026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2069</v>
      </c>
      <c r="C7" s="302"/>
      <c r="D7" s="302" t="s">
        <v>2079</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140164648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2.3E-2</v>
      </c>
      <c r="E10" s="333" t="s">
        <v>998</v>
      </c>
      <c r="F10" s="332">
        <v>5.0000000000000001E-3</v>
      </c>
      <c r="G10" s="333" t="s">
        <v>998</v>
      </c>
      <c r="H10" s="332">
        <v>2E-3</v>
      </c>
      <c r="I10" s="333" t="s">
        <v>999</v>
      </c>
      <c r="J10" s="1424">
        <f>ROUND(D10+F10+H10,5)</f>
        <v>0.03</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9980747</v>
      </c>
      <c r="E16" s="1547"/>
      <c r="F16" s="1546">
        <f>SUM('Acct Summary 7-8'!C17,'Acct Summary 7-8'!D17,'Acct Summary 7-8'!F17)</f>
        <v>9577758</v>
      </c>
      <c r="G16" s="1547"/>
      <c r="H16" s="1546">
        <f>SUM(D16-F16)</f>
        <v>402989</v>
      </c>
      <c r="I16" s="1548"/>
      <c r="J16" s="1546">
        <f>SUM('Acct Summary 7-8'!C81,'Acct Summary 7-8'!D81,'Acct Summary 7-8'!F81,'Acct Summary 7-8'!I81)</f>
        <v>5752312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19342721.424000002</v>
      </c>
      <c r="I31" s="345"/>
      <c r="J31" s="217"/>
      <c r="K31" s="217"/>
      <c r="L31" s="217"/>
      <c r="M31" s="217"/>
    </row>
    <row r="32" spans="1:13" ht="13.35" customHeight="1" x14ac:dyDescent="0.2">
      <c r="B32" s="346" t="s">
        <v>2070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1748370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Schuyler Industry CUSD 5</v>
      </c>
      <c r="E7" s="368"/>
      <c r="G7" s="247"/>
      <c r="H7" s="364"/>
      <c r="I7" s="364"/>
      <c r="J7" s="364"/>
      <c r="K7" s="364"/>
      <c r="L7" s="307"/>
      <c r="M7" s="307"/>
      <c r="N7" s="307"/>
      <c r="O7" s="307"/>
      <c r="P7" s="307"/>
    </row>
    <row r="8" spans="1:18" ht="12.75" x14ac:dyDescent="0.2">
      <c r="A8" s="307"/>
      <c r="B8" s="307"/>
      <c r="C8" s="366" t="s">
        <v>1115</v>
      </c>
      <c r="D8" s="369">
        <f>COVER!A13</f>
        <v>26085005026</v>
      </c>
      <c r="E8" s="370"/>
      <c r="G8" s="307"/>
      <c r="H8" s="307"/>
      <c r="I8" s="307"/>
      <c r="J8" s="307"/>
      <c r="K8" s="307"/>
      <c r="L8" s="307"/>
      <c r="M8" s="307"/>
      <c r="N8" s="307"/>
      <c r="O8" s="307"/>
      <c r="P8" s="307"/>
    </row>
    <row r="9" spans="1:18" ht="12.75" x14ac:dyDescent="0.2">
      <c r="A9" s="307"/>
      <c r="B9" s="307"/>
      <c r="C9" s="366" t="s">
        <v>708</v>
      </c>
      <c r="D9" s="371" t="str">
        <f>COVER!A15</f>
        <v>Schuyler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5752312</v>
      </c>
      <c r="I12" s="380"/>
      <c r="J12" s="380"/>
      <c r="K12" s="1559">
        <f>TRUNC((H12/H13*100000),5)/100000</f>
        <v>0.58063728140000004</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9906894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-73853</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9577758</v>
      </c>
      <c r="I17" s="380"/>
      <c r="J17" s="389"/>
      <c r="K17" s="1559">
        <f>TRUNC((H17/H18*100000),5)/100000</f>
        <v>0.96677707460000006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9906894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-73853</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5746926</v>
      </c>
      <c r="I24" s="394"/>
      <c r="J24" s="394"/>
      <c r="K24" s="1555">
        <f>TRUNC(((H24/H25*100000)/100000),2)</f>
        <v>216.01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26604.883330000001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3574198.5240000002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1748370</v>
      </c>
      <c r="I32" s="392"/>
      <c r="J32" s="392"/>
      <c r="K32" s="1555">
        <f>TRUNC(100-((((H32/H33*100))*100)/100),2)</f>
        <v>90.96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19342721.424000002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Q43" sqref="Q4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584188</v>
      </c>
      <c r="D4" s="1573">
        <v>106977</v>
      </c>
      <c r="E4" s="1573">
        <v>497821</v>
      </c>
      <c r="F4" s="1573">
        <v>24064</v>
      </c>
      <c r="G4" s="1573">
        <v>311007</v>
      </c>
      <c r="H4" s="1573">
        <v>453974</v>
      </c>
      <c r="I4" s="1573">
        <v>1277858</v>
      </c>
      <c r="J4" s="1574">
        <v>88380</v>
      </c>
      <c r="K4" s="1573">
        <v>418757</v>
      </c>
      <c r="L4" s="1573">
        <v>294175</v>
      </c>
      <c r="M4" s="1575"/>
      <c r="N4" s="1576"/>
    </row>
    <row r="5" spans="1:14" x14ac:dyDescent="0.2">
      <c r="A5" s="427" t="s">
        <v>985</v>
      </c>
      <c r="B5" s="429">
        <v>120</v>
      </c>
      <c r="C5" s="1572">
        <v>2670519</v>
      </c>
      <c r="D5" s="1573">
        <v>842587</v>
      </c>
      <c r="E5" s="1573">
        <v>51529</v>
      </c>
      <c r="F5" s="1573">
        <v>240733</v>
      </c>
      <c r="G5" s="1573">
        <v>320050</v>
      </c>
      <c r="H5" s="1573">
        <v>0</v>
      </c>
      <c r="I5" s="1573">
        <v>0</v>
      </c>
      <c r="J5" s="1574">
        <v>302134</v>
      </c>
      <c r="K5" s="1577">
        <v>20595</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1342</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4200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3260249</v>
      </c>
      <c r="D13" s="1587">
        <f t="shared" ref="D13:L13" si="0">SUM(D4:D12)</f>
        <v>949564</v>
      </c>
      <c r="E13" s="1587">
        <f t="shared" si="0"/>
        <v>549350</v>
      </c>
      <c r="F13" s="1587">
        <f t="shared" si="0"/>
        <v>264797</v>
      </c>
      <c r="G13" s="1587">
        <f t="shared" si="0"/>
        <v>631057</v>
      </c>
      <c r="H13" s="1587">
        <f t="shared" si="0"/>
        <v>453974</v>
      </c>
      <c r="I13" s="1587">
        <f t="shared" si="0"/>
        <v>1277858</v>
      </c>
      <c r="J13" s="1587">
        <f t="shared" si="0"/>
        <v>390514</v>
      </c>
      <c r="K13" s="1587">
        <f t="shared" si="0"/>
        <v>439352</v>
      </c>
      <c r="L13" s="1587">
        <f t="shared" si="0"/>
        <v>294175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198621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13171602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2277369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776705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549350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1199020</v>
      </c>
    </row>
    <row r="23" spans="1:14" ht="13.5" customHeight="1" thickBot="1" x14ac:dyDescent="0.25">
      <c r="A23" s="1426" t="s">
        <v>638</v>
      </c>
      <c r="B23" s="1429"/>
      <c r="C23" s="1575"/>
      <c r="D23" s="1575"/>
      <c r="E23" s="1575"/>
      <c r="F23" s="1575"/>
      <c r="G23" s="1575"/>
      <c r="H23" s="1575"/>
      <c r="I23" s="1575"/>
      <c r="J23" s="1575"/>
      <c r="K23" s="1575"/>
      <c r="L23" s="1575"/>
      <c r="M23" s="1594">
        <f>SUM(M15:M22)</f>
        <v>16424297</v>
      </c>
      <c r="N23" s="1594">
        <f>SUM(N21:N22)</f>
        <v>1748370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32</v>
      </c>
      <c r="D31" s="1574">
        <v>0</v>
      </c>
      <c r="E31" s="1574"/>
      <c r="F31" s="1573">
        <v>124</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199670</v>
      </c>
      <c r="M33" s="1575"/>
      <c r="N33" s="1576"/>
    </row>
    <row r="34" spans="1:14" ht="13.5" customHeight="1" thickBot="1" x14ac:dyDescent="0.25">
      <c r="A34" s="1427" t="s">
        <v>649</v>
      </c>
      <c r="B34" s="1428"/>
      <c r="C34" s="1600">
        <f>SUM(C25:C33)</f>
        <v>32</v>
      </c>
      <c r="D34" s="1600">
        <f t="shared" ref="D34:K34" si="1">SUM(D25:D33)</f>
        <v>0</v>
      </c>
      <c r="E34" s="1600">
        <f t="shared" si="1"/>
        <v>0</v>
      </c>
      <c r="F34" s="1600">
        <f t="shared" si="1"/>
        <v>124</v>
      </c>
      <c r="G34" s="1600">
        <f t="shared" si="1"/>
        <v>0</v>
      </c>
      <c r="H34" s="1600">
        <f t="shared" si="1"/>
        <v>0</v>
      </c>
      <c r="I34" s="1600">
        <f t="shared" si="1"/>
        <v>0</v>
      </c>
      <c r="J34" s="1600">
        <f t="shared" si="1"/>
        <v>0</v>
      </c>
      <c r="K34" s="1600">
        <f t="shared" si="1"/>
        <v>0</v>
      </c>
      <c r="L34" s="1601">
        <f>SUM(L33)</f>
        <v>199670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1748370</v>
      </c>
    </row>
    <row r="37" spans="1:14" ht="13.5" thickBot="1" x14ac:dyDescent="0.25">
      <c r="A37" s="1426" t="s">
        <v>648</v>
      </c>
      <c r="B37" s="1429"/>
      <c r="C37" s="1582"/>
      <c r="D37" s="1582"/>
      <c r="E37" s="1582"/>
      <c r="F37" s="1582"/>
      <c r="G37" s="1582"/>
      <c r="H37" s="1582"/>
      <c r="I37" s="1582"/>
      <c r="J37" s="1582"/>
      <c r="K37" s="1582"/>
      <c r="L37" s="1585"/>
      <c r="M37" s="1575"/>
      <c r="N37" s="1594">
        <f>SUM(N36:N36)</f>
        <v>1748370</v>
      </c>
    </row>
    <row r="38" spans="1:14" s="307" customFormat="1" ht="13.5" customHeight="1" thickTop="1" x14ac:dyDescent="0.2">
      <c r="A38" s="438" t="s">
        <v>417</v>
      </c>
      <c r="B38" s="432">
        <v>714</v>
      </c>
      <c r="C38" s="1573">
        <v>2376</v>
      </c>
      <c r="D38" s="1573">
        <v>0</v>
      </c>
      <c r="E38" s="1573">
        <v>457129</v>
      </c>
      <c r="F38" s="1573">
        <v>0</v>
      </c>
      <c r="G38" s="1573">
        <v>251952</v>
      </c>
      <c r="H38" s="1573">
        <v>0</v>
      </c>
      <c r="I38" s="1573">
        <v>0</v>
      </c>
      <c r="J38" s="1574">
        <v>0</v>
      </c>
      <c r="K38" s="1573">
        <v>0</v>
      </c>
      <c r="L38" s="1586">
        <v>94505</v>
      </c>
      <c r="M38" s="1604"/>
      <c r="N38" s="1604"/>
    </row>
    <row r="39" spans="1:14" s="307" customFormat="1" ht="13.5" customHeight="1" x14ac:dyDescent="0.2">
      <c r="A39" s="438" t="s">
        <v>339</v>
      </c>
      <c r="B39" s="432">
        <v>730</v>
      </c>
      <c r="C39" s="1573">
        <v>3257841</v>
      </c>
      <c r="D39" s="1573">
        <v>949564</v>
      </c>
      <c r="E39" s="1573">
        <v>92221</v>
      </c>
      <c r="F39" s="1573">
        <v>264673</v>
      </c>
      <c r="G39" s="1573">
        <v>379105</v>
      </c>
      <c r="H39" s="1573">
        <v>453974</v>
      </c>
      <c r="I39" s="1573">
        <v>1277858</v>
      </c>
      <c r="J39" s="1574">
        <v>390514</v>
      </c>
      <c r="K39" s="1573">
        <v>439352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16424297</v>
      </c>
      <c r="N40" s="1604"/>
    </row>
    <row r="41" spans="1:14" ht="13.5" customHeight="1" thickBot="1" x14ac:dyDescent="0.25">
      <c r="A41" s="1426" t="s">
        <v>650</v>
      </c>
      <c r="B41" s="1405"/>
      <c r="C41" s="1594">
        <f>(SUM(C34,C37,C38,C39))</f>
        <v>3260249</v>
      </c>
      <c r="D41" s="1594">
        <f t="shared" ref="D41:L41" si="2">SUM(D34,D37,D38:D39)</f>
        <v>949564</v>
      </c>
      <c r="E41" s="1594">
        <f t="shared" si="2"/>
        <v>549350</v>
      </c>
      <c r="F41" s="1594">
        <f t="shared" si="2"/>
        <v>264797</v>
      </c>
      <c r="G41" s="1594">
        <f t="shared" si="2"/>
        <v>631057</v>
      </c>
      <c r="H41" s="1594">
        <f t="shared" si="2"/>
        <v>453974</v>
      </c>
      <c r="I41" s="1594">
        <f t="shared" si="2"/>
        <v>1277858</v>
      </c>
      <c r="J41" s="1594">
        <f t="shared" si="2"/>
        <v>390514</v>
      </c>
      <c r="K41" s="1594">
        <f t="shared" si="2"/>
        <v>439352</v>
      </c>
      <c r="L41" s="1594">
        <f t="shared" si="2"/>
        <v>294175</v>
      </c>
      <c r="M41" s="1594">
        <f>SUM(M40)</f>
        <v>16424297</v>
      </c>
      <c r="N41" s="1594">
        <f>SUM(N37)</f>
        <v>1748370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70" workbookViewId="0">
      <pane ySplit="2" topLeftCell="A3" activePane="bottomLeft" state="frozen"/>
      <selection activeCell="Q43" sqref="Q4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3567486</v>
      </c>
      <c r="D4" s="1606">
        <f>'Revenues 9-14'!D109</f>
        <v>640085</v>
      </c>
      <c r="E4" s="1606">
        <f>'Revenues 9-14'!E109</f>
        <v>883194</v>
      </c>
      <c r="F4" s="1606">
        <f>'Revenues 9-14'!F109</f>
        <v>248662</v>
      </c>
      <c r="G4" s="1606">
        <f>'Revenues 9-14'!G109</f>
        <v>422006</v>
      </c>
      <c r="H4" s="1606">
        <f>'Revenues 9-14'!H109</f>
        <v>510377</v>
      </c>
      <c r="I4" s="1606">
        <f>'Revenues 9-14'!I109</f>
        <v>75967</v>
      </c>
      <c r="J4" s="1606">
        <f>'Revenues 9-14'!J109</f>
        <v>755346</v>
      </c>
      <c r="K4" s="1606">
        <f>'Revenues 9-14'!K109</f>
        <v>66363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3998407</v>
      </c>
      <c r="D6" s="1607">
        <f>'Revenues 9-14'!D170</f>
        <v>0</v>
      </c>
      <c r="E6" s="1607">
        <f>'Revenues 9-14'!E170</f>
        <v>0</v>
      </c>
      <c r="F6" s="1607">
        <f>'Revenues 9-14'!F170</f>
        <v>713183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736957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8302850</v>
      </c>
      <c r="D8" s="1594">
        <f t="shared" ref="D8:K8" si="0">SUM(D4:D7)</f>
        <v>640085</v>
      </c>
      <c r="E8" s="1594">
        <f t="shared" si="0"/>
        <v>883194</v>
      </c>
      <c r="F8" s="1594">
        <f t="shared" si="0"/>
        <v>961845</v>
      </c>
      <c r="G8" s="1594">
        <f t="shared" si="0"/>
        <v>422006</v>
      </c>
      <c r="H8" s="1594">
        <f t="shared" si="0"/>
        <v>510377</v>
      </c>
      <c r="I8" s="1594">
        <f t="shared" si="0"/>
        <v>75967</v>
      </c>
      <c r="J8" s="1594">
        <f t="shared" si="0"/>
        <v>755346</v>
      </c>
      <c r="K8" s="1594">
        <f t="shared" si="0"/>
        <v>66363</v>
      </c>
      <c r="L8" s="325"/>
    </row>
    <row r="9" spans="1:13" ht="15.75" thickTop="1" x14ac:dyDescent="0.2">
      <c r="A9" s="449" t="s">
        <v>1634</v>
      </c>
      <c r="B9" s="450">
        <v>3998</v>
      </c>
      <c r="C9" s="1586">
        <v>3432441</v>
      </c>
      <c r="D9" s="1613"/>
      <c r="E9" s="1586"/>
      <c r="F9" s="1586"/>
      <c r="G9" s="1614"/>
      <c r="H9" s="1586"/>
      <c r="I9" s="1609" t="s">
        <v>1159</v>
      </c>
      <c r="J9" s="1583"/>
      <c r="K9" s="1586"/>
      <c r="L9" s="325"/>
    </row>
    <row r="10" spans="1:13" s="452" customFormat="1" ht="13.5" thickBot="1" x14ac:dyDescent="0.25">
      <c r="A10" s="1426" t="s">
        <v>1163</v>
      </c>
      <c r="B10" s="1407"/>
      <c r="C10" s="1594">
        <f>SUM(C8:C9)</f>
        <v>11735291</v>
      </c>
      <c r="D10" s="1594">
        <f t="shared" ref="D10:K10" si="1">SUM(D8:D9)</f>
        <v>640085</v>
      </c>
      <c r="E10" s="1594">
        <f t="shared" si="1"/>
        <v>883194</v>
      </c>
      <c r="F10" s="1594">
        <f t="shared" si="1"/>
        <v>961845</v>
      </c>
      <c r="G10" s="1594">
        <f t="shared" si="1"/>
        <v>422006</v>
      </c>
      <c r="H10" s="1594">
        <f t="shared" si="1"/>
        <v>510377</v>
      </c>
      <c r="I10" s="1594">
        <f t="shared" si="1"/>
        <v>75967</v>
      </c>
      <c r="J10" s="1594">
        <f t="shared" si="1"/>
        <v>755346</v>
      </c>
      <c r="K10" s="1594">
        <f t="shared" si="1"/>
        <v>66363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5312769</v>
      </c>
      <c r="D12" s="1616" t="s">
        <v>1159</v>
      </c>
      <c r="E12" s="1575" t="s">
        <v>1159</v>
      </c>
      <c r="F12" s="1575" t="s">
        <v>1159</v>
      </c>
      <c r="G12" s="1606">
        <f>'Expenditures 15-22'!K229</f>
        <v>128634</v>
      </c>
      <c r="H12" s="1617"/>
      <c r="I12" s="1575" t="s">
        <v>1159</v>
      </c>
      <c r="J12" s="1575" t="s">
        <v>1159</v>
      </c>
      <c r="K12" s="1617" t="s">
        <v>1159</v>
      </c>
      <c r="L12" s="325"/>
    </row>
    <row r="13" spans="1:13" ht="15.75" customHeight="1" x14ac:dyDescent="0.2">
      <c r="A13" s="1314" t="s">
        <v>454</v>
      </c>
      <c r="B13" s="1316">
        <v>2000</v>
      </c>
      <c r="C13" s="1607">
        <f>'Expenditures 15-22'!K74</f>
        <v>2325250</v>
      </c>
      <c r="D13" s="1607">
        <f>'Expenditures 15-22'!K129</f>
        <v>535781</v>
      </c>
      <c r="E13" s="1576" t="s">
        <v>1159</v>
      </c>
      <c r="F13" s="1607">
        <f>'Expenditures 15-22'!K184</f>
        <v>1012943</v>
      </c>
      <c r="G13" s="1607">
        <f>'Expenditures 15-22'!K279</f>
        <v>200589</v>
      </c>
      <c r="H13" s="1607">
        <f>'Expenditures 15-22'!K303</f>
        <v>1068170</v>
      </c>
      <c r="I13" s="1575" t="s">
        <v>1159</v>
      </c>
      <c r="J13" s="1607">
        <f>'Expenditures 15-22'!K330</f>
        <v>737114</v>
      </c>
      <c r="K13" s="1618">
        <f>'Expenditures 15-22'!K352</f>
        <v>0</v>
      </c>
      <c r="L13" s="325"/>
    </row>
    <row r="14" spans="1:13" ht="15.75" customHeight="1" x14ac:dyDescent="0.2">
      <c r="A14" s="1314" t="s">
        <v>446</v>
      </c>
      <c r="B14" s="1316">
        <v>3000</v>
      </c>
      <c r="C14" s="1607">
        <f>'Expenditures 15-22'!K75</f>
        <v>8987</v>
      </c>
      <c r="D14" s="1607">
        <f>'Expenditures 15-22'!K130</f>
        <v>0</v>
      </c>
      <c r="E14" s="1616" t="s">
        <v>1159</v>
      </c>
      <c r="F14" s="1607">
        <f>'Expenditures 15-22'!K185</f>
        <v>0</v>
      </c>
      <c r="G14" s="1607">
        <f>'Expenditures 15-22'!K280</f>
        <v>123</v>
      </c>
      <c r="H14" s="1612"/>
      <c r="I14" s="1575" t="s">
        <v>1159</v>
      </c>
      <c r="J14" s="1575" t="s">
        <v>1159</v>
      </c>
      <c r="K14" s="1612" t="s">
        <v>1159</v>
      </c>
      <c r="L14" s="325"/>
    </row>
    <row r="15" spans="1:13" ht="15.75" customHeight="1" x14ac:dyDescent="0.2">
      <c r="A15" s="1314" t="s">
        <v>107</v>
      </c>
      <c r="B15" s="1316">
        <v>4000</v>
      </c>
      <c r="C15" s="1607">
        <f>'Expenditures 15-22'!K102</f>
        <v>382028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876352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8029034</v>
      </c>
      <c r="D17" s="1594">
        <f t="shared" si="2"/>
        <v>535781</v>
      </c>
      <c r="E17" s="1594">
        <f t="shared" si="2"/>
        <v>876352</v>
      </c>
      <c r="F17" s="1594">
        <f t="shared" si="2"/>
        <v>1012943</v>
      </c>
      <c r="G17" s="1594">
        <f t="shared" si="2"/>
        <v>329346</v>
      </c>
      <c r="H17" s="1594">
        <f t="shared" si="2"/>
        <v>1068170</v>
      </c>
      <c r="I17" s="1575"/>
      <c r="J17" s="1594">
        <f>SUM(J12:J16)</f>
        <v>737114</v>
      </c>
      <c r="K17" s="1594">
        <f>SUM(K12:K16)</f>
        <v>0</v>
      </c>
      <c r="L17" s="325"/>
    </row>
    <row r="18" spans="1:12" ht="15" customHeight="1" thickTop="1" x14ac:dyDescent="0.2">
      <c r="A18" s="1430" t="s">
        <v>1635</v>
      </c>
      <c r="B18" s="1431">
        <v>4180</v>
      </c>
      <c r="C18" s="1606">
        <f t="shared" ref="C18:H18" si="3">C9</f>
        <v>3432441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11461475</v>
      </c>
      <c r="D19" s="1594">
        <f t="shared" si="4"/>
        <v>535781</v>
      </c>
      <c r="E19" s="1594">
        <f t="shared" si="4"/>
        <v>876352</v>
      </c>
      <c r="F19" s="1594">
        <f t="shared" si="4"/>
        <v>1012943</v>
      </c>
      <c r="G19" s="1594">
        <f t="shared" si="4"/>
        <v>329346</v>
      </c>
      <c r="H19" s="1594">
        <f t="shared" si="4"/>
        <v>1068170</v>
      </c>
      <c r="I19" s="1575"/>
      <c r="J19" s="1594">
        <f>SUM(J17:J18)</f>
        <v>737114</v>
      </c>
      <c r="K19" s="1594">
        <f>SUM(K17:K18)</f>
        <v>0</v>
      </c>
      <c r="L19" s="325"/>
    </row>
    <row r="20" spans="1:12" ht="16.5" thickTop="1" thickBot="1" x14ac:dyDescent="0.25">
      <c r="A20" s="2231" t="s">
        <v>1636</v>
      </c>
      <c r="B20" s="2232"/>
      <c r="C20" s="1622">
        <f>C8-C17</f>
        <v>273816</v>
      </c>
      <c r="D20" s="1622">
        <f t="shared" ref="D20:K20" si="5">D8-D17</f>
        <v>104304</v>
      </c>
      <c r="E20" s="1622">
        <f t="shared" si="5"/>
        <v>6842</v>
      </c>
      <c r="F20" s="1622">
        <f t="shared" si="5"/>
        <v>-51098</v>
      </c>
      <c r="G20" s="1622">
        <f t="shared" si="5"/>
        <v>92660</v>
      </c>
      <c r="H20" s="1622">
        <f t="shared" si="5"/>
        <v>-557793</v>
      </c>
      <c r="I20" s="1622">
        <f t="shared" si="5"/>
        <v>75967</v>
      </c>
      <c r="J20" s="1622">
        <f t="shared" si="5"/>
        <v>18232</v>
      </c>
      <c r="K20" s="1622">
        <f t="shared" si="5"/>
        <v>66363</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69196</v>
      </c>
      <c r="F37" s="1580"/>
      <c r="G37" s="1580"/>
      <c r="H37" s="1580"/>
      <c r="I37" s="1582"/>
      <c r="J37" s="1580"/>
      <c r="K37" s="1580"/>
      <c r="L37" s="453"/>
    </row>
    <row r="38" spans="1:12" s="433" customFormat="1" x14ac:dyDescent="0.2">
      <c r="A38" s="1260" t="s">
        <v>439</v>
      </c>
      <c r="B38" s="454">
        <v>7500</v>
      </c>
      <c r="C38" s="1582"/>
      <c r="D38" s="1582"/>
      <c r="E38" s="1607">
        <f>SUM(C58:D61,H58:H61)</f>
        <v>4657</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238730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238730</v>
      </c>
      <c r="D44" s="1624">
        <f t="shared" ref="D44:K44" si="6">SUM(D24:D43)</f>
        <v>0</v>
      </c>
      <c r="E44" s="1624">
        <f t="shared" si="6"/>
        <v>73853</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69196</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4657</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73853</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164877</v>
      </c>
      <c r="D77" s="1624">
        <f t="shared" si="8"/>
        <v>0</v>
      </c>
      <c r="E77" s="1624">
        <f t="shared" si="8"/>
        <v>73853</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438693</v>
      </c>
      <c r="D78" s="1629">
        <f t="shared" si="9"/>
        <v>104304</v>
      </c>
      <c r="E78" s="1629">
        <f t="shared" si="9"/>
        <v>80695</v>
      </c>
      <c r="F78" s="1629">
        <f t="shared" si="9"/>
        <v>-51098</v>
      </c>
      <c r="G78" s="1629">
        <f t="shared" si="9"/>
        <v>92660</v>
      </c>
      <c r="H78" s="1629">
        <f t="shared" si="9"/>
        <v>-557793</v>
      </c>
      <c r="I78" s="1629">
        <f t="shared" si="9"/>
        <v>75967</v>
      </c>
      <c r="J78" s="1629">
        <f t="shared" si="9"/>
        <v>18232</v>
      </c>
      <c r="K78" s="1629">
        <f t="shared" si="9"/>
        <v>66363</v>
      </c>
      <c r="L78" s="457"/>
    </row>
    <row r="79" spans="1:12" ht="13.5" thickTop="1" x14ac:dyDescent="0.2">
      <c r="A79" s="1844" t="str">
        <f>"Fund Balances - July 1, "&amp;'AFR20'!E2-1</f>
        <v>Fund Balances - July 1, 2019</v>
      </c>
      <c r="B79" s="458"/>
      <c r="C79" s="1583">
        <v>2821524</v>
      </c>
      <c r="D79" s="1583">
        <v>845260</v>
      </c>
      <c r="E79" s="1630">
        <v>468655</v>
      </c>
      <c r="F79" s="1630">
        <v>315771</v>
      </c>
      <c r="G79" s="1630">
        <v>538397</v>
      </c>
      <c r="H79" s="1630">
        <v>1011767</v>
      </c>
      <c r="I79" s="1630">
        <v>1201891</v>
      </c>
      <c r="J79" s="1630">
        <v>372282</v>
      </c>
      <c r="K79" s="1630">
        <v>372989</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3260217</v>
      </c>
      <c r="D81" s="1594">
        <f>SUM(D78:D80)</f>
        <v>949564</v>
      </c>
      <c r="E81" s="1594">
        <f t="shared" ref="E81:K81" si="10">SUM(E78:E80)</f>
        <v>549350</v>
      </c>
      <c r="F81" s="1594">
        <f t="shared" si="10"/>
        <v>264673</v>
      </c>
      <c r="G81" s="1594">
        <f t="shared" si="10"/>
        <v>631057</v>
      </c>
      <c r="H81" s="1594">
        <f t="shared" si="10"/>
        <v>453974</v>
      </c>
      <c r="I81" s="1594">
        <f t="shared" si="10"/>
        <v>1277858</v>
      </c>
      <c r="J81" s="1594">
        <f t="shared" si="10"/>
        <v>390514</v>
      </c>
      <c r="K81" s="1594">
        <f t="shared" si="10"/>
        <v>439352</v>
      </c>
      <c r="L81" s="325"/>
    </row>
    <row r="82" spans="1:12" ht="0.75" customHeight="1" thickTop="1" thickBot="1" x14ac:dyDescent="0.25">
      <c r="A82" s="459" t="s">
        <v>340</v>
      </c>
      <c r="B82" s="460"/>
      <c r="C82" s="461">
        <f>(C81-C79)</f>
        <v>438693</v>
      </c>
      <c r="D82" s="461">
        <f t="shared" ref="D82:K82" si="11">(D81-D79)</f>
        <v>104304</v>
      </c>
      <c r="E82" s="461">
        <f t="shared" si="11"/>
        <v>80695</v>
      </c>
      <c r="F82" s="461">
        <f t="shared" si="11"/>
        <v>-51098</v>
      </c>
      <c r="G82" s="461">
        <f t="shared" si="11"/>
        <v>92660</v>
      </c>
      <c r="H82" s="461">
        <f t="shared" si="11"/>
        <v>-557793</v>
      </c>
      <c r="I82" s="461">
        <f t="shared" si="11"/>
        <v>75967</v>
      </c>
      <c r="J82" s="461">
        <f t="shared" si="11"/>
        <v>18232</v>
      </c>
      <c r="K82" s="461">
        <f t="shared" si="11"/>
        <v>66363</v>
      </c>
    </row>
    <row r="83" spans="1:12" ht="14.25" hidden="1" thickTop="1" thickBot="1" x14ac:dyDescent="0.25">
      <c r="A83" s="462" t="s">
        <v>341</v>
      </c>
      <c r="B83" s="428"/>
      <c r="C83" s="463">
        <f>C82/C81</f>
        <v>0.13455944803674111</v>
      </c>
      <c r="D83" s="463">
        <f t="shared" ref="D83:K83" si="12">D82/D81</f>
        <v>0.10984409686972126</v>
      </c>
      <c r="E83" s="463">
        <f t="shared" si="12"/>
        <v>0.14689178119595886</v>
      </c>
      <c r="F83" s="463">
        <f t="shared" si="12"/>
        <v>-0.19306087133935082</v>
      </c>
      <c r="G83" s="463">
        <f t="shared" si="12"/>
        <v>0.14683301191493003</v>
      </c>
      <c r="H83" s="463">
        <f t="shared" si="12"/>
        <v>-1.2286893081982668</v>
      </c>
      <c r="I83" s="463">
        <f t="shared" si="12"/>
        <v>5.944870243798607E-2</v>
      </c>
      <c r="J83" s="463">
        <f t="shared" si="12"/>
        <v>4.6687186630953052E-2</v>
      </c>
      <c r="K83" s="463">
        <f t="shared" si="12"/>
        <v>0.15104745170159689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3" activePane="bottomLeft" state="frozen"/>
      <selection activeCell="Q43" sqref="Q4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2826239</v>
      </c>
      <c r="D5" s="1586">
        <v>614399</v>
      </c>
      <c r="E5" s="1573">
        <v>513955</v>
      </c>
      <c r="F5" s="1631">
        <v>245760</v>
      </c>
      <c r="G5" s="1573">
        <v>189795</v>
      </c>
      <c r="H5" s="1573">
        <v>0</v>
      </c>
      <c r="I5" s="1573">
        <v>61439</v>
      </c>
      <c r="J5" s="1574">
        <v>740609</v>
      </c>
      <c r="K5" s="1573">
        <v>61439</v>
      </c>
    </row>
    <row r="6" spans="1:12" ht="15" x14ac:dyDescent="0.2">
      <c r="A6" s="427" t="s">
        <v>1643</v>
      </c>
      <c r="B6" s="429">
        <v>1130</v>
      </c>
      <c r="C6" s="1573">
        <v>61439</v>
      </c>
      <c r="D6" s="1573">
        <v>0</v>
      </c>
      <c r="E6" s="1580"/>
      <c r="F6" s="1580"/>
      <c r="G6" s="1575"/>
      <c r="H6" s="1575"/>
      <c r="I6" s="1575"/>
      <c r="J6" s="1575"/>
      <c r="K6" s="1575"/>
    </row>
    <row r="7" spans="1:12" x14ac:dyDescent="0.2">
      <c r="A7" s="427" t="s">
        <v>110</v>
      </c>
      <c r="B7" s="471">
        <v>1140</v>
      </c>
      <c r="C7" s="1573">
        <v>49152</v>
      </c>
      <c r="D7" s="1573">
        <v>0</v>
      </c>
      <c r="E7" s="1575"/>
      <c r="F7" s="1574">
        <v>0</v>
      </c>
      <c r="G7" s="1574">
        <v>0</v>
      </c>
      <c r="H7" s="1574">
        <v>0</v>
      </c>
      <c r="I7" s="1575"/>
      <c r="J7" s="1575"/>
      <c r="K7" s="1575"/>
    </row>
    <row r="8" spans="1:12" x14ac:dyDescent="0.2">
      <c r="A8" s="427" t="s">
        <v>410</v>
      </c>
      <c r="B8" s="429">
        <v>1150</v>
      </c>
      <c r="C8" s="1580"/>
      <c r="D8" s="1580"/>
      <c r="E8" s="1582"/>
      <c r="F8" s="1582"/>
      <c r="G8" s="1586">
        <v>212923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2936830</v>
      </c>
      <c r="D12" s="1633">
        <f t="shared" si="0"/>
        <v>614399</v>
      </c>
      <c r="E12" s="1633">
        <f t="shared" si="0"/>
        <v>513955</v>
      </c>
      <c r="F12" s="1633">
        <f t="shared" si="0"/>
        <v>245760</v>
      </c>
      <c r="G12" s="1633">
        <f t="shared" si="0"/>
        <v>402718</v>
      </c>
      <c r="H12" s="1633">
        <f t="shared" si="0"/>
        <v>0</v>
      </c>
      <c r="I12" s="1633">
        <f t="shared" si="0"/>
        <v>61439</v>
      </c>
      <c r="J12" s="1633">
        <f t="shared" si="0"/>
        <v>740609</v>
      </c>
      <c r="K12" s="1594">
        <f t="shared" si="0"/>
        <v>61439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2483</v>
      </c>
      <c r="F14" s="1573">
        <v>0</v>
      </c>
      <c r="G14" s="1573">
        <v>2864</v>
      </c>
      <c r="H14" s="1573">
        <v>0</v>
      </c>
      <c r="I14" s="1573">
        <v>0</v>
      </c>
      <c r="J14" s="1574">
        <v>5261</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119634</v>
      </c>
      <c r="D16" s="1573">
        <v>0</v>
      </c>
      <c r="E16" s="1573">
        <v>0</v>
      </c>
      <c r="F16" s="1573">
        <v>0</v>
      </c>
      <c r="G16" s="1573">
        <v>7400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119634</v>
      </c>
      <c r="D18" s="1635">
        <f t="shared" ref="D18:K18" si="1">SUM(D14:D17)</f>
        <v>0</v>
      </c>
      <c r="E18" s="1635">
        <f t="shared" si="1"/>
        <v>2483</v>
      </c>
      <c r="F18" s="1635">
        <f t="shared" si="1"/>
        <v>0</v>
      </c>
      <c r="G18" s="1635">
        <f t="shared" si="1"/>
        <v>10264</v>
      </c>
      <c r="H18" s="1635">
        <f t="shared" si="1"/>
        <v>0</v>
      </c>
      <c r="I18" s="1635">
        <f t="shared" si="1"/>
        <v>0</v>
      </c>
      <c r="J18" s="1635">
        <f t="shared" si="1"/>
        <v>5261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52059</v>
      </c>
      <c r="D65" s="1573">
        <v>13686</v>
      </c>
      <c r="E65" s="1573">
        <v>7568</v>
      </c>
      <c r="F65" s="1574">
        <v>2176</v>
      </c>
      <c r="G65" s="1573">
        <v>9024</v>
      </c>
      <c r="H65" s="1573">
        <v>10377</v>
      </c>
      <c r="I65" s="1573">
        <v>14528</v>
      </c>
      <c r="J65" s="1574">
        <v>9476</v>
      </c>
      <c r="K65" s="1573">
        <v>4924</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52059</v>
      </c>
      <c r="D67" s="1594">
        <f t="shared" ref="D67:K67" si="2">SUM(D65:D66)</f>
        <v>13686</v>
      </c>
      <c r="E67" s="1594">
        <f t="shared" si="2"/>
        <v>7568</v>
      </c>
      <c r="F67" s="1594">
        <f t="shared" si="2"/>
        <v>2176</v>
      </c>
      <c r="G67" s="1594">
        <f t="shared" si="2"/>
        <v>9024</v>
      </c>
      <c r="H67" s="1594">
        <f t="shared" si="2"/>
        <v>10377</v>
      </c>
      <c r="I67" s="1594">
        <f t="shared" si="2"/>
        <v>14528</v>
      </c>
      <c r="J67" s="1594">
        <f t="shared" si="2"/>
        <v>9476</v>
      </c>
      <c r="K67" s="1594">
        <f t="shared" si="2"/>
        <v>4924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119118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418</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119536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45461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45461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70358</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70358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12727</v>
      </c>
      <c r="D95" s="1632">
        <v>12000</v>
      </c>
      <c r="E95" s="1617"/>
      <c r="F95" s="1617"/>
      <c r="G95" s="1617"/>
      <c r="H95" s="1617"/>
      <c r="I95" s="1617"/>
      <c r="J95" s="1617"/>
      <c r="K95" s="1617"/>
    </row>
    <row r="96" spans="1:11" ht="12.75" customHeight="1" x14ac:dyDescent="0.2">
      <c r="A96" s="427" t="s">
        <v>388</v>
      </c>
      <c r="B96" s="429">
        <v>1920</v>
      </c>
      <c r="C96" s="1632">
        <v>4530</v>
      </c>
      <c r="D96" s="1632">
        <v>0</v>
      </c>
      <c r="E96" s="1584">
        <v>0</v>
      </c>
      <c r="F96" s="1583">
        <v>0</v>
      </c>
      <c r="G96" s="1583">
        <v>0</v>
      </c>
      <c r="H96" s="1583">
        <v>500000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127565</v>
      </c>
      <c r="D98" s="1573">
        <v>0</v>
      </c>
      <c r="E98" s="1612"/>
      <c r="F98" s="1573">
        <v>0</v>
      </c>
      <c r="G98" s="1612"/>
      <c r="H98" s="1612"/>
      <c r="I98" s="1610"/>
      <c r="J98" s="1612"/>
      <c r="K98" s="1612"/>
    </row>
    <row r="99" spans="1:12" ht="12.75" customHeight="1" x14ac:dyDescent="0.2">
      <c r="A99" s="427" t="s">
        <v>816</v>
      </c>
      <c r="B99" s="429">
        <v>1950</v>
      </c>
      <c r="C99" s="1598">
        <v>45718</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4050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359188</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29018</v>
      </c>
      <c r="D107" s="1573">
        <v>0</v>
      </c>
      <c r="E107" s="1573">
        <v>0</v>
      </c>
      <c r="F107" s="1573">
        <v>726</v>
      </c>
      <c r="G107" s="1573">
        <v>0</v>
      </c>
      <c r="H107" s="1573">
        <v>0</v>
      </c>
      <c r="I107" s="1573">
        <v>0</v>
      </c>
      <c r="J107" s="1574">
        <v>0</v>
      </c>
      <c r="K107" s="1573">
        <v>0</v>
      </c>
    </row>
    <row r="108" spans="1:12" ht="12.75" customHeight="1" thickBot="1" x14ac:dyDescent="0.25">
      <c r="A108" s="1406" t="s">
        <v>484</v>
      </c>
      <c r="B108" s="1408"/>
      <c r="C108" s="1633">
        <f>SUM(C95:C107)</f>
        <v>223608</v>
      </c>
      <c r="D108" s="1633">
        <f t="shared" ref="D108:K108" si="3">SUM(D95:D107)</f>
        <v>12000</v>
      </c>
      <c r="E108" s="1633">
        <f t="shared" si="3"/>
        <v>359188</v>
      </c>
      <c r="F108" s="1633">
        <f t="shared" si="3"/>
        <v>726</v>
      </c>
      <c r="G108" s="1633">
        <f t="shared" si="3"/>
        <v>0</v>
      </c>
      <c r="H108" s="1633">
        <f t="shared" si="3"/>
        <v>500000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3567486</v>
      </c>
      <c r="D109" s="1641">
        <f t="shared" si="4"/>
        <v>640085</v>
      </c>
      <c r="E109" s="1641">
        <f t="shared" si="4"/>
        <v>883194</v>
      </c>
      <c r="F109" s="1641">
        <f t="shared" si="4"/>
        <v>248662</v>
      </c>
      <c r="G109" s="1641">
        <f t="shared" si="4"/>
        <v>422006</v>
      </c>
      <c r="H109" s="1641">
        <f t="shared" si="4"/>
        <v>510377</v>
      </c>
      <c r="I109" s="1641">
        <f t="shared" si="4"/>
        <v>75967</v>
      </c>
      <c r="J109" s="1641">
        <f t="shared" si="4"/>
        <v>755346</v>
      </c>
      <c r="K109" s="1629">
        <f t="shared" si="4"/>
        <v>66363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3734775</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3734775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16936</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28104</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45040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12024</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12024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3290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11631</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408015</v>
      </c>
      <c r="G152" s="1574">
        <v>0</v>
      </c>
      <c r="H152" s="1575"/>
      <c r="I152" s="1575"/>
      <c r="J152" s="1575"/>
      <c r="K152" s="1575"/>
    </row>
    <row r="153" spans="1:11" ht="12.75" customHeight="1" x14ac:dyDescent="0.2">
      <c r="A153" s="427" t="s">
        <v>1048</v>
      </c>
      <c r="B153" s="478">
        <v>3510</v>
      </c>
      <c r="C153" s="1632">
        <v>0</v>
      </c>
      <c r="D153" s="1573">
        <v>0</v>
      </c>
      <c r="E153" s="1640"/>
      <c r="F153" s="1573">
        <v>188929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596944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191647</v>
      </c>
      <c r="D159" s="1653">
        <v>0</v>
      </c>
      <c r="E159" s="1640"/>
      <c r="F159" s="1651">
        <v>116239</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263632</v>
      </c>
      <c r="D169" s="1658">
        <f t="shared" si="6"/>
        <v>0</v>
      </c>
      <c r="E169" s="1658">
        <f t="shared" si="6"/>
        <v>0</v>
      </c>
      <c r="F169" s="1658">
        <f t="shared" si="6"/>
        <v>713183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3998407</v>
      </c>
      <c r="D170" s="1641">
        <f t="shared" si="7"/>
        <v>0</v>
      </c>
      <c r="E170" s="1641">
        <f t="shared" si="7"/>
        <v>0</v>
      </c>
      <c r="F170" s="1641">
        <f t="shared" si="7"/>
        <v>713183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160983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62354</v>
      </c>
      <c r="D193" s="1575"/>
      <c r="E193" s="1640"/>
      <c r="F193" s="1575"/>
      <c r="G193" s="1664">
        <v>0</v>
      </c>
      <c r="H193" s="1575"/>
      <c r="I193" s="1575"/>
      <c r="J193" s="1575"/>
      <c r="K193" s="1575"/>
    </row>
    <row r="194" spans="1:11" ht="12.75" customHeight="1" x14ac:dyDescent="0.2">
      <c r="A194" s="427" t="s">
        <v>1434</v>
      </c>
      <c r="B194" s="429">
        <v>4225</v>
      </c>
      <c r="C194" s="1632">
        <v>155929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379266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278009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278009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3400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31860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19062</v>
      </c>
      <c r="D263" s="1651">
        <v>0</v>
      </c>
      <c r="E263" s="1575"/>
      <c r="F263" s="1651">
        <v>0</v>
      </c>
      <c r="G263" s="1651">
        <v>0</v>
      </c>
      <c r="H263" s="1575"/>
      <c r="I263" s="1575"/>
      <c r="J263" s="1575"/>
      <c r="K263" s="1575"/>
    </row>
    <row r="264" spans="1:11" ht="12.75" customHeight="1" thickTop="1" thickBot="1" x14ac:dyDescent="0.25">
      <c r="A264" s="427" t="s">
        <v>374</v>
      </c>
      <c r="B264" s="429">
        <v>4992</v>
      </c>
      <c r="C264" s="1650">
        <v>25360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736957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736957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8302850</v>
      </c>
      <c r="D268" s="1641">
        <f t="shared" si="12"/>
        <v>640085</v>
      </c>
      <c r="E268" s="1641">
        <f t="shared" si="12"/>
        <v>883194</v>
      </c>
      <c r="F268" s="1641">
        <f t="shared" si="12"/>
        <v>961845</v>
      </c>
      <c r="G268" s="1641">
        <f t="shared" si="12"/>
        <v>422006</v>
      </c>
      <c r="H268" s="1641">
        <f t="shared" si="12"/>
        <v>510377</v>
      </c>
      <c r="I268" s="1641">
        <f t="shared" si="12"/>
        <v>75967</v>
      </c>
      <c r="J268" s="1641">
        <f t="shared" si="12"/>
        <v>755346</v>
      </c>
      <c r="K268" s="1629">
        <f t="shared" si="12"/>
        <v>66363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Q43" sqref="Q4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2684559</v>
      </c>
      <c r="D5" s="1573">
        <v>476722</v>
      </c>
      <c r="E5" s="1573">
        <v>121407</v>
      </c>
      <c r="F5" s="1573">
        <v>145501</v>
      </c>
      <c r="G5" s="1573">
        <v>238730</v>
      </c>
      <c r="H5" s="1573">
        <v>0</v>
      </c>
      <c r="I5" s="1574">
        <v>0</v>
      </c>
      <c r="J5" s="1574">
        <v>0</v>
      </c>
      <c r="K5" s="1672">
        <f>SUM(C5:J5)</f>
        <v>3666919</v>
      </c>
      <c r="L5" s="1573">
        <v>3483100</v>
      </c>
    </row>
    <row r="6" spans="1:14" x14ac:dyDescent="0.2">
      <c r="A6" s="1274" t="s">
        <v>1416</v>
      </c>
      <c r="B6" s="503" t="s">
        <v>1414</v>
      </c>
      <c r="C6" s="1582"/>
      <c r="D6" s="1582"/>
      <c r="E6" s="1573">
        <v>0</v>
      </c>
      <c r="F6" s="1582"/>
      <c r="G6" s="1582"/>
      <c r="H6" s="1582"/>
      <c r="I6" s="1582"/>
      <c r="J6" s="1582"/>
      <c r="K6" s="1672">
        <f>SUM(C6,E6)</f>
        <v>0</v>
      </c>
      <c r="L6" s="1573">
        <v>2500</v>
      </c>
    </row>
    <row r="7" spans="1:14" x14ac:dyDescent="0.2">
      <c r="A7" s="1274" t="s">
        <v>162</v>
      </c>
      <c r="B7" s="503" t="s">
        <v>961</v>
      </c>
      <c r="C7" s="1574">
        <v>142643</v>
      </c>
      <c r="D7" s="1574">
        <v>47329</v>
      </c>
      <c r="E7" s="1574">
        <v>1595</v>
      </c>
      <c r="F7" s="1574">
        <v>10540</v>
      </c>
      <c r="G7" s="1574">
        <v>0</v>
      </c>
      <c r="H7" s="1574">
        <v>0</v>
      </c>
      <c r="I7" s="1574">
        <v>0</v>
      </c>
      <c r="J7" s="1574">
        <v>0</v>
      </c>
      <c r="K7" s="1672">
        <f t="shared" ref="K7:K32" si="0">SUM(C7:J7)</f>
        <v>202107</v>
      </c>
      <c r="L7" s="1573">
        <v>176949</v>
      </c>
    </row>
    <row r="8" spans="1:14" x14ac:dyDescent="0.2">
      <c r="A8" s="1274" t="s">
        <v>163</v>
      </c>
      <c r="B8" s="503">
        <v>1200</v>
      </c>
      <c r="C8" s="1573">
        <v>774353</v>
      </c>
      <c r="D8" s="1573">
        <v>260040</v>
      </c>
      <c r="E8" s="1573">
        <v>5270</v>
      </c>
      <c r="F8" s="1573">
        <v>2837</v>
      </c>
      <c r="G8" s="1573">
        <v>0</v>
      </c>
      <c r="H8" s="1573">
        <v>0</v>
      </c>
      <c r="I8" s="1574">
        <v>0</v>
      </c>
      <c r="J8" s="1574">
        <v>0</v>
      </c>
      <c r="K8" s="1672">
        <f t="shared" si="0"/>
        <v>1042500</v>
      </c>
      <c r="L8" s="1573">
        <v>1200289</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170557</v>
      </c>
      <c r="D14" s="1573">
        <v>4240</v>
      </c>
      <c r="E14" s="1573">
        <v>39892</v>
      </c>
      <c r="F14" s="1573">
        <v>83634</v>
      </c>
      <c r="G14" s="1573">
        <v>0</v>
      </c>
      <c r="H14" s="1573">
        <v>0</v>
      </c>
      <c r="I14" s="1574">
        <v>0</v>
      </c>
      <c r="J14" s="1574">
        <v>0</v>
      </c>
      <c r="K14" s="1672">
        <f t="shared" si="0"/>
        <v>298323</v>
      </c>
      <c r="L14" s="1573">
        <v>244307</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21818</v>
      </c>
      <c r="D17" s="1574">
        <v>25</v>
      </c>
      <c r="E17" s="1574">
        <v>1630</v>
      </c>
      <c r="F17" s="1574">
        <v>0</v>
      </c>
      <c r="G17" s="1574">
        <v>0</v>
      </c>
      <c r="H17" s="1574">
        <v>0</v>
      </c>
      <c r="I17" s="1574">
        <v>0</v>
      </c>
      <c r="J17" s="1574">
        <v>0</v>
      </c>
      <c r="K17" s="1672">
        <f t="shared" si="0"/>
        <v>23473</v>
      </c>
      <c r="L17" s="1573">
        <v>31500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79447</v>
      </c>
      <c r="I22" s="1673"/>
      <c r="J22" s="1582"/>
      <c r="K22" s="1672">
        <f t="shared" si="0"/>
        <v>79447</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3793930</v>
      </c>
      <c r="D33" s="1674">
        <f t="shared" ref="D33:L33" si="1">SUM(D5:D32)</f>
        <v>788356</v>
      </c>
      <c r="E33" s="1674">
        <f t="shared" si="1"/>
        <v>169794</v>
      </c>
      <c r="F33" s="1674">
        <f t="shared" si="1"/>
        <v>242512</v>
      </c>
      <c r="G33" s="1674">
        <f t="shared" si="1"/>
        <v>238730</v>
      </c>
      <c r="H33" s="1674">
        <f t="shared" si="1"/>
        <v>79447</v>
      </c>
      <c r="I33" s="1674">
        <f t="shared" si="1"/>
        <v>0</v>
      </c>
      <c r="J33" s="1674">
        <f t="shared" si="1"/>
        <v>0</v>
      </c>
      <c r="K33" s="1674">
        <f t="shared" si="1"/>
        <v>5312769</v>
      </c>
      <c r="L33" s="1674">
        <f t="shared" si="1"/>
        <v>5138645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50000</v>
      </c>
    </row>
    <row r="37" spans="1:14" x14ac:dyDescent="0.2">
      <c r="A37" s="1274" t="s">
        <v>1081</v>
      </c>
      <c r="B37" s="503">
        <v>2120</v>
      </c>
      <c r="C37" s="1573">
        <v>78936</v>
      </c>
      <c r="D37" s="1573">
        <v>21870</v>
      </c>
      <c r="E37" s="1573">
        <v>491</v>
      </c>
      <c r="F37" s="1573">
        <v>240</v>
      </c>
      <c r="G37" s="1573">
        <v>0</v>
      </c>
      <c r="H37" s="1573">
        <v>0</v>
      </c>
      <c r="I37" s="1574">
        <v>0</v>
      </c>
      <c r="J37" s="1574">
        <v>0</v>
      </c>
      <c r="K37" s="1672">
        <f t="shared" si="2"/>
        <v>101537</v>
      </c>
      <c r="L37" s="1573">
        <v>116860</v>
      </c>
    </row>
    <row r="38" spans="1:14" x14ac:dyDescent="0.2">
      <c r="A38" s="1274" t="s">
        <v>196</v>
      </c>
      <c r="B38" s="503">
        <v>2130</v>
      </c>
      <c r="C38" s="1573">
        <v>27783</v>
      </c>
      <c r="D38" s="1573">
        <v>1750</v>
      </c>
      <c r="E38" s="1573">
        <v>6502</v>
      </c>
      <c r="F38" s="1573">
        <v>3087</v>
      </c>
      <c r="G38" s="1573">
        <v>0</v>
      </c>
      <c r="H38" s="1573">
        <v>0</v>
      </c>
      <c r="I38" s="1573">
        <v>0</v>
      </c>
      <c r="J38" s="1573">
        <v>0</v>
      </c>
      <c r="K38" s="1672">
        <f t="shared" si="2"/>
        <v>39122</v>
      </c>
      <c r="L38" s="1573">
        <v>26648</v>
      </c>
    </row>
    <row r="39" spans="1:14" x14ac:dyDescent="0.2">
      <c r="A39" s="1274" t="s">
        <v>197</v>
      </c>
      <c r="B39" s="503">
        <v>2140</v>
      </c>
      <c r="C39" s="1573">
        <v>71132</v>
      </c>
      <c r="D39" s="1573">
        <v>9947</v>
      </c>
      <c r="E39" s="1573">
        <v>134</v>
      </c>
      <c r="F39" s="1573">
        <v>730</v>
      </c>
      <c r="G39" s="1573">
        <v>0</v>
      </c>
      <c r="H39" s="1573">
        <v>0</v>
      </c>
      <c r="I39" s="1574">
        <v>0</v>
      </c>
      <c r="J39" s="1574">
        <v>0</v>
      </c>
      <c r="K39" s="1672">
        <f t="shared" si="2"/>
        <v>81943</v>
      </c>
      <c r="L39" s="1573">
        <v>82831</v>
      </c>
    </row>
    <row r="40" spans="1:14" x14ac:dyDescent="0.2">
      <c r="A40" s="1274" t="s">
        <v>198</v>
      </c>
      <c r="B40" s="503">
        <v>2150</v>
      </c>
      <c r="C40" s="1573">
        <v>156427</v>
      </c>
      <c r="D40" s="1573">
        <v>30591</v>
      </c>
      <c r="E40" s="1573">
        <v>781</v>
      </c>
      <c r="F40" s="1573">
        <v>527</v>
      </c>
      <c r="G40" s="1573">
        <v>0</v>
      </c>
      <c r="H40" s="1573">
        <v>0</v>
      </c>
      <c r="I40" s="1574">
        <v>0</v>
      </c>
      <c r="J40" s="1574">
        <v>0</v>
      </c>
      <c r="K40" s="1672">
        <f t="shared" si="2"/>
        <v>188326</v>
      </c>
      <c r="L40" s="1573">
        <v>192120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17000</v>
      </c>
    </row>
    <row r="42" spans="1:14" ht="12.75" customHeight="1" thickBot="1" x14ac:dyDescent="0.25">
      <c r="A42" s="1380" t="s">
        <v>556</v>
      </c>
      <c r="B42" s="1381" t="s">
        <v>711</v>
      </c>
      <c r="C42" s="1674">
        <f>SUM(C36:C41)</f>
        <v>334278</v>
      </c>
      <c r="D42" s="1674">
        <f t="shared" ref="D42:L42" si="3">SUM(D36:D41)</f>
        <v>64158</v>
      </c>
      <c r="E42" s="1674">
        <f t="shared" si="3"/>
        <v>7908</v>
      </c>
      <c r="F42" s="1674">
        <f t="shared" si="3"/>
        <v>4584</v>
      </c>
      <c r="G42" s="1674">
        <f t="shared" si="3"/>
        <v>0</v>
      </c>
      <c r="H42" s="1674">
        <f t="shared" si="3"/>
        <v>0</v>
      </c>
      <c r="I42" s="1674">
        <f t="shared" si="3"/>
        <v>0</v>
      </c>
      <c r="J42" s="1674">
        <f t="shared" si="3"/>
        <v>0</v>
      </c>
      <c r="K42" s="1674">
        <f t="shared" si="3"/>
        <v>410928</v>
      </c>
      <c r="L42" s="1674">
        <f t="shared" si="3"/>
        <v>485459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106701</v>
      </c>
      <c r="F44" s="1586">
        <v>0</v>
      </c>
      <c r="G44" s="1586">
        <v>0</v>
      </c>
      <c r="H44" s="1586">
        <v>0</v>
      </c>
      <c r="I44" s="1574">
        <v>0</v>
      </c>
      <c r="J44" s="1574">
        <v>0</v>
      </c>
      <c r="K44" s="1678">
        <f>SUM(C44:J44)</f>
        <v>106701</v>
      </c>
      <c r="L44" s="1586">
        <v>106000</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35141</v>
      </c>
    </row>
    <row r="47" spans="1:14" ht="12.75" customHeight="1" thickBot="1" x14ac:dyDescent="0.25">
      <c r="A47" s="1380" t="s">
        <v>557</v>
      </c>
      <c r="B47" s="1381" t="s">
        <v>32</v>
      </c>
      <c r="C47" s="1674">
        <f>SUM(C44:C46)</f>
        <v>0</v>
      </c>
      <c r="D47" s="1674">
        <f t="shared" ref="D47:K47" si="4">SUM(D44:D46)</f>
        <v>0</v>
      </c>
      <c r="E47" s="1674">
        <f t="shared" si="4"/>
        <v>106701</v>
      </c>
      <c r="F47" s="1674">
        <f t="shared" si="4"/>
        <v>0</v>
      </c>
      <c r="G47" s="1674">
        <f t="shared" si="4"/>
        <v>0</v>
      </c>
      <c r="H47" s="1674">
        <f t="shared" si="4"/>
        <v>0</v>
      </c>
      <c r="I47" s="1674">
        <f t="shared" si="4"/>
        <v>0</v>
      </c>
      <c r="J47" s="1674">
        <f t="shared" si="4"/>
        <v>0</v>
      </c>
      <c r="K47" s="1674">
        <f t="shared" si="4"/>
        <v>106701</v>
      </c>
      <c r="L47" s="1674">
        <f>SUM(L44:L46)</f>
        <v>141141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2695</v>
      </c>
      <c r="D49" s="1586">
        <v>1</v>
      </c>
      <c r="E49" s="1586">
        <v>33005</v>
      </c>
      <c r="F49" s="1586">
        <v>1545</v>
      </c>
      <c r="G49" s="1586">
        <v>0</v>
      </c>
      <c r="H49" s="1586">
        <v>0</v>
      </c>
      <c r="I49" s="1574">
        <v>0</v>
      </c>
      <c r="J49" s="1574">
        <v>0</v>
      </c>
      <c r="K49" s="1678">
        <f>SUM(C49:J49)</f>
        <v>37246</v>
      </c>
      <c r="L49" s="1586">
        <v>21500</v>
      </c>
    </row>
    <row r="50" spans="1:14" x14ac:dyDescent="0.2">
      <c r="A50" s="1274" t="s">
        <v>813</v>
      </c>
      <c r="B50" s="503">
        <v>2320</v>
      </c>
      <c r="C50" s="1574">
        <v>222729</v>
      </c>
      <c r="D50" s="1573">
        <v>45022</v>
      </c>
      <c r="E50" s="1573">
        <v>15957</v>
      </c>
      <c r="F50" s="1573">
        <v>33253</v>
      </c>
      <c r="G50" s="1573">
        <v>0</v>
      </c>
      <c r="H50" s="1573">
        <v>1906</v>
      </c>
      <c r="I50" s="1574">
        <v>0</v>
      </c>
      <c r="J50" s="1574">
        <v>0</v>
      </c>
      <c r="K50" s="1678">
        <f>SUM(C50:J50)</f>
        <v>318867</v>
      </c>
      <c r="L50" s="1573">
        <v>286542</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225424</v>
      </c>
      <c r="D53" s="1674">
        <f t="shared" ref="D53:L53" si="5">SUM(D49:D52)</f>
        <v>45023</v>
      </c>
      <c r="E53" s="1674">
        <f t="shared" si="5"/>
        <v>48962</v>
      </c>
      <c r="F53" s="1674">
        <f t="shared" si="5"/>
        <v>34798</v>
      </c>
      <c r="G53" s="1674">
        <f t="shared" si="5"/>
        <v>0</v>
      </c>
      <c r="H53" s="1674">
        <f t="shared" si="5"/>
        <v>1906</v>
      </c>
      <c r="I53" s="1674">
        <f t="shared" si="5"/>
        <v>0</v>
      </c>
      <c r="J53" s="1674">
        <f t="shared" si="5"/>
        <v>0</v>
      </c>
      <c r="K53" s="1674">
        <f t="shared" si="5"/>
        <v>356113</v>
      </c>
      <c r="L53" s="1674">
        <f t="shared" si="5"/>
        <v>308042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456671</v>
      </c>
      <c r="D55" s="1586">
        <v>97538</v>
      </c>
      <c r="E55" s="1586">
        <v>199</v>
      </c>
      <c r="F55" s="1586">
        <v>0</v>
      </c>
      <c r="G55" s="1586">
        <v>0</v>
      </c>
      <c r="H55" s="1586">
        <v>1685</v>
      </c>
      <c r="I55" s="1574">
        <v>0</v>
      </c>
      <c r="J55" s="1574">
        <v>0</v>
      </c>
      <c r="K55" s="1678">
        <f>SUM(C55:J55)</f>
        <v>556093</v>
      </c>
      <c r="L55" s="1586">
        <v>570755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456671</v>
      </c>
      <c r="D57" s="1679">
        <f t="shared" ref="D57:K57" si="6">SUM(D55:D56)</f>
        <v>97538</v>
      </c>
      <c r="E57" s="1679">
        <f t="shared" si="6"/>
        <v>199</v>
      </c>
      <c r="F57" s="1679">
        <f t="shared" si="6"/>
        <v>0</v>
      </c>
      <c r="G57" s="1679">
        <f t="shared" si="6"/>
        <v>0</v>
      </c>
      <c r="H57" s="1679">
        <f t="shared" si="6"/>
        <v>1685</v>
      </c>
      <c r="I57" s="1679">
        <f t="shared" si="6"/>
        <v>0</v>
      </c>
      <c r="J57" s="1679">
        <f t="shared" si="6"/>
        <v>0</v>
      </c>
      <c r="K57" s="1679">
        <f t="shared" si="6"/>
        <v>556093</v>
      </c>
      <c r="L57" s="1674">
        <f>SUM(L55:L56)</f>
        <v>570755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83404</v>
      </c>
      <c r="D60" s="1573">
        <v>29621</v>
      </c>
      <c r="E60" s="1573">
        <v>0</v>
      </c>
      <c r="F60" s="1573">
        <v>0</v>
      </c>
      <c r="G60" s="1573">
        <v>0</v>
      </c>
      <c r="H60" s="1573">
        <v>0</v>
      </c>
      <c r="I60" s="1574">
        <v>0</v>
      </c>
      <c r="J60" s="1574">
        <v>0</v>
      </c>
      <c r="K60" s="1678">
        <f t="shared" si="7"/>
        <v>113025</v>
      </c>
      <c r="L60" s="1573">
        <v>118747</v>
      </c>
      <c r="M60" s="501"/>
      <c r="N60" s="501"/>
    </row>
    <row r="61" spans="1:14" s="321" customFormat="1" x14ac:dyDescent="0.2">
      <c r="A61" s="1274" t="s">
        <v>195</v>
      </c>
      <c r="B61" s="503">
        <v>2540</v>
      </c>
      <c r="C61" s="1573">
        <v>0</v>
      </c>
      <c r="D61" s="1573">
        <v>0</v>
      </c>
      <c r="E61" s="1573">
        <v>0</v>
      </c>
      <c r="F61" s="1573">
        <v>238812</v>
      </c>
      <c r="G61" s="1573">
        <v>0</v>
      </c>
      <c r="H61" s="1573">
        <v>0</v>
      </c>
      <c r="I61" s="1574">
        <v>0</v>
      </c>
      <c r="J61" s="1574">
        <v>0</v>
      </c>
      <c r="K61" s="1678">
        <f t="shared" si="7"/>
        <v>238812</v>
      </c>
      <c r="L61" s="1573">
        <v>230100</v>
      </c>
      <c r="M61" s="501"/>
      <c r="N61" s="501"/>
    </row>
    <row r="62" spans="1:14" s="321" customFormat="1" x14ac:dyDescent="0.2">
      <c r="A62" s="1274" t="s">
        <v>947</v>
      </c>
      <c r="B62" s="503">
        <v>2550</v>
      </c>
      <c r="C62" s="1573">
        <v>0</v>
      </c>
      <c r="D62" s="1573">
        <v>0</v>
      </c>
      <c r="E62" s="1573">
        <v>0</v>
      </c>
      <c r="F62" s="1573">
        <v>6802</v>
      </c>
      <c r="G62" s="1573">
        <v>0</v>
      </c>
      <c r="H62" s="1573">
        <v>0</v>
      </c>
      <c r="I62" s="1574">
        <v>0</v>
      </c>
      <c r="J62" s="1574">
        <v>0</v>
      </c>
      <c r="K62" s="1678">
        <f t="shared" si="7"/>
        <v>6802</v>
      </c>
      <c r="L62" s="1573">
        <v>35720</v>
      </c>
      <c r="M62" s="501"/>
      <c r="N62" s="501"/>
    </row>
    <row r="63" spans="1:14" s="501" customFormat="1" x14ac:dyDescent="0.2">
      <c r="A63" s="1274" t="s">
        <v>100</v>
      </c>
      <c r="B63" s="503">
        <v>2560</v>
      </c>
      <c r="C63" s="1573">
        <v>16160</v>
      </c>
      <c r="D63" s="1573">
        <v>3341</v>
      </c>
      <c r="E63" s="1573">
        <v>337522</v>
      </c>
      <c r="F63" s="1573">
        <v>26732</v>
      </c>
      <c r="G63" s="1573">
        <v>9233</v>
      </c>
      <c r="H63" s="1573">
        <v>0</v>
      </c>
      <c r="I63" s="1574">
        <v>0</v>
      </c>
      <c r="J63" s="1574">
        <v>0</v>
      </c>
      <c r="K63" s="1678">
        <f t="shared" si="7"/>
        <v>392988</v>
      </c>
      <c r="L63" s="1573">
        <v>399335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99564</v>
      </c>
      <c r="D65" s="1674">
        <f t="shared" ref="D65:L65" si="8">SUM(D59:D64)</f>
        <v>32962</v>
      </c>
      <c r="E65" s="1674">
        <f t="shared" si="8"/>
        <v>337522</v>
      </c>
      <c r="F65" s="1674">
        <f t="shared" si="8"/>
        <v>272346</v>
      </c>
      <c r="G65" s="1674">
        <f t="shared" si="8"/>
        <v>9233</v>
      </c>
      <c r="H65" s="1674">
        <f t="shared" si="8"/>
        <v>0</v>
      </c>
      <c r="I65" s="1674">
        <f t="shared" si="8"/>
        <v>0</v>
      </c>
      <c r="J65" s="1674">
        <f t="shared" si="8"/>
        <v>0</v>
      </c>
      <c r="K65" s="1674">
        <f t="shared" si="8"/>
        <v>751627</v>
      </c>
      <c r="L65" s="1674">
        <f t="shared" si="8"/>
        <v>783902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71369</v>
      </c>
      <c r="D71" s="1573">
        <v>8845</v>
      </c>
      <c r="E71" s="1573">
        <v>0</v>
      </c>
      <c r="F71" s="1573">
        <v>63574</v>
      </c>
      <c r="G71" s="1573">
        <v>0</v>
      </c>
      <c r="H71" s="1573">
        <v>0</v>
      </c>
      <c r="I71" s="1574">
        <v>0</v>
      </c>
      <c r="J71" s="1574">
        <v>0</v>
      </c>
      <c r="K71" s="1678">
        <f>SUM(C71:J71)</f>
        <v>143788</v>
      </c>
      <c r="L71" s="1573">
        <v>181681</v>
      </c>
      <c r="M71" s="501"/>
      <c r="N71" s="501"/>
    </row>
    <row r="72" spans="1:14" s="321" customFormat="1" ht="12.75" customHeight="1" thickBot="1" x14ac:dyDescent="0.25">
      <c r="A72" s="1380" t="s">
        <v>37</v>
      </c>
      <c r="B72" s="1383" t="s">
        <v>36</v>
      </c>
      <c r="C72" s="1674">
        <f>SUM(C67:C71)</f>
        <v>71369</v>
      </c>
      <c r="D72" s="1674">
        <f t="shared" ref="D72:K72" si="9">SUM(D67:D71)</f>
        <v>8845</v>
      </c>
      <c r="E72" s="1674">
        <f t="shared" si="9"/>
        <v>0</v>
      </c>
      <c r="F72" s="1674">
        <f t="shared" si="9"/>
        <v>63574</v>
      </c>
      <c r="G72" s="1674">
        <f t="shared" si="9"/>
        <v>0</v>
      </c>
      <c r="H72" s="1674">
        <f t="shared" si="9"/>
        <v>0</v>
      </c>
      <c r="I72" s="1674">
        <f t="shared" si="9"/>
        <v>0</v>
      </c>
      <c r="J72" s="1674">
        <f t="shared" si="9"/>
        <v>0</v>
      </c>
      <c r="K72" s="1674">
        <f t="shared" si="9"/>
        <v>143788</v>
      </c>
      <c r="L72" s="1674">
        <f>SUM(L67:L71)</f>
        <v>181681</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1187306</v>
      </c>
      <c r="D74" s="1681">
        <f t="shared" ref="D74:K74" si="10">SUM(D42,D47,D53,D57,D65,D72,D73)</f>
        <v>248526</v>
      </c>
      <c r="E74" s="1681">
        <f t="shared" si="10"/>
        <v>501292</v>
      </c>
      <c r="F74" s="1681">
        <f t="shared" si="10"/>
        <v>375302</v>
      </c>
      <c r="G74" s="1681">
        <f t="shared" si="10"/>
        <v>9233</v>
      </c>
      <c r="H74" s="1681">
        <f t="shared" si="10"/>
        <v>3591</v>
      </c>
      <c r="I74" s="1681">
        <f t="shared" si="10"/>
        <v>0</v>
      </c>
      <c r="J74" s="1681">
        <f t="shared" si="10"/>
        <v>0</v>
      </c>
      <c r="K74" s="1681">
        <f t="shared" si="10"/>
        <v>2325250</v>
      </c>
      <c r="L74" s="1681">
        <f>SUM(L42,L47,L53,L57,L65,L72,L73)</f>
        <v>2470980</v>
      </c>
    </row>
    <row r="75" spans="1:14" s="254" customFormat="1" ht="15.75" customHeight="1" thickTop="1" thickBot="1" x14ac:dyDescent="0.25">
      <c r="A75" s="1348" t="s">
        <v>47</v>
      </c>
      <c r="B75" s="1349" t="s">
        <v>571</v>
      </c>
      <c r="C75" s="1649">
        <v>1900</v>
      </c>
      <c r="D75" s="1649">
        <v>180</v>
      </c>
      <c r="E75" s="1649">
        <v>1566</v>
      </c>
      <c r="F75" s="1649">
        <v>5341</v>
      </c>
      <c r="G75" s="1649">
        <v>0</v>
      </c>
      <c r="H75" s="1649">
        <v>0</v>
      </c>
      <c r="I75" s="1627">
        <v>0</v>
      </c>
      <c r="J75" s="1627">
        <v>0</v>
      </c>
      <c r="K75" s="1674">
        <f>SUM(C75:J75)</f>
        <v>8987</v>
      </c>
      <c r="L75" s="1651">
        <v>10113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256694</v>
      </c>
      <c r="F79" s="1673"/>
      <c r="G79" s="1673"/>
      <c r="H79" s="1573">
        <v>0</v>
      </c>
      <c r="I79" s="1582"/>
      <c r="J79" s="1582"/>
      <c r="K79" s="1672">
        <f t="shared" si="11"/>
        <v>256694</v>
      </c>
      <c r="L79" s="1573">
        <v>160000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256694</v>
      </c>
      <c r="F84" s="1673"/>
      <c r="G84" s="1673"/>
      <c r="H84" s="1674">
        <f>SUM(H78:H83)</f>
        <v>0</v>
      </c>
      <c r="I84" s="1582"/>
      <c r="J84" s="1582"/>
      <c r="K84" s="1674">
        <f>SUM(K78:K83)</f>
        <v>256694</v>
      </c>
      <c r="L84" s="1674">
        <f>SUM(L78:L83)</f>
        <v>160000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125334</v>
      </c>
      <c r="I86" s="1582"/>
      <c r="J86" s="1582"/>
      <c r="K86" s="1681">
        <f t="shared" ref="K86:K98" si="12">H86</f>
        <v>125334</v>
      </c>
      <c r="L86" s="1626">
        <v>120000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125334</v>
      </c>
      <c r="I92" s="1582"/>
      <c r="J92" s="1582"/>
      <c r="K92" s="1681">
        <f t="shared" si="12"/>
        <v>125334</v>
      </c>
      <c r="L92" s="1674">
        <f>SUM(L85:L91)</f>
        <v>120000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256694</v>
      </c>
      <c r="F102" s="1673"/>
      <c r="G102" s="1673"/>
      <c r="H102" s="1681">
        <f>SUM(H84,H92,H100,H101)</f>
        <v>125334</v>
      </c>
      <c r="I102" s="1582"/>
      <c r="J102" s="1582"/>
      <c r="K102" s="1681">
        <f>SUM(K84,K92,K100,K101)</f>
        <v>382028</v>
      </c>
      <c r="L102" s="1681">
        <f>SUM(L84,L92,L100,L101)</f>
        <v>280000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4983136</v>
      </c>
      <c r="D114" s="1674">
        <f t="shared" ref="D114:K114" si="13">SUM(D33,D74,D75,D102,D112,D113)</f>
        <v>1037062</v>
      </c>
      <c r="E114" s="1674">
        <f t="shared" si="13"/>
        <v>929346</v>
      </c>
      <c r="F114" s="1674">
        <f t="shared" si="13"/>
        <v>623155</v>
      </c>
      <c r="G114" s="1674">
        <f t="shared" si="13"/>
        <v>247963</v>
      </c>
      <c r="H114" s="1674">
        <f>SUM(H33,H74,H75,H102,H112,H113)</f>
        <v>208372</v>
      </c>
      <c r="I114" s="1674">
        <f t="shared" si="13"/>
        <v>0</v>
      </c>
      <c r="J114" s="1674">
        <f t="shared" si="13"/>
        <v>0</v>
      </c>
      <c r="K114" s="1674">
        <f t="shared" si="13"/>
        <v>8029034</v>
      </c>
      <c r="L114" s="1674">
        <f>SUM(L33,L74,L75,L102,L112,L113)</f>
        <v>7899738</v>
      </c>
    </row>
    <row r="115" spans="1:14" ht="13.5" thickTop="1" x14ac:dyDescent="0.2">
      <c r="A115" s="2261" t="s">
        <v>989</v>
      </c>
      <c r="B115" s="2262"/>
      <c r="C115" s="1675"/>
      <c r="D115" s="1675"/>
      <c r="E115" s="1675"/>
      <c r="F115" s="1675"/>
      <c r="G115" s="1675"/>
      <c r="H115" s="1675"/>
      <c r="I115" s="1675"/>
      <c r="J115" s="1675"/>
      <c r="K115" s="1689">
        <f>'Revenues 9-14'!C268-'Expenditures 15-22'!K114</f>
        <v>273816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256872</v>
      </c>
      <c r="D124" s="1573">
        <v>67680</v>
      </c>
      <c r="E124" s="1573">
        <v>107929</v>
      </c>
      <c r="F124" s="1573">
        <v>87468</v>
      </c>
      <c r="G124" s="1573">
        <v>15832</v>
      </c>
      <c r="H124" s="1573">
        <v>0</v>
      </c>
      <c r="I124" s="1574">
        <v>0</v>
      </c>
      <c r="J124" s="1574">
        <v>0</v>
      </c>
      <c r="K124" s="1674">
        <f>SUM(C124:J124)</f>
        <v>535781</v>
      </c>
      <c r="L124" s="1573">
        <v>568574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256872</v>
      </c>
      <c r="D127" s="1674">
        <f t="shared" ref="D127:L127" si="14">SUM(D122:D126)</f>
        <v>67680</v>
      </c>
      <c r="E127" s="1674">
        <f t="shared" si="14"/>
        <v>107929</v>
      </c>
      <c r="F127" s="1674">
        <f t="shared" si="14"/>
        <v>87468</v>
      </c>
      <c r="G127" s="1674">
        <f t="shared" si="14"/>
        <v>15832</v>
      </c>
      <c r="H127" s="1674">
        <f t="shared" si="14"/>
        <v>0</v>
      </c>
      <c r="I127" s="1674">
        <f t="shared" si="14"/>
        <v>0</v>
      </c>
      <c r="J127" s="1674">
        <f t="shared" si="14"/>
        <v>0</v>
      </c>
      <c r="K127" s="1674">
        <f t="shared" si="14"/>
        <v>535781</v>
      </c>
      <c r="L127" s="1674">
        <f t="shared" si="14"/>
        <v>568574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256872</v>
      </c>
      <c r="D129" s="1681">
        <f t="shared" ref="D129:L129" si="15">SUM(D120,D127,D128)</f>
        <v>67680</v>
      </c>
      <c r="E129" s="1681">
        <f t="shared" si="15"/>
        <v>107929</v>
      </c>
      <c r="F129" s="1681">
        <f t="shared" si="15"/>
        <v>87468</v>
      </c>
      <c r="G129" s="1681">
        <f t="shared" si="15"/>
        <v>15832</v>
      </c>
      <c r="H129" s="1681">
        <f t="shared" si="15"/>
        <v>0</v>
      </c>
      <c r="I129" s="1681">
        <f t="shared" si="15"/>
        <v>0</v>
      </c>
      <c r="J129" s="1681">
        <f t="shared" si="15"/>
        <v>0</v>
      </c>
      <c r="K129" s="1681">
        <f t="shared" si="15"/>
        <v>535781</v>
      </c>
      <c r="L129" s="1681">
        <f t="shared" si="15"/>
        <v>568574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256872</v>
      </c>
      <c r="D151" s="1674">
        <f t="shared" ref="D151:K151" si="16">SUM(D129,D130,D139,D149,D150)</f>
        <v>67680</v>
      </c>
      <c r="E151" s="1674">
        <f t="shared" si="16"/>
        <v>107929</v>
      </c>
      <c r="F151" s="1674">
        <f t="shared" si="16"/>
        <v>87468</v>
      </c>
      <c r="G151" s="1674">
        <f t="shared" si="16"/>
        <v>15832</v>
      </c>
      <c r="H151" s="1674">
        <f t="shared" si="16"/>
        <v>0</v>
      </c>
      <c r="I151" s="1674">
        <f t="shared" si="16"/>
        <v>0</v>
      </c>
      <c r="J151" s="1674">
        <f t="shared" si="16"/>
        <v>0</v>
      </c>
      <c r="K151" s="1674">
        <f t="shared" si="16"/>
        <v>535781</v>
      </c>
      <c r="L151" s="1674">
        <f>SUM(L129,L130,L139,L149,L150)</f>
        <v>568574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104304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100356</v>
      </c>
      <c r="I169" s="1673"/>
      <c r="J169" s="1673"/>
      <c r="K169" s="1672">
        <f>SUM(C169:H169)</f>
        <v>100356</v>
      </c>
      <c r="L169" s="1695">
        <v>48515</v>
      </c>
    </row>
    <row r="170" spans="1:14" ht="33.75" customHeight="1" x14ac:dyDescent="0.2">
      <c r="A170" s="543" t="s">
        <v>1651</v>
      </c>
      <c r="B170" s="545" t="s">
        <v>31</v>
      </c>
      <c r="C170" s="1673"/>
      <c r="D170" s="1673"/>
      <c r="E170" s="1673"/>
      <c r="F170" s="1673"/>
      <c r="G170" s="1673"/>
      <c r="H170" s="1646">
        <v>775196</v>
      </c>
      <c r="I170" s="1673"/>
      <c r="J170" s="1673"/>
      <c r="K170" s="1672">
        <f>SUM(C170:J170)</f>
        <v>775196</v>
      </c>
      <c r="L170" s="1646">
        <v>756000</v>
      </c>
    </row>
    <row r="171" spans="1:14" ht="15.75" customHeight="1" x14ac:dyDescent="0.2">
      <c r="A171" s="507" t="s">
        <v>761</v>
      </c>
      <c r="B171" s="546" t="s">
        <v>84</v>
      </c>
      <c r="C171" s="1673"/>
      <c r="D171" s="1673"/>
      <c r="E171" s="1573">
        <v>0</v>
      </c>
      <c r="F171" s="1673"/>
      <c r="G171" s="1673"/>
      <c r="H171" s="1646">
        <v>800</v>
      </c>
      <c r="I171" s="1582"/>
      <c r="J171" s="1673"/>
      <c r="K171" s="1672">
        <f>SUM(C171:J171)</f>
        <v>800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876352</v>
      </c>
      <c r="I172" s="1684"/>
      <c r="J172" s="1673"/>
      <c r="K172" s="1681">
        <f>SUM(K168,K169,K170,K171)</f>
        <v>876352</v>
      </c>
      <c r="L172" s="1681">
        <f>SUM(L168,L169,L170,L171)</f>
        <v>804515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876352</v>
      </c>
      <c r="I174" s="1684"/>
      <c r="J174" s="1673"/>
      <c r="K174" s="1681">
        <f>SUM(K160,K172,K173)</f>
        <v>876352</v>
      </c>
      <c r="L174" s="1681">
        <f>SUM(L160,L172,L173)</f>
        <v>804515</v>
      </c>
    </row>
    <row r="175" spans="1:14" ht="13.5" thickTop="1" x14ac:dyDescent="0.2">
      <c r="A175" s="2261" t="s">
        <v>989</v>
      </c>
      <c r="B175" s="2262"/>
      <c r="C175" s="1673"/>
      <c r="D175" s="1673"/>
      <c r="E175" s="1673"/>
      <c r="F175" s="1673"/>
      <c r="G175" s="1673"/>
      <c r="H175" s="1675"/>
      <c r="I175" s="1673"/>
      <c r="J175" s="1673"/>
      <c r="K175" s="1689">
        <f>'Revenues 9-14'!E268-'Expenditures 15-22'!K174</f>
        <v>6842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443578</v>
      </c>
      <c r="D182" s="1573">
        <v>57300</v>
      </c>
      <c r="E182" s="1573">
        <v>397593</v>
      </c>
      <c r="F182" s="1573">
        <v>114472</v>
      </c>
      <c r="G182" s="1573">
        <v>0</v>
      </c>
      <c r="H182" s="1573">
        <v>0</v>
      </c>
      <c r="I182" s="1574">
        <v>0</v>
      </c>
      <c r="J182" s="1574">
        <v>0</v>
      </c>
      <c r="K182" s="1672">
        <f>SUM(C182:J182)</f>
        <v>1012943</v>
      </c>
      <c r="L182" s="1573">
        <v>1064460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443578</v>
      </c>
      <c r="D184" s="1681">
        <f t="shared" ref="D184:J184" si="17">SUM(D180,D182,D183)</f>
        <v>57300</v>
      </c>
      <c r="E184" s="1681">
        <f t="shared" si="17"/>
        <v>397593</v>
      </c>
      <c r="F184" s="1681">
        <f t="shared" si="17"/>
        <v>114472</v>
      </c>
      <c r="G184" s="1681">
        <f t="shared" si="17"/>
        <v>0</v>
      </c>
      <c r="H184" s="1681">
        <f t="shared" si="17"/>
        <v>0</v>
      </c>
      <c r="I184" s="1681">
        <f t="shared" si="17"/>
        <v>0</v>
      </c>
      <c r="J184" s="1681">
        <f t="shared" si="17"/>
        <v>0</v>
      </c>
      <c r="K184" s="1681">
        <f>SUM(K180,K182,K183)</f>
        <v>1012943</v>
      </c>
      <c r="L184" s="1681">
        <f>SUM(L180, L182:L183)</f>
        <v>1064460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443578</v>
      </c>
      <c r="D210" s="1674">
        <f>SUM(D184,D185)</f>
        <v>57300</v>
      </c>
      <c r="E210" s="1674">
        <f>SUM(E184,E185,E196)</f>
        <v>397593</v>
      </c>
      <c r="F210" s="1674">
        <f>SUM(F184,F185)</f>
        <v>114472</v>
      </c>
      <c r="G210" s="1674">
        <f>SUM(G184,G185)</f>
        <v>0</v>
      </c>
      <c r="H210" s="1674">
        <f>SUM(H184,H185,H196,H208,H209)</f>
        <v>0</v>
      </c>
      <c r="I210" s="1674">
        <f>SUM(I184,I185)</f>
        <v>0</v>
      </c>
      <c r="J210" s="1674">
        <f>SUM(J184,J185)</f>
        <v>0</v>
      </c>
      <c r="K210" s="1672">
        <f>SUM(K184,K185,K196,K208,K209)</f>
        <v>1012943</v>
      </c>
      <c r="L210" s="1674">
        <f>SUM(L184,L185,L196,L208,L209)</f>
        <v>1064460</v>
      </c>
    </row>
    <row r="211" spans="1:14" ht="13.5" thickTop="1" x14ac:dyDescent="0.2">
      <c r="A211" s="2261" t="s">
        <v>989</v>
      </c>
      <c r="B211" s="2262"/>
      <c r="C211" s="1675"/>
      <c r="D211" s="1675"/>
      <c r="E211" s="1675"/>
      <c r="F211" s="1675"/>
      <c r="G211" s="1675"/>
      <c r="H211" s="1675"/>
      <c r="I211" s="1673"/>
      <c r="J211" s="1673"/>
      <c r="K211" s="1689">
        <f>'Revenues 9-14'!F268-'Expenditures 15-22'!K210</f>
        <v>-51098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47468</v>
      </c>
      <c r="E215" s="1673"/>
      <c r="F215" s="1673"/>
      <c r="G215" s="1673"/>
      <c r="H215" s="1673"/>
      <c r="I215" s="1673"/>
      <c r="J215" s="1673"/>
      <c r="K215" s="1672">
        <f>D215</f>
        <v>47468</v>
      </c>
      <c r="L215" s="1573">
        <v>49480</v>
      </c>
    </row>
    <row r="216" spans="1:14" x14ac:dyDescent="0.2">
      <c r="A216" s="1274" t="s">
        <v>162</v>
      </c>
      <c r="B216" s="503" t="s">
        <v>961</v>
      </c>
      <c r="C216" s="1673"/>
      <c r="D216" s="1574">
        <v>8265</v>
      </c>
      <c r="E216" s="1673"/>
      <c r="F216" s="1673"/>
      <c r="G216" s="1673"/>
      <c r="H216" s="1673"/>
      <c r="I216" s="1673"/>
      <c r="J216" s="1673"/>
      <c r="K216" s="1672">
        <f t="shared" ref="K216:K228" si="19">D216</f>
        <v>8265</v>
      </c>
      <c r="L216" s="1573">
        <v>7773</v>
      </c>
    </row>
    <row r="217" spans="1:14" x14ac:dyDescent="0.2">
      <c r="A217" s="1274" t="s">
        <v>163</v>
      </c>
      <c r="B217" s="503">
        <v>1200</v>
      </c>
      <c r="C217" s="1673"/>
      <c r="D217" s="1573">
        <v>64732</v>
      </c>
      <c r="E217" s="1673"/>
      <c r="F217" s="1673"/>
      <c r="G217" s="1673"/>
      <c r="H217" s="1673"/>
      <c r="I217" s="1673"/>
      <c r="J217" s="1673"/>
      <c r="K217" s="1672">
        <f t="shared" si="19"/>
        <v>64732</v>
      </c>
      <c r="L217" s="1573">
        <v>68840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7822</v>
      </c>
      <c r="E223" s="1673"/>
      <c r="F223" s="1673"/>
      <c r="G223" s="1673"/>
      <c r="H223" s="1673"/>
      <c r="I223" s="1673"/>
      <c r="J223" s="1673"/>
      <c r="K223" s="1672">
        <f t="shared" si="19"/>
        <v>7822</v>
      </c>
      <c r="L223" s="1573">
        <v>8039</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347</v>
      </c>
      <c r="E226" s="1673"/>
      <c r="F226" s="1673"/>
      <c r="G226" s="1673"/>
      <c r="H226" s="1673"/>
      <c r="I226" s="1673"/>
      <c r="J226" s="1673"/>
      <c r="K226" s="1672">
        <f t="shared" si="19"/>
        <v>347</v>
      </c>
      <c r="L226" s="1573">
        <v>262</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128634</v>
      </c>
      <c r="E229" s="1673"/>
      <c r="F229" s="1673"/>
      <c r="G229" s="1673"/>
      <c r="H229" s="1673"/>
      <c r="I229" s="1673"/>
      <c r="J229" s="1673"/>
      <c r="K229" s="1674">
        <f>SUM(K215:K228)</f>
        <v>128634</v>
      </c>
      <c r="L229" s="1674">
        <f>SUM(L215:L228)</f>
        <v>134394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1274</v>
      </c>
      <c r="E233" s="1673"/>
      <c r="F233" s="1673"/>
      <c r="G233" s="1673"/>
      <c r="H233" s="1673"/>
      <c r="I233" s="1673"/>
      <c r="J233" s="1673"/>
      <c r="K233" s="1672">
        <f t="shared" si="20"/>
        <v>1274</v>
      </c>
      <c r="L233" s="1573">
        <v>1375</v>
      </c>
    </row>
    <row r="234" spans="1:12" x14ac:dyDescent="0.2">
      <c r="A234" s="1274" t="s">
        <v>196</v>
      </c>
      <c r="B234" s="503">
        <v>2130</v>
      </c>
      <c r="C234" s="1673"/>
      <c r="D234" s="1573">
        <v>4326</v>
      </c>
      <c r="E234" s="1673"/>
      <c r="F234" s="1673"/>
      <c r="G234" s="1673"/>
      <c r="H234" s="1673"/>
      <c r="I234" s="1673"/>
      <c r="J234" s="1673"/>
      <c r="K234" s="1672">
        <f t="shared" si="20"/>
        <v>4326</v>
      </c>
      <c r="L234" s="1573">
        <v>4204</v>
      </c>
    </row>
    <row r="235" spans="1:12" x14ac:dyDescent="0.2">
      <c r="A235" s="1274" t="s">
        <v>197</v>
      </c>
      <c r="B235" s="503">
        <v>2140</v>
      </c>
      <c r="C235" s="1673"/>
      <c r="D235" s="1573">
        <v>1066</v>
      </c>
      <c r="E235" s="1673"/>
      <c r="F235" s="1673"/>
      <c r="G235" s="1673"/>
      <c r="H235" s="1673"/>
      <c r="I235" s="1673"/>
      <c r="J235" s="1673"/>
      <c r="K235" s="1672">
        <f t="shared" si="20"/>
        <v>1066</v>
      </c>
      <c r="L235" s="1573">
        <v>1086</v>
      </c>
    </row>
    <row r="236" spans="1:12" x14ac:dyDescent="0.2">
      <c r="A236" s="1274" t="s">
        <v>198</v>
      </c>
      <c r="B236" s="503">
        <v>2150</v>
      </c>
      <c r="C236" s="1673"/>
      <c r="D236" s="1573">
        <v>2305</v>
      </c>
      <c r="E236" s="1673"/>
      <c r="F236" s="1673"/>
      <c r="G236" s="1673"/>
      <c r="H236" s="1673"/>
      <c r="I236" s="1673"/>
      <c r="J236" s="1673"/>
      <c r="K236" s="1672">
        <f t="shared" si="20"/>
        <v>2305</v>
      </c>
      <c r="L236" s="1573">
        <v>2392</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8971</v>
      </c>
      <c r="E238" s="1673"/>
      <c r="F238" s="1673"/>
      <c r="G238" s="1673"/>
      <c r="H238" s="1673"/>
      <c r="I238" s="1673"/>
      <c r="J238" s="1673"/>
      <c r="K238" s="1674">
        <f>SUM(K232:K237)</f>
        <v>8971</v>
      </c>
      <c r="L238" s="1674">
        <f>SUM(L232:L237)</f>
        <v>9057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645</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645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648</v>
      </c>
      <c r="E245" s="1673"/>
      <c r="F245" s="1673"/>
      <c r="G245" s="1673"/>
      <c r="H245" s="1673"/>
      <c r="I245" s="1673"/>
      <c r="J245" s="1673"/>
      <c r="K245" s="1678">
        <f>D245</f>
        <v>648</v>
      </c>
      <c r="L245" s="1586">
        <v>0</v>
      </c>
    </row>
    <row r="246" spans="1:12" x14ac:dyDescent="0.2">
      <c r="A246" s="1274" t="s">
        <v>813</v>
      </c>
      <c r="B246" s="503">
        <v>2320</v>
      </c>
      <c r="C246" s="1673"/>
      <c r="D246" s="1573">
        <v>12847</v>
      </c>
      <c r="E246" s="1673"/>
      <c r="F246" s="1673"/>
      <c r="G246" s="1673"/>
      <c r="H246" s="1673"/>
      <c r="I246" s="1673"/>
      <c r="J246" s="1673"/>
      <c r="K246" s="1678">
        <f t="shared" ref="K246:K256" si="21">D246</f>
        <v>12847</v>
      </c>
      <c r="L246" s="1573">
        <v>12862</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13495</v>
      </c>
      <c r="E257" s="1673"/>
      <c r="F257" s="1673"/>
      <c r="G257" s="1673"/>
      <c r="H257" s="1673"/>
      <c r="I257" s="1673"/>
      <c r="J257" s="1673"/>
      <c r="K257" s="1674">
        <f>SUM(K245:K256)</f>
        <v>13495</v>
      </c>
      <c r="L257" s="1674">
        <f>SUM(L245:L256)</f>
        <v>12862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31255</v>
      </c>
      <c r="E259" s="1673"/>
      <c r="F259" s="1673"/>
      <c r="G259" s="1673"/>
      <c r="H259" s="1673"/>
      <c r="I259" s="1673"/>
      <c r="J259" s="1673"/>
      <c r="K259" s="1678">
        <f>D259</f>
        <v>31255</v>
      </c>
      <c r="L259" s="1586">
        <v>31894</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31255</v>
      </c>
      <c r="E261" s="1673"/>
      <c r="F261" s="1673"/>
      <c r="G261" s="1673"/>
      <c r="H261" s="1673"/>
      <c r="I261" s="1673"/>
      <c r="J261" s="1673"/>
      <c r="K261" s="1674">
        <f>SUM(K259:K260)</f>
        <v>31255</v>
      </c>
      <c r="L261" s="1674">
        <f>SUM(L259:L260)</f>
        <v>31894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13841</v>
      </c>
      <c r="E264" s="1673"/>
      <c r="F264" s="1673"/>
      <c r="G264" s="1673"/>
      <c r="H264" s="1673"/>
      <c r="I264" s="1673"/>
      <c r="J264" s="1673"/>
      <c r="K264" s="1678">
        <f t="shared" ref="K264:K269" si="22">D264</f>
        <v>13841</v>
      </c>
      <c r="L264" s="1573">
        <v>13796</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47854</v>
      </c>
      <c r="E266" s="1673"/>
      <c r="F266" s="1673"/>
      <c r="G266" s="1673"/>
      <c r="H266" s="1673"/>
      <c r="I266" s="1673"/>
      <c r="J266" s="1673"/>
      <c r="K266" s="1678">
        <f t="shared" si="22"/>
        <v>47854</v>
      </c>
      <c r="L266" s="1573">
        <v>43979</v>
      </c>
    </row>
    <row r="267" spans="1:14" x14ac:dyDescent="0.2">
      <c r="A267" s="1274" t="s">
        <v>947</v>
      </c>
      <c r="B267" s="503">
        <v>2550</v>
      </c>
      <c r="C267" s="1673"/>
      <c r="D267" s="1573">
        <v>68785</v>
      </c>
      <c r="E267" s="1673"/>
      <c r="F267" s="1673"/>
      <c r="G267" s="1673"/>
      <c r="H267" s="1673"/>
      <c r="I267" s="1673"/>
      <c r="J267" s="1673"/>
      <c r="K267" s="1678">
        <f t="shared" si="22"/>
        <v>68785</v>
      </c>
      <c r="L267" s="1573">
        <v>64296</v>
      </c>
    </row>
    <row r="268" spans="1:14" x14ac:dyDescent="0.2">
      <c r="A268" s="1274" t="s">
        <v>100</v>
      </c>
      <c r="B268" s="503">
        <v>2560</v>
      </c>
      <c r="C268" s="1673"/>
      <c r="D268" s="1573">
        <v>1920</v>
      </c>
      <c r="E268" s="1673"/>
      <c r="F268" s="1673"/>
      <c r="G268" s="1673"/>
      <c r="H268" s="1673"/>
      <c r="I268" s="1673"/>
      <c r="J268" s="1673"/>
      <c r="K268" s="1678">
        <f t="shared" si="22"/>
        <v>1920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132400</v>
      </c>
      <c r="E270" s="1673"/>
      <c r="F270" s="1673"/>
      <c r="G270" s="1673"/>
      <c r="H270" s="1673"/>
      <c r="I270" s="1673"/>
      <c r="J270" s="1673"/>
      <c r="K270" s="1674">
        <f>SUM(K263:K269)</f>
        <v>132400</v>
      </c>
      <c r="L270" s="1674">
        <f>SUM(L263:L269)</f>
        <v>122071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14468</v>
      </c>
      <c r="E276" s="1673"/>
      <c r="F276" s="1673"/>
      <c r="G276" s="1673"/>
      <c r="H276" s="1673"/>
      <c r="I276" s="1673"/>
      <c r="J276" s="1673"/>
      <c r="K276" s="1678">
        <f>D276</f>
        <v>14468</v>
      </c>
      <c r="L276" s="1573">
        <v>15403</v>
      </c>
    </row>
    <row r="277" spans="1:12" ht="12.75" customHeight="1" thickBot="1" x14ac:dyDescent="0.25">
      <c r="A277" s="1393" t="s">
        <v>37</v>
      </c>
      <c r="B277" s="1381" t="s">
        <v>36</v>
      </c>
      <c r="C277" s="1673"/>
      <c r="D277" s="1674">
        <f>SUM(D272:D276)</f>
        <v>14468</v>
      </c>
      <c r="E277" s="1673"/>
      <c r="F277" s="1673"/>
      <c r="G277" s="1673"/>
      <c r="H277" s="1673"/>
      <c r="I277" s="1673"/>
      <c r="J277" s="1673"/>
      <c r="K277" s="1674">
        <f>SUM(K272:K276)</f>
        <v>14468</v>
      </c>
      <c r="L277" s="1674">
        <f>SUM(L272:L276)</f>
        <v>15403</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200589</v>
      </c>
      <c r="E279" s="1673"/>
      <c r="F279" s="1673"/>
      <c r="G279" s="1673"/>
      <c r="H279" s="1673"/>
      <c r="I279" s="1673"/>
      <c r="J279" s="1673"/>
      <c r="K279" s="1681">
        <f>SUM(K238,K243,K257,K261,K270,K277,K278)</f>
        <v>200589</v>
      </c>
      <c r="L279" s="1681">
        <f>SUM(L238,L243,L257,L261,L270,L277,L278)</f>
        <v>191932</v>
      </c>
    </row>
    <row r="280" spans="1:12" ht="15.75" customHeight="1" thickTop="1" thickBot="1" x14ac:dyDescent="0.25">
      <c r="A280" s="1362" t="s">
        <v>870</v>
      </c>
      <c r="B280" s="1351">
        <v>3000</v>
      </c>
      <c r="C280" s="1673"/>
      <c r="D280" s="1651">
        <v>123</v>
      </c>
      <c r="E280" s="1673"/>
      <c r="F280" s="1673"/>
      <c r="G280" s="1673"/>
      <c r="H280" s="1673"/>
      <c r="I280" s="1673"/>
      <c r="J280" s="1673"/>
      <c r="K280" s="1687">
        <f>D280</f>
        <v>123</v>
      </c>
      <c r="L280" s="1651">
        <v>75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329346</v>
      </c>
      <c r="E295" s="1673"/>
      <c r="F295" s="1673"/>
      <c r="G295" s="1673"/>
      <c r="H295" s="1674">
        <f>H293</f>
        <v>0</v>
      </c>
      <c r="I295" s="1673"/>
      <c r="J295" s="1673"/>
      <c r="K295" s="1674">
        <f>SUM(K229,K279,K280,K285,K293,K294)</f>
        <v>329346</v>
      </c>
      <c r="L295" s="1674">
        <f>SUM(L229,L279,L280,L285,L293,L294)</f>
        <v>326401</v>
      </c>
    </row>
    <row r="296" spans="1:14" ht="13.5" thickTop="1" x14ac:dyDescent="0.2">
      <c r="A296" s="2261" t="s">
        <v>989</v>
      </c>
      <c r="B296" s="2262"/>
      <c r="C296" s="1673"/>
      <c r="D296" s="1675"/>
      <c r="E296" s="1673"/>
      <c r="F296" s="1673"/>
      <c r="G296" s="1673"/>
      <c r="H296" s="1707"/>
      <c r="I296" s="1673"/>
      <c r="J296" s="1673"/>
      <c r="K296" s="1689">
        <f>'Revenues 9-14'!G268-'Expenditures 15-22'!K295</f>
        <v>92660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1068170</v>
      </c>
      <c r="H301" s="1573">
        <v>0</v>
      </c>
      <c r="I301" s="1574">
        <v>0</v>
      </c>
      <c r="J301" s="1574">
        <v>0</v>
      </c>
      <c r="K301" s="1672">
        <f>SUM(C301:J301)</f>
        <v>1068170</v>
      </c>
      <c r="L301" s="1574">
        <v>2000000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1068170</v>
      </c>
      <c r="H303" s="1681">
        <f t="shared" si="23"/>
        <v>0</v>
      </c>
      <c r="I303" s="1681">
        <f t="shared" si="23"/>
        <v>0</v>
      </c>
      <c r="J303" s="1681">
        <f t="shared" si="23"/>
        <v>0</v>
      </c>
      <c r="K303" s="1681">
        <f t="shared" si="23"/>
        <v>1068170</v>
      </c>
      <c r="L303" s="1681">
        <f t="shared" si="23"/>
        <v>2000000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1068170</v>
      </c>
      <c r="H312" s="1674">
        <f>SUM(H303,H310)</f>
        <v>0</v>
      </c>
      <c r="I312" s="1674">
        <f>SUM(I303)</f>
        <v>0</v>
      </c>
      <c r="J312" s="1674">
        <f>SUM(J303)</f>
        <v>0</v>
      </c>
      <c r="K312" s="1674">
        <f>SUM(K303,K310,K311)</f>
        <v>1068170</v>
      </c>
      <c r="L312" s="1674">
        <f>SUM(L303,L310,L311)</f>
        <v>2000000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-557793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44003</v>
      </c>
      <c r="F320" s="1574">
        <v>0</v>
      </c>
      <c r="G320" s="1574">
        <v>0</v>
      </c>
      <c r="H320" s="1574">
        <v>0</v>
      </c>
      <c r="I320" s="1574">
        <v>0</v>
      </c>
      <c r="J320" s="1574">
        <v>0</v>
      </c>
      <c r="K320" s="1672">
        <f t="shared" ref="K320:K327" si="24">SUM(C320:J320)</f>
        <v>44003</v>
      </c>
      <c r="L320" s="1574">
        <v>0</v>
      </c>
      <c r="M320" s="539"/>
      <c r="N320" s="539"/>
    </row>
    <row r="321" spans="1:14" s="548" customFormat="1" x14ac:dyDescent="0.2">
      <c r="A321" s="1289" t="s">
        <v>297</v>
      </c>
      <c r="B321" s="567" t="s">
        <v>281</v>
      </c>
      <c r="C321" s="1574">
        <v>0</v>
      </c>
      <c r="D321" s="1574">
        <v>0</v>
      </c>
      <c r="E321" s="1574">
        <v>18966</v>
      </c>
      <c r="F321" s="1574">
        <v>0</v>
      </c>
      <c r="G321" s="1574">
        <v>0</v>
      </c>
      <c r="H321" s="1574">
        <v>0</v>
      </c>
      <c r="I321" s="1574">
        <v>0</v>
      </c>
      <c r="J321" s="1574">
        <v>0</v>
      </c>
      <c r="K321" s="1672">
        <f t="shared" si="24"/>
        <v>18966</v>
      </c>
      <c r="L321" s="1574">
        <v>1000</v>
      </c>
      <c r="M321" s="539"/>
      <c r="N321" s="539"/>
    </row>
    <row r="322" spans="1:14" s="548" customFormat="1" x14ac:dyDescent="0.2">
      <c r="A322" s="1289" t="s">
        <v>236</v>
      </c>
      <c r="B322" s="567" t="s">
        <v>282</v>
      </c>
      <c r="C322" s="1574">
        <v>0</v>
      </c>
      <c r="D322" s="1574">
        <v>0</v>
      </c>
      <c r="E322" s="1574">
        <v>2300</v>
      </c>
      <c r="F322" s="1574">
        <v>0</v>
      </c>
      <c r="G322" s="1574">
        <v>0</v>
      </c>
      <c r="H322" s="1574">
        <v>0</v>
      </c>
      <c r="I322" s="1574">
        <v>0</v>
      </c>
      <c r="J322" s="1574">
        <v>0</v>
      </c>
      <c r="K322" s="1672">
        <f t="shared" si="24"/>
        <v>2300</v>
      </c>
      <c r="L322" s="1574">
        <v>0</v>
      </c>
      <c r="M322" s="539"/>
      <c r="N322" s="539"/>
    </row>
    <row r="323" spans="1:14" s="548" customFormat="1" x14ac:dyDescent="0.2">
      <c r="A323" s="1289" t="s">
        <v>697</v>
      </c>
      <c r="B323" s="567" t="s">
        <v>283</v>
      </c>
      <c r="C323" s="1574">
        <v>604197</v>
      </c>
      <c r="D323" s="1574">
        <v>0</v>
      </c>
      <c r="E323" s="1574">
        <v>0</v>
      </c>
      <c r="F323" s="1574">
        <v>0</v>
      </c>
      <c r="G323" s="1574">
        <v>0</v>
      </c>
      <c r="H323" s="1574">
        <v>0</v>
      </c>
      <c r="I323" s="1574">
        <v>0</v>
      </c>
      <c r="J323" s="1574">
        <v>0</v>
      </c>
      <c r="K323" s="1672">
        <f t="shared" si="24"/>
        <v>604197</v>
      </c>
      <c r="L323" s="1574">
        <v>585000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2728</v>
      </c>
      <c r="F325" s="1574">
        <v>0</v>
      </c>
      <c r="G325" s="1574">
        <v>0</v>
      </c>
      <c r="H325" s="1574">
        <v>0</v>
      </c>
      <c r="I325" s="1574">
        <v>0</v>
      </c>
      <c r="J325" s="1574">
        <v>0</v>
      </c>
      <c r="K325" s="1672">
        <f t="shared" si="24"/>
        <v>2728</v>
      </c>
      <c r="L325" s="1574">
        <v>13000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9801</v>
      </c>
      <c r="F327" s="1574">
        <v>0</v>
      </c>
      <c r="G327" s="1574">
        <v>0</v>
      </c>
      <c r="H327" s="1574">
        <v>0</v>
      </c>
      <c r="I327" s="1574">
        <v>0</v>
      </c>
      <c r="J327" s="1574">
        <v>0</v>
      </c>
      <c r="K327" s="1672">
        <f t="shared" si="24"/>
        <v>9801</v>
      </c>
      <c r="L327" s="1574">
        <v>20000</v>
      </c>
      <c r="M327" s="539"/>
      <c r="N327" s="539"/>
    </row>
    <row r="328" spans="1:14" s="548" customFormat="1" x14ac:dyDescent="0.2">
      <c r="A328" s="1290" t="s">
        <v>469</v>
      </c>
      <c r="B328" s="562" t="s">
        <v>1122</v>
      </c>
      <c r="C328" s="1579">
        <v>0</v>
      </c>
      <c r="D328" s="1579">
        <v>0</v>
      </c>
      <c r="E328" s="1579">
        <v>55119</v>
      </c>
      <c r="F328" s="1579">
        <v>0</v>
      </c>
      <c r="G328" s="1579">
        <v>0</v>
      </c>
      <c r="H328" s="1579">
        <v>0</v>
      </c>
      <c r="I328" s="1579">
        <v>0</v>
      </c>
      <c r="J328" s="1579">
        <v>0</v>
      </c>
      <c r="K328" s="1713">
        <f>SUM(C328:J328)</f>
        <v>55119</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146000</v>
      </c>
      <c r="M329" s="539"/>
      <c r="N329" s="539"/>
    </row>
    <row r="330" spans="1:14" s="548" customFormat="1" ht="12.75" customHeight="1" thickBot="1" x14ac:dyDescent="0.25">
      <c r="A330" s="1401" t="s">
        <v>712</v>
      </c>
      <c r="B330" s="1381" t="s">
        <v>565</v>
      </c>
      <c r="C330" s="1674">
        <f>SUM(C319:C329)</f>
        <v>604197</v>
      </c>
      <c r="D330" s="1674">
        <f t="shared" ref="D330:J330" si="25">SUM(D319:D329)</f>
        <v>0</v>
      </c>
      <c r="E330" s="1674">
        <f t="shared" si="25"/>
        <v>132917</v>
      </c>
      <c r="F330" s="1674">
        <f t="shared" si="25"/>
        <v>0</v>
      </c>
      <c r="G330" s="1674">
        <f t="shared" si="25"/>
        <v>0</v>
      </c>
      <c r="H330" s="1674">
        <f t="shared" si="25"/>
        <v>0</v>
      </c>
      <c r="I330" s="1674">
        <f t="shared" si="25"/>
        <v>0</v>
      </c>
      <c r="J330" s="1674">
        <f t="shared" si="25"/>
        <v>0</v>
      </c>
      <c r="K330" s="1674">
        <f>SUM(K319:K329)</f>
        <v>737114</v>
      </c>
      <c r="L330" s="1674">
        <f>SUM(L319:L329)</f>
        <v>765000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604197</v>
      </c>
      <c r="D342" s="1674">
        <f>SUM(D330)</f>
        <v>0</v>
      </c>
      <c r="E342" s="1674">
        <f>SUM(E330)</f>
        <v>132917</v>
      </c>
      <c r="F342" s="1674">
        <f>SUM(F330)</f>
        <v>0</v>
      </c>
      <c r="G342" s="1674">
        <f>SUM(G330)</f>
        <v>0</v>
      </c>
      <c r="H342" s="1674">
        <f>SUM(H330,H334,H340)</f>
        <v>0</v>
      </c>
      <c r="I342" s="1674">
        <f>SUM(I330)</f>
        <v>0</v>
      </c>
      <c r="J342" s="1674">
        <f>SUM(J330)</f>
        <v>0</v>
      </c>
      <c r="K342" s="1674">
        <f>SUM(K330,K334,K340)</f>
        <v>737114</v>
      </c>
      <c r="L342" s="1681">
        <f>SUM(L330,L334,L340,L341)</f>
        <v>765000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18232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20000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20000</v>
      </c>
    </row>
    <row r="368" spans="1:14" ht="13.5" thickTop="1" x14ac:dyDescent="0.2">
      <c r="A368" s="2261" t="s">
        <v>989</v>
      </c>
      <c r="B368" s="2262"/>
      <c r="C368" s="1694"/>
      <c r="D368" s="1694"/>
      <c r="E368" s="1677"/>
      <c r="F368" s="1677"/>
      <c r="G368" s="1677"/>
      <c r="H368" s="1677"/>
      <c r="I368" s="1677"/>
      <c r="J368" s="1676"/>
      <c r="K368" s="1672">
        <f>'Revenues 9-14'!K268-'Expenditures 15-22'!K367</f>
        <v>66363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 ds:uri="http://purl.org/dc/elements/1.1/"/>
    <ds:schemaRef ds:uri="http://schemas.microsoft.com/sharepoint/v3"/>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2020-10-05T15:15:14Z</cp:lastPrinted>
  <dcterms:created xsi:type="dcterms:W3CDTF">2003-10-29T19:06:34Z</dcterms:created>
  <dcterms:modified xsi:type="dcterms:W3CDTF">2020-10-16T19:18:26Z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