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F1E5D5A-CC82-4BBD-877B-0184678FD7F0}" xr6:coauthVersionLast="36" xr6:coauthVersionMax="36" xr10:uidLastSave="{00000000-0000-0000-0000-000000000000}"/>
  <bookViews>
    <workbookView xWindow="0" yWindow="0" windowWidth="24000" windowHeight="91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7" i="183" l="1"/>
  <c r="F26" i="183"/>
  <c r="F25" i="183"/>
  <c r="F24" i="183"/>
  <c r="E27" i="183"/>
  <c r="E26" i="183"/>
  <c r="E25" i="183"/>
  <c r="E24"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28" i="183" l="1"/>
  <c r="A15" i="183"/>
  <c r="D82" i="36" l="1"/>
  <c r="F28" i="183"/>
  <c r="E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74" i="127"/>
  <c r="B7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D31" i="108"/>
  <c r="E16" i="184"/>
  <c r="H16" i="184" s="1"/>
  <c r="B7126" i="106"/>
  <c r="D7126" i="106" s="1"/>
  <c r="E57" i="184"/>
  <c r="N57" i="184" s="1"/>
  <c r="G33" i="108"/>
  <c r="E17" i="184"/>
  <c r="H17" i="184" s="1"/>
  <c r="C342" i="29"/>
  <c r="B7216" i="106" s="1"/>
  <c r="D7216" i="106" s="1"/>
  <c r="F77" i="4"/>
  <c r="B3255" i="106" s="1"/>
  <c r="D3255" i="106" s="1"/>
  <c r="H12" i="184"/>
  <c r="H19" i="184" s="1"/>
  <c r="L20" i="184" s="1"/>
  <c r="E19" i="184"/>
  <c r="F34" i="34"/>
  <c r="B7826" i="106" s="1"/>
  <c r="D7826" i="106" s="1"/>
  <c r="B7705" i="106"/>
  <c r="D7705" i="106" s="1"/>
  <c r="E67" i="184"/>
  <c r="N67" i="184" s="1"/>
  <c r="B7198" i="106"/>
  <c r="D7198" i="106" s="1"/>
  <c r="E65" i="184"/>
  <c r="N65" i="184" s="1"/>
  <c r="B7180" i="106"/>
  <c r="D7180" i="106" s="1"/>
  <c r="E63" i="184"/>
  <c r="N63" i="184" s="1"/>
  <c r="B7162" i="106"/>
  <c r="D7162" i="106" s="1"/>
  <c r="E61" i="184"/>
  <c r="N61" i="184" s="1"/>
  <c r="B7153" i="106"/>
  <c r="D7153" i="106" s="1"/>
  <c r="E60" i="184"/>
  <c r="N60" i="184" s="1"/>
  <c r="B7135" i="106"/>
  <c r="D7135" i="106" s="1"/>
  <c r="E58" i="184"/>
  <c r="D69" i="36"/>
  <c r="D68" i="3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2" i="106"/>
  <c r="D7222" i="106" s="1"/>
  <c r="F76" i="34"/>
  <c r="B7887" i="106" s="1"/>
  <c r="D7887" i="106" s="1"/>
  <c r="B7220" i="106"/>
  <c r="D7220" i="106" s="1"/>
  <c r="F75" i="34"/>
  <c r="B7886" i="106" s="1"/>
  <c r="D7886" i="106" s="1"/>
  <c r="B1381" i="106"/>
  <c r="D1381" i="106" s="1"/>
  <c r="F41" i="108"/>
  <c r="G43" i="108" s="1"/>
  <c r="N58" i="184"/>
  <c r="N68" i="184" s="1"/>
  <c r="E68" i="184"/>
  <c r="K342" i="29"/>
  <c r="F13" i="34" s="1"/>
  <c r="B6216" i="106"/>
  <c r="D6216" i="106" s="1"/>
  <c r="B5527" i="106"/>
  <c r="D5527" i="106" s="1"/>
  <c r="L16" i="11"/>
  <c r="B2061" i="106" s="1"/>
  <c r="D2061"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F77" i="34" l="1"/>
  <c r="D8" i="146"/>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<sst xmlns="http://schemas.openxmlformats.org/spreadsheetml/2006/main" count="5217" uniqueCount="2123">
  <si>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</si>
  <si>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</si>
  <si>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</si>
  <si>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</si>
  <si>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</si>
  <si>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</si>
  <si>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</si>
  <si>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</si>
  <si>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</si>
  <si>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</si>
  <si>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</si>
  <si>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</si>
  <si>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</si>
  <si>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</si>
  <si>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</si>
  <si>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</si>
  <si>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</si>
  <si>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</si>
  <si>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</si>
  <si>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</si>
  <si>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</si>
  <si>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</si>
  <si>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</si>
  <si>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</si>
  <si>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</si>
  <si>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</si>
  <si>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</si>
  <si>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</si>
  <si>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</si>
  <si>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</si>
  <si>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</si>
  <si>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</si>
  <si>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</si>
  <si>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</si>
  <si>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</si>
  <si>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</si>
  <si>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</si>
  <si>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</si>
  <si>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</si>
  <si>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</si>
  <si>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</si>
  <si>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</si>
  <si>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</si>
  <si>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</si>
  <si>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</si>
  <si>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</si>
  <si>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</si>
  <si>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</si>
  <si>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</si>
  <si>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</si>
  <si>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</si>
  <si>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</si>
  <si>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</si>
  <si>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</si>
  <si>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</si>
  <si>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</si>
  <si>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</si>
  <si>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</si>
  <si>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</si>
  <si>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</si>
  <si>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</si>
  <si>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</si>
  <si>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</si>
  <si>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</si>
  <si>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</si>
  <si>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</si>
  <si>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</si>
  <si>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</si>
  <si>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</si>
  <si>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</si>
  <si>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</si>
  <si>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</si>
  <si>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</si>
  <si>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</si>
  <si>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</si>
  <si>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</si>
  <si>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</si>
  <si>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</si>
  <si>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</si>
  <si>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</si>
  <si>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</si>
  <si>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</si>
  <si>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</si>
  <si>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</si>
  <si>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</si>
  <si>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</si>
  <si>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</si>
  <si>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</si>
  <si>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</si>
  <si>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</si>
  <si>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</si>
  <si>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</si>
  <si>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</si>
  <si>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</si>
  <si>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</si>
  <si>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</si>
  <si>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</si>
  <si>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</si>
  <si>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</si>
  <si>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</si>
  <si>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</si>
  <si>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</si>
  <si>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</si>
  <si>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</si>
  <si>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</si>
  <si>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</si>
  <si>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</si>
  <si>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</si>
  <si>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</si>
  <si>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</si>
  <si>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</si>
  <si>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</si>
  <si>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</si>
  <si>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</si>
  <si>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</si>
  <si>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</si>
  <si>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</si>
  <si>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</si>
  <si>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</si>
  <si>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</si>
  <si>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</si>
  <si>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</si>
  <si>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</si>
  <si>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</si>
  <si>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</si>
  <si>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</si>
  <si>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</si>
  <si>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</si>
  <si>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</si>
  <si>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</si>
  <si>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</si>
  <si>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</si>
  <si>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</si>
  <si>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</si>
  <si>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</si>
  <si>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</si>
  <si>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</si>
  <si>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</si>
  <si>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</si>
  <si>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</si>
  <si>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</si>
  <si>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</si>
  <si>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</si>
  <si>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</si>
  <si>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</si>
  <si>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</si>
  <si>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</si>
  <si>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</si>
  <si>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</si>
  <si>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</si>
  <si>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</si>
  <si>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</si>
  <si>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</si>
  <si>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</si>
  <si>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</si>
  <si>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</si>
  <si>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</si>
  <si>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</si>
  <si>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</si>
  <si>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</si>
  <si>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</si>
  <si>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</si>
  <si>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</si>
  <si>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</si>
  <si>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</si>
  <si>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</si>
  <si>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</si>
  <si>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</si>
  <si>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</si>
  <si>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</si>
  <si>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</si>
  <si>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</si>
  <si>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</si>
  <si>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</si>
  <si>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</si>
  <si>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</si>
  <si>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</si>
  <si>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</si>
  <si>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</si>
  <si>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</si>
  <si>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</si>
  <si>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</si>
  <si>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</si>
  <si>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</si>
  <si>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</si>
  <si>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</si>
  <si>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</si>
  <si>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</si>
  <si>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</si>
  <si>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</si>
  <si>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</si>
  <si>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</si>
  <si>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</si>
  <si>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</si>
  <si>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</si>
  <si>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</si>
  <si>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</si>
  <si>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</si>
  <si>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</si>
  <si>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</si>
  <si>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</si>
  <si>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</si>
  <si>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</si>
  <si>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</si>
  <si>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</si>
  <si>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</si>
  <si>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</si>
  <si>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</si>
  <si>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</si>
  <si>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</si>
  <si>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</si>
  <si>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</si>
  <si>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</si>
  <si>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</si>
  <si>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</si>
  <si>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</si>
  <si>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</si>
  <si>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</si>
  <si>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</si>
  <si>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</si>
  <si>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</si>
  <si>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</si>
  <si>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</si>
  <si>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</si>
  <si>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</si>
  <si>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</si>
  <si>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</si>
  <si>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</si>
  <si>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</si>
  <si>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</si>
  <si>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</si>
  <si>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</si>
  <si>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</si>
  <si>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</si>
  <si>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</si>
  <si>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</si>
  <si>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</si>
  <si>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</si>
  <si>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</si>
  <si>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</si>
  <si>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</si>
  <si>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</si>
  <si>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</si>
  <si>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</si>
  <si>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</si>
  <si>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</si>
  <si>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</si>
  <si>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</si>
  <si>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</si>
  <si>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</si>
  <si>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</si>
  <si>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</si>
  <si>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</si>
  <si>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</si>
  <si>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</si>
  <si>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</si>
  <si>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</si>
  <si>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</si>
  <si>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</si>
  <si>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</si>
  <si>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</si>
  <si>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</si>
  <si>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</si>
  <si>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</si>
  <si>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</si>
  <si>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</si>
  <si>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</si>
  <si>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</si>
  <si>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</si>
  <si>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</si>
  <si>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</si>
  <si>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</si>
  <si>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</si>
  <si>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</si>
  <si>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</si>
  <si>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</si>
  <si>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</si>
  <si>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</si>
  <si>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</si>
  <si>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</si>
  <si>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</si>
  <si>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</si>
  <si>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</si>
  <si>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</si>
  <si>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</si>
  <si>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</si>
  <si>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</si>
  <si>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</si>
  <si>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</si>
  <si>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</si>
  <si>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</si>
  <si>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</si>
  <si>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</si>
  <si>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</si>
  <si>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</si>
  <si>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</si>
  <si>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</si>
  <si>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</si>
  <si>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</si>
  <si>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</si>
  <si>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</si>
  <si>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</si>
  <si>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</si>
  <si>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</si>
  <si>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</si>
  <si>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</si>
  <si>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</si>
  <si>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</si>
  <si>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</si>
  <si>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</si>
  <si>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</si>
  <si>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</si>
  <si>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</si>
  <si>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</si>
  <si>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</si>
  <si>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</si>
  <si>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</si>
  <si>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</si>
  <si>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</si>
  <si>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</si>
  <si>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</si>
  <si>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</si>
  <si>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</si>
  <si>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</si>
  <si>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</si>
  <si>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</si>
  <si>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</si>
  <si>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</si>
  <si>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</si>
  <si>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</si>
  <si>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</si>
  <si>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</si>
  <si>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</si>
  <si>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</si>
  <si>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</si>
  <si>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</si>
  <si>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</si>
  <si>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</si>
  <si>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</si>
  <si>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</si>
  <si>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</si>
  <si>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</si>
  <si>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</si>
  <si>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</si>
  <si>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</si>
  <si>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</si>
  <si>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</si>
  <si>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</si>
  <si>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</si>
  <si>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</si>
  <si>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</si>
  <si>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</si>
  <si>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</si>
  <si>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</si>
  <si>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</si>
  <si>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</si>
  <si>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</si>
  <si>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</si>
  <si>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</si>
  <si>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</si>
  <si>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</si>
  <si>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</si>
  <si>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</si>
  <si>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</si>
  <si>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</si>
  <si>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</si>
  <si>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</si>
  <si>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</si>
  <si>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</si>
  <si>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</si>
  <si>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</si>
  <si>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</si>
  <si>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</si>
  <si>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</si>
  <si>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</si>
  <si>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</si>
  <si>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</si>
  <si>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</si>
  <si>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</si>
  <si>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</si>
  <si>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</si>
  <si>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</si>
  <si>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</si>
  <si>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</si>
  <si>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</si>
  <si>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</si>
  <si>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</si>
  <si>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</si>
  <si>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</si>
  <si>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</si>
  <si>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</si>
  <si>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</si>
  <si>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</si>
  <si>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</si>
  <si>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</si>
  <si>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</si>
  <si>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</si>
  <si>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</si>
  <si>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</si>
  <si>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</si>
  <si>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</si>
  <si>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</si>
  <si>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</si>
  <si>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</si>
  <si>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</si>
  <si>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</si>
  <si>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</si>
  <si>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</si>
  <si>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</si>
  <si>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</si>
  <si>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</si>
  <si>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</si>
  <si>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</si>
  <si>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</si>
  <si>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</si>
  <si>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</si>
  <si>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</si>
  <si>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</si>
  <si>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</si>
  <si>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</si>
  <si>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</si>
  <si>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</si>
  <si>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</si>
  <si>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</si>
  <si>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</si>
  <si>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</si>
  <si>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</si>
  <si>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</si>
  <si>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</si>
  <si>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</si>
  <si>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</si>
  <si>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</si>
  <si>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</si>
  <si>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</si>
  <si>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</si>
  <si>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</si>
  <si>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</si>
  <si>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</si>
  <si>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</si>
  <si>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</si>
  <si>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</si>
  <si>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</si>
  <si>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</si>
  <si>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</si>
  <si>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</si>
  <si>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</si>
  <si>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</si>
  <si>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</si>
  <si>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</si>
  <si>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</si>
  <si>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</si>
  <si>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</si>
  <si>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</si>
  <si>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</si>
  <si>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</si>
  <si>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</si>
  <si>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</si>
  <si>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</si>
  <si>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</si>
  <si>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</si>
  <si>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</si>
  <si>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</si>
  <si>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</si>
  <si>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</si>
  <si>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</si>
  <si>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</si>
  <si>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</si>
  <si>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</si>
  <si>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</si>
  <si>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</si>
  <si>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</si>
  <si>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</si>
  <si>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</si>
  <si>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</si>
  <si>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</si>
  <si>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</si>
  <si>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</si>
  <si>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</si>
  <si>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</si>
  <si>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</si>
  <si>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</si>
  <si>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</si>
  <si>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</si>
  <si>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</si>
  <si>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</si>
  <si>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</si>
  <si>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</si>
  <si>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</si>
  <si>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</si>
  <si>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</si>
  <si>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</si>
  <si>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</si>
  <si>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</si>
  <si>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</si>
  <si>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</si>
  <si>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</si>
  <si>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</si>
  <si>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</si>
  <si>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</si>
  <si>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</si>
  <si>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</si>
  <si>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</si>
  <si>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</si>
  <si>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</si>
  <si>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</si>
  <si>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</si>
  <si>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</si>
  <si>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</si>
  <si>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</si>
  <si>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</si>
  <si>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</si>
  <si>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</si>
  <si>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</si>
  <si>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</si>
  <si>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</si>
  <si>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</si>
  <si>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</si>
  <si>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</si>
  <si>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</si>
  <si>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</si>
  <si>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</si>
  <si>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</si>
  <si>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</si>
  <si>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</si>
  <si>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</si>
  <si>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</si>
  <si>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</si>
  <si>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</si>
  <si>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</si>
  <si>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</si>
  <si>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</si>
  <si>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</si>
  <si>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</si>
  <si>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</si>
  <si>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</si>
  <si>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</si>
  <si>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</si>
  <si>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</si>
  <si>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</si>
  <si>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</si>
  <si>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</si>
  <si>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</si>
  <si>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</si>
  <si>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</si>
  <si>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</si>
  <si>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</si>
  <si>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</si>
  <si>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</si>
  <si>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</si>
  <si>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</si>
  <si>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</si>
  <si>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</si>
  <si>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</si>
  <si>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</si>
  <si>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</si>
  <si>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</si>
  <si>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</si>
  <si>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</si>
  <si>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</si>
  <si>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</si>
  <si>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</si>
  <si>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</si>
  <si>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</si>
  <si>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</si>
  <si>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</si>
  <si>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</si>
  <si>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</si>
  <si>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</si>
  <si>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</si>
  <si>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</si>
  <si>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</si>
  <si>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</si>
  <si>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</si>
  <si>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</si>
  <si>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</si>
  <si>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</si>
  <si>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</si>
  <si>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</si>
  <si>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</si>
  <si>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</si>
  <si>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</si>
  <si>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</si>
  <si>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</si>
  <si>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</si>
  <si>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</si>
  <si>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</si>
  <si>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</si>
  <si>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</si>
  <si>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</si>
  <si>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</si>
  <si>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</si>
  <si>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</si>
  <si>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</si>
  <si>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</si>
  <si>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</si>
  <si>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</si>
  <si>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</si>
  <si>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</si>
  <si>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</si>
  <si>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</si>
  <si>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</si>
  <si>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</si>
  <si>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</si>
  <si>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</si>
  <si>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</si>
  <si>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</si>
  <si>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</si>
  <si>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</si>
  <si>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</si>
  <si>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</si>
  <si>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</si>
  <si>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</si>
  <si>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</si>
  <si>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</si>
  <si>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</si>
  <si>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</si>
  <si>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</si>
  <si>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</si>
  <si>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</si>
  <si>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</si>
  <si>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</si>
  <si>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</si>
  <si>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</si>
  <si>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</si>
  <si>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</si>
  <si>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</si>
  <si>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</si>
  <si>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</si>
  <si>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</si>
  <si>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</si>
  <si>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</si>
  <si>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</si>
  <si>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</si>
  <si>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</si>
  <si>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</si>
  <si>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</si>
  <si>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</si>
  <si>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</si>
  <si>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</si>
  <si>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</si>
  <si>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</si>
  <si>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</si>
  <si>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</si>
  <si>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</si>
  <si>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</si>
  <si>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</si>
  <si>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</si>
  <si>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</si>
  <si>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</si>
  <si>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</si>
  <si>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</si>
  <si>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</si>
  <si>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</si>
  <si>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</si>
  <si>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</si>
  <si>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</si>
  <si>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</si>
  <si>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</si>
  <si>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</si>
  <si>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</si>
  <si>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</si>
  <si>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</si>
  <si>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</si>
  <si>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</si>
  <si>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</si>
  <si>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</si>
  <si>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</si>
  <si>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</si>
  <si>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</si>
  <si>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</si>
  <si>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</si>
  <si>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</si>
  <si>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</si>
  <si>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</si>
  <si>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</si>
  <si>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</si>
  <si>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</si>
  <si>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</si>
  <si>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</si>
  <si>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</si>
  <si>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</si>
  <si>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</si>
  <si>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</si>
  <si>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</si>
  <si>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</si>
  <si>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</si>
  <si>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</si>
  <si>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</si>
  <si>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</si>
  <si>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</si>
  <si>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</si>
  <si>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</si>
  <si>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</si>
  <si>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</si>
  <si>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</si>
  <si>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</si>
  <si>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</si>
  <si>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</si>
  <si>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</si>
  <si>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</si>
  <si>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</si>
  <si>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</si>
  <si>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</si>
  <si>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</si>
  <si>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</si>
  <si>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</si>
  <si>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</si>
  <si>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</si>
  <si>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</si>
  <si>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</si>
  <si>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</si>
  <si>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</si>
  <si>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</si>
  <si>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</si>
  <si>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</si>
  <si>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</si>
  <si>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</si>
  <si>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</si>
  <si>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</si>
  <si>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</si>
  <si>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</si>
  <si>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</si>
  <si>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</si>
  <si>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</si>
  <si>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</si>
  <si>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</si>
  <si>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</si>
  <si>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</si>
  <si>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</si>
  <si>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</si>
  <si>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</si>
  <si>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</si>
  <si>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</si>
  <si>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</si>
  <si>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</si>
  <si>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</si>
  <si>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</si>
  <si>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</si>
  <si>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</si>
  <si>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</si>
  <si>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</si>
  <si>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</si>
  <si>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</si>
  <si>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</si>
  <si>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</si>
  <si>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</si>
  <si>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</si>
  <si>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</si>
  <si>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</si>
  <si>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</si>
  <si>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</si>
  <si>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</si>
  <si>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</si>
  <si>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</si>
  <si>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</si>
  <si>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</si>
  <si>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</si>
  <si>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</si>
  <si>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</si>
  <si>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</si>
  <si>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</si>
  <si>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</si>
  <si>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</si>
  <si>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</si>
  <si>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</si>
  <si>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</si>
  <si>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</si>
  <si>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</si>
  <si>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</si>
  <si>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</si>
  <si>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</si>
  <si>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</si>
  <si>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</si>
  <si>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</si>
  <si>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</si>
  <si>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</si>
  <si>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</si>
  <si>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</si>
  <si>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</si>
  <si>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</si>
  <si>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</si>
  <si>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</si>
  <si>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</si>
  <si>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</si>
  <si>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</si>
  <si>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</si>
  <si>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</si>
  <si>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</si>
  <si>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</si>
  <si>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</si>
  <si>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</si>
  <si>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</si>
  <si>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</si>
  <si>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</si>
  <si>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</si>
  <si>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</si>
  <si>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</si>
  <si>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</si>
  <si>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</si>
  <si>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</si>
  <si>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</si>
  <si>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</si>
  <si>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</si>
  <si>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</si>
  <si>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</si>
  <si>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</si>
  <si>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</si>
  <si>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</si>
  <si>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</si>
  <si>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</si>
  <si>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</si>
  <si>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</si>
  <si>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</si>
  <si>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</si>
  <si>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</si>
  <si>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</si>
  <si>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</si>
  <si>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</si>
  <si>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</si>
  <si>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</si>
  <si>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</si>
  <si>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</si>
  <si>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</si>
  <si>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</si>
  <si>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</si>
  <si>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</si>
  <si>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</si>
  <si>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</si>
  <si>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</si>
  <si>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</si>
  <si>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</si>
  <si>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</si>
  <si>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</si>
  <si>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</si>
  <si>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</si>
  <si>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</si>
  <si>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</si>
  <si>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</si>
  <si>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</si>
  <si>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</si>
  <si>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</si>
  <si>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</si>
  <si>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</si>
  <si>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</si>
  <si>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</si>
  <si>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</si>
  <si>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</si>
  <si>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</si>
  <si>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</si>
  <si>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</si>
  <si>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</si>
  <si>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</si>
  <si>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</si>
  <si>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</si>
  <si>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</si>
  <si>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</si>
  <si>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</si>
  <si>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</si>
  <si>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</si>
  <si>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</si>
  <si>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</si>
  <si>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</si>
  <si>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</si>
  <si>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</si>
  <si>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</si>
  <si>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</si>
  <si>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</si>
  <si>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</si>
  <si>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</si>
  <si>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</si>
  <si>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</si>
  <si>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</si>
  <si>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</si>
  <si>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</si>
  <si>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</si>
  <si>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</si>
  <si>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</si>
  <si>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</si>
  <si>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</si>
  <si>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</si>
  <si>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</si>
  <si>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</si>
  <si>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</si>
  <si>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</si>
  <si>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</si>
  <si>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</si>
  <si>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</si>
  <si>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</si>
  <si>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</si>
  <si>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</si>
  <si>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</si>
  <si>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</si>
  <si>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</si>
  <si>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</si>
  <si>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</si>
  <si>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</si>
  <si>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</si>
  <si>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</si>
  <si>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</si>
  <si>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</si>
  <si>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</si>
  <si>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</si>
  <si>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</si>
  <si>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</si>
  <si>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</si>
  <si>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</si>
  <si>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</si>
  <si>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</si>
  <si>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</si>
  <si>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</si>
  <si>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</si>
  <si>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</si>
  <si>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</si>
  <si>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</si>
  <si>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</si>
  <si>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</si>
  <si>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</si>
  <si>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</si>
  <si>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</si>
  <si>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</si>
  <si>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</si>
  <si>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</si>
  <si>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</si>
  <si>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</si>
  <si>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</si>
  <si>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</si>
  <si>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</si>
  <si>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</si>
  <si>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</si>
  <si>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</si>
  <si>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</si>
  <si>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</si>
  <si>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</si>
  <si>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</si>
  <si>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</si>
  <si>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</si>
  <si>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</si>
  <si>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</si>
  <si>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</si>
  <si>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</si>
  <si>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</si>
  <si>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</si>
  <si>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</si>
  <si>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</si>
  <si>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</si>
  <si>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</si>
  <si>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</si>
  <si>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</si>
  <si>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</si>
  <si>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</si>
  <si>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</si>
  <si>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</si>
  <si>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</si>
  <si>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</si>
  <si>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</si>
  <si>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</si>
  <si>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</si>
  <si>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</si>
  <si>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</si>
  <si>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</si>
  <si>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</si>
  <si>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</si>
  <si>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</si>
  <si>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</si>
  <si>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</si>
  <si>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</si>
  <si>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</si>
  <si>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</si>
  <si>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</si>
  <si>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</si>
  <si>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</si>
  <si>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</si>
  <si>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</si>
  <si>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</si>
  <si>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</si>
  <si>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</si>
  <si>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</si>
  <si>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</si>
  <si>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</si>
  <si>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</si>
  <si>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</si>
  <si>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</si>
  <si>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</si>
  <si>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</si>
  <si>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</si>
  <si>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</si>
  <si>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</si>
  <si>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</si>
  <si>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</si>
  <si>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</si>
  <si>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</si>
  <si>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</si>
  <si>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</si>
  <si>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</si>
  <si>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</si>
  <si>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</si>
  <si>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</si>
  <si>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</si>
  <si>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</si>
  <si>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</si>
  <si>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</si>
  <si>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</si>
  <si>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</si>
  <si>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</si>
  <si>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</si>
  <si>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</si>
  <si>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</si>
  <si>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</si>
  <si>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</si>
  <si>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</si>
  <si>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</si>
  <si>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</si>
  <si>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</si>
  <si>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</si>
  <si>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</si>
  <si>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</si>
  <si>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</si>
  <si>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</si>
  <si>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</si>
  <si>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</si>
  <si>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</si>
  <si>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</si>
  <si>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</si>
  <si>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</si>
  <si>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</si>
  <si>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</si>
  <si>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</si>
  <si>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</si>
  <si>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</si>
  <si>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</si>
  <si>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</si>
  <si>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</si>
  <si>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</si>
  <si>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</si>
  <si>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</si>
  <si>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</si>
  <si>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</si>
  <si>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</si>
  <si>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</si>
  <si>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</si>
  <si>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</si>
  <si>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</si>
  <si>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</si>
  <si>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</si>
  <si>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</si>
  <si>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</si>
  <si>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</si>
  <si>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</si>
  <si>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</si>
  <si>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</si>
  <si>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</si>
  <si>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</si>
  <si>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</si>
  <si>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</si>
  <si>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</si>
  <si>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</si>
  <si>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</si>
  <si>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</si>
  <si>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</si>
  <si>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</si>
  <si>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</si>
  <si>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</si>
  <si>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</si>
  <si>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</si>
  <si>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</si>
  <si>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</si>
  <si>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</si>
  <si>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</si>
  <si>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</si>
  <si>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</si>
  <si>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</si>
  <si>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</si>
  <si>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</si>
  <si>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</si>
  <si>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</si>
  <si>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</si>
  <si>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</si>
  <si>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</si>
  <si>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</si>
  <si>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</si>
  <si>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</si>
  <si>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</si>
  <si>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</si>
  <si>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</si>
  <si>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</si>
  <si>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</si>
  <si>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</si>
  <si>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</si>
  <si>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</si>
  <si>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</si>
  <si>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</si>
  <si>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</si>
  <si>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</si>
  <si>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</si>
  <si>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</si>
  <si>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</si>
  <si>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</si>
  <si>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</si>
  <si>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</si>
  <si>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</si>
  <si>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</si>
  <si>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</si>
  <si>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</si>
  <si>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</si>
  <si>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</si>
  <si>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</si>
  <si>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</si>
  <si>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</si>
  <si>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</si>
  <si>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</si>
  <si>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</si>
  <si>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</si>
  <si>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</si>
  <si>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</si>
  <si>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</si>
  <si>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</si>
  <si>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</si>
  <si>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</si>
  <si>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</si>
  <si>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</si>
  <si>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</si>
  <si>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</si>
  <si>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</si>
  <si>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</si>
  <si>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</si>
  <si>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</si>
  <si>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</si>
  <si>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</si>
  <si>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</si>
  <si>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</si>
  <si>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</si>
  <si>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</si>
  <si>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</si>
  <si>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</si>
  <si>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</si>
  <si>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</si>
  <si>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</si>
  <si>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</si>
  <si>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</si>
  <si>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</si>
  <si>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</si>
  <si>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</si>
  <si>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</si>
  <si>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</si>
  <si>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</si>
  <si>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</si>
  <si>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</si>
  <si>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</si>
  <si>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</si>
  <si>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</si>
  <si>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</si>
  <si>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</si>
  <si>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</si>
  <si>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</si>
  <si>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</si>
  <si>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</si>
  <si>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</si>
  <si>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</si>
  <si>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</si>
  <si>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</si>
  <si>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</si>
  <si>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</si>
  <si>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</si>
  <si>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</si>
  <si>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</si>
  <si>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</si>
  <si>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</si>
  <si>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</si>
  <si>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</si>
  <si>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</si>
  <si>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</si>
  <si>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</si>
  <si>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</si>
  <si>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</si>
  <si>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</si>
  <si>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</si>
  <si>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</si>
  <si>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</si>
  <si>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</si>
  <si>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</si>
  <si>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</si>
  <si>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</si>
  <si>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</si>
  <si>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</si>
  <si>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</si>
  <si>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</si>
  <si>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</si>
  <si>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</si>
  <si>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</si>
  <si>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</si>
  <si>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</si>
  <si>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</si>
  <si>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</si>
  <si>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</si>
  <si>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</si>
  <si>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</si>
  <si>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</si>
  <si>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</si>
  <si>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</si>
  <si>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</si>
  <si>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</si>
  <si>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</si>
  <si>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</si>
  <si>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</si>
  <si>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</si>
  <si>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</si>
  <si>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</si>
  <si>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</si>
  <si>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</si>
  <si>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</si>
  <si>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</si>
  <si>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</si>
  <si>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</si>
  <si>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</si>
  <si>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</si>
  <si>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</si>
  <si>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</si>
  <si>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</si>
  <si>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</si>
  <si>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</si>
  <si>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</si>
  <si>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</si>
  <si>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</si>
  <si>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</si>
  <si>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</si>
  <si>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</si>
  <si>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</si>
  <si>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</si>
  <si>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</si>
  <si>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</si>
  <si>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</si>
  <si>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</si>
  <si>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</si>
  <si>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</si>
  <si>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</si>
  <si>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</si>
  <si>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</si>
  <si>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</si>
  <si>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</si>
  <si>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</si>
  <si>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</si>
  <si>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</si>
  <si>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</si>
  <si>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</si>
  <si>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</si>
  <si>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</si>
  <si>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</si>
  <si>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</si>
  <si>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</si>
  <si>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</si>
  <si>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</si>
  <si>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</si>
  <si>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</si>
  <si>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</si>
  <si>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</si>
  <si>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</si>
  <si>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</si>
  <si>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</si>
  <si>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</si>
  <si>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</si>
  <si>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</si>
  <si>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</si>
  <si>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</si>
  <si>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</si>
  <si>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</si>
  <si>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</si>
  <si>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</si>
  <si>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</si>
  <si>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</si>
  <si>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</si>
  <si>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</si>
  <si>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</si>
  <si>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</si>
  <si>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</si>
  <si>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</si>
  <si>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</si>
  <si>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</si>
  <si>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</si>
  <si>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</si>
  <si>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</si>
  <si>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</si>
  <si>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</si>
  <si>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</si>
  <si>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</si>
  <si>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</si>
  <si>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</si>
  <si>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</si>
  <si>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</si>
  <si>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</si>
  <si>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</si>
  <si>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</si>
  <si>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</si>
  <si>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</si>
  <si>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</si>
  <si>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</si>
  <si>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</si>
  <si>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</si>
  <si>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</si>
  <si>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</si>
  <si>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</si>
  <si>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</si>
  <si>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</si>
  <si>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</si>
  <si>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</si>
  <si>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</si>
  <si>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</si>
  <si>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</si>
  <si>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</si>
  <si>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</si>
  <si>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</si>
  <si>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</si>
  <si>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</si>
  <si>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</si>
  <si>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</si>
  <si>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</si>
  <si>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</si>
  <si>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</si>
  <si>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</si>
  <si>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</si>
  <si>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</si>
  <si>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</si>
  <si>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</si>
  <si>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</si>
  <si>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</si>
  <si>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</si>
  <si>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</si>
  <si>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</si>
  <si>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</si>
  <si>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</si>
  <si>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</si>
  <si>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</si>
  <si>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</si>
  <si>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</si>
  <si>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</si>
  <si>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</si>
  <si>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</si>
  <si>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</si>
  <si>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</si>
  <si>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</si>
  <si>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</si>
  <si>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</si>
  <si>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</si>
  <si>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</si>
  <si>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</si>
  <si>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</si>
  <si>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</si>
  <si>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</si>
  <si>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</si>
  <si>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</si>
  <si>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</si>
  <si>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</si>
  <si>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</si>
  <si>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</si>
  <si>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</si>
  <si>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</si>
  <si>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</si>
  <si>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</si>
  <si>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</si>
  <si>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</si>
  <si>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</si>
  <si>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</si>
  <si>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</si>
  <si>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</si>
  <si>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</si>
  <si>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</si>
  <si>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</si>
  <si>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</si>
  <si>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</si>
  <si>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</si>
  <si>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</si>
  <si>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</si>
  <si>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</si>
  <si>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</si>
  <si>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</si>
  <si>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</si>
  <si>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</si>
  <si>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</si>
  <si>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</si>
  <si>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</si>
  <si>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</si>
  <si>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</si>
  <si>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</si>
  <si>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</si>
  <si>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</si>
  <si>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</si>
  <si>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</si>
  <si>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</si>
  <si>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</si>
  <si>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</si>
  <si>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</si>
  <si>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</si>
  <si>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</si>
  <si>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</si>
  <si>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</si>
  <si>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</si>
  <si>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</si>
  <si>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</si>
  <si>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</si>
  <si>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</si>
  <si>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</si>
  <si>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</si>
  <si>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</si>
  <si>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</si>
  <si>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</si>
  <si>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</si>
  <si>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</si>
  <si>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</si>
  <si>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</si>
  <si>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</si>
  <si>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</si>
  <si>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</si>
  <si>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</si>
  <si>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</si>
  <si>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</si>
  <si>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</si>
  <si>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</si>
  <si>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</si>
  <si>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</si>
  <si>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</si>
  <si>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</si>
  <si>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</si>
  <si>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</si>
  <si>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</si>
  <si>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</si>
  <si>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</si>
  <si>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</si>
  <si>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</si>
  <si>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</si>
  <si>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</si>
  <si>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</si>
  <si>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</si>
  <si>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</si>
  <si>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</si>
  <si>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</si>
  <si>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</si>
  <si>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</si>
  <si>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</si>
  <si>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</si>
  <si>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</si>
  <si>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</si>
  <si>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</si>
  <si>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</si>
  <si>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</si>
  <si>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</si>
  <si>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</si>
  <si>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</si>
  <si>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</si>
  <si>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</si>
  <si>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</si>
  <si>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</si>
  <si>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</si>
  <si>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</si>
  <si>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</si>
  <si>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</si>
  <si>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</si>
  <si>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</si>
  <si>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</si>
  <si>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</si>
  <si>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</si>
  <si>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</si>
  <si>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</si>
  <si>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</si>
  <si>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</si>
  <si>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</si>
  <si>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</si>
  <si>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</si>
  <si>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</si>
  <si>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</si>
  <si>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</si>
  <si>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</si>
  <si>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</si>
  <si>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</si>
  <si>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</si>
  <si>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</si>
  <si>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</si>
  <si>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</si>
  <si>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</si>
  <si>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</si>
  <si>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</si>
  <si>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</si>
  <si>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</si>
  <si>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</si>
  <si>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</si>
  <si>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</si>
  <si>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</si>
  <si>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</si>
  <si>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</si>
  <si>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</si>
  <si>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</si>
  <si>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</si>
  <si>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</si>
  <si>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</si>
  <si>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</si>
  <si>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</si>
  <si>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</si>
  <si>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</si>
  <si>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</si>
  <si>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</si>
  <si>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</si>
  <si>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</si>
  <si>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</si>
  <si>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</si>
  <si>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</si>
  <si>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</si>
  <si>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</si>
  <si>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</si>
  <si>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</si>
  <si>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</si>
  <si>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</si>
  <si>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</si>
  <si>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</si>
  <si>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</si>
  <si>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</si>
  <si>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</si>
  <si>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</si>
  <si>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</si>
  <si>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</si>
  <si>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</si>
  <si>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</si>
  <si>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</si>
  <si>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</si>
  <si>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</si>
  <si>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</si>
  <si>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</si>
  <si>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</si>
  <si>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</si>
  <si>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</si>
  <si>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</si>
  <si>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</si>
  <si>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</si>
  <si>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</si>
  <si>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</si>
  <si>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</si>
  <si>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</si>
  <si>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</si>
  <si>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</si>
  <si>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</si>
  <si>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</si>
  <si>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</si>
  <si>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</si>
  <si>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</si>
  <si>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</si>
  <si>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</si>
  <si>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</si>
  <si>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</si>
  <si>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</si>
  <si>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</si>
  <si>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</si>
  <si>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</si>
  <si>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</si>
  <si>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</si>
  <si>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</si>
  <si>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</si>
  <si>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</si>
  <si>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</si>
  <si>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</si>
  <si>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</si>
  <si>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</si>
  <si>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</si>
  <si>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</si>
  <si>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</si>
  <si>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</si>
  <si>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</si>
  <si>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</si>
  <si>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</si>
  <si>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</si>
  <si>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</si>
  <si>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</si>
  <si>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</si>
  <si>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</si>
  <si>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</si>
  <si>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</si>
  <si>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</si>
  <si>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</si>
  <si>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</si>
  <si>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</si>
  <si>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</si>
  <si>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</si>
  <si>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</si>
  <si>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</si>
  <si>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</si>
  <si>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</si>
  <si>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</si>
  <si>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</si>
  <si>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</si>
  <si>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</si>
  <si>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</si>
  <si>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</si>
  <si>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</si>
  <si>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</si>
  <si>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</si>
  <si>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</si>
  <si>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</si>
  <si>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</si>
  <si>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</si>
  <si>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</si>
  <si>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</si>
  <si>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</si>
  <si>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</si>
  <si>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</si>
  <si>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</si>
  <si>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</si>
  <si>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</si>
  <si>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</si>
  <si>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</si>
  <si>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</si>
  <si>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</si>
  <si>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</si>
  <si>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</si>
  <si>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</si>
  <si>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</si>
  <si>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</si>
  <si>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</si>
  <si>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</si>
  <si>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</si>
  <si>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</si>
  <si>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</si>
  <si>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</si>
  <si>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</si>
  <si>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</si>
  <si>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</si>
  <si>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</si>
  <si>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</si>
  <si>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</si>
  <si>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</si>
  <si>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</si>
  <si>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</si>
  <si>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</si>
  <si>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</si>
  <si>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</si>
  <si>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</si>
  <si>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</si>
  <si>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</si>
  <si>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</si>
  <si>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</si>
  <si>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</si>
  <si>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</si>
  <si>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</si>
  <si>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</si>
  <si>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</si>
  <si>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</si>
  <si>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</si>
  <si>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</si>
  <si>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</si>
  <si>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</si>
  <si>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</si>
  <si>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</si>
  <si>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</si>
  <si>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</si>
  <si>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</si>
  <si>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</si>
  <si>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</si>
  <si>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</si>
  <si>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</si>
  <si>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</si>
  <si>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</si>
  <si>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</si>
  <si>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</si>
  <si>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</si>
  <si>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</si>
  <si>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</si>
  <si>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</si>
  <si>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</si>
  <si>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</si>
  <si>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</si>
  <si>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</si>
  <si>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</si>
  <si>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</si>
  <si>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</si>
  <si>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</si>
  <si>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</si>
  <si>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</si>
  <si>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</si>
  <si>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</si>
  <si>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</si>
  <si>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</si>
  <si>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</si>
  <si>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</si>
  <si>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</si>
  <si>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</si>
  <si>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</si>
  <si>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</si>
  <si>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</si>
  <si>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</si>
  <si>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</si>
  <si>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</si>
  <si>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</si>
  <si>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</si>
  <si>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</si>
  <si>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</si>
  <si>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</si>
  <si>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</si>
  <si>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</si>
  <si>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</si>
  <si>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</si>
  <si>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</si>
  <si>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</si>
  <si>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</si>
  <si>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</si>
  <si>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</si>
  <si>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</si>
  <si>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</si>
  <si>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</si>
  <si>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</si>
  <si>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</si>
  <si>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</si>
  <si>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</si>
  <si>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</si>
  <si>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</si>
  <si>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</si>
  <si>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</si>
  <si>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</si>
  <si>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</si>
  <si>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</si>
  <si>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</si>
  <si>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</si>
  <si>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</si>
  <si>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</si>
  <si>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</si>
  <si>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</si>
  <si>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</si>
  <si>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</si>
  <si>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</si>
  <si>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</si>
  <si>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</si>
  <si>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</si>
  <si>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</si>
  <si>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</si>
  <si>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</si>
  <si>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</si>
  <si>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</si>
  <si>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</si>
  <si>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</si>
  <si>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</si>
  <si>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</si>
  <si>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</si>
  <si>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</si>
  <si>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</si>
  <si>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</si>
  <si>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</si>
  <si>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</si>
  <si>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</si>
  <si>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</si>
  <si>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</si>
  <si>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</si>
  <si>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</si>
  <si>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</si>
  <si>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</si>
  <si>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</si>
  <si>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</si>
  <si>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</si>
  <si>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</si>
  <si>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</si>
  <si>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</si>
  <si>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</si>
  <si>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</si>
  <si>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</si>
  <si>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</si>
  <si>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</si>
  <si>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</si>
  <si>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</si>
  <si>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</si>
  <si>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</si>
  <si>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</si>
  <si>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</si>
  <si>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</si>
  <si>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</si>
  <si>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</si>
  <si>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</si>
  <si>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</si>
  <si>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</si>
  <si>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</si>
  <si>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</si>
  <si>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</si>
  <si>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</si>
  <si>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</si>
  <si>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</si>
  <si>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</si>
  <si>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</si>
  <si>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</si>
  <si>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</si>
  <si>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</si>
  <si>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</si>
  <si>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</si>
  <si>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</si>
  <si>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</si>
  <si>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</si>
  <si>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</si>
  <si>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</si>
  <si>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</si>
  <si>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</si>
  <si>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</si>
  <si>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</si>
  <si>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</si>
  <si>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</si>
  <si>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</si>
  <si>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</si>
  <si>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</si>
  <si>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</si>
  <si>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</si>
  <si>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</si>
  <si>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</si>
  <si>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</si>
  <si>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</si>
  <si>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</si>
  <si>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</si>
  <si>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</si>
  <si>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</si>
  <si>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</si>
  <si>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</si>
  <si>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</si>
  <si>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</si>
  <si>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</si>
  <si>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</si>
  <si>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</si>
  <si>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</si>
  <si>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</si>
  <si>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</si>
  <si>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</si>
  <si>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</si>
  <si>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</si>
  <si>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</si>
  <si>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</si>
  <si>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</si>
  <si>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</si>
  <si>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</si>
  <si>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</si>
  <si>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</si>
  <si>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</si>
  <si>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</si>
  <si>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</si>
  <si>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</si>
  <si>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</si>
  <si>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</si>
  <si>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</si>
  <si>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</si>
  <si>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</si>
  <si>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</si>
  <si>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</si>
  <si>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</si>
  <si>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</si>
  <si>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</si>
  <si>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</si>
  <si>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</si>
  <si>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</si>
  <si>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</si>
  <si>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</si>
  <si>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</si>
  <si>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</si>
  <si>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</si>
  <si>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</si>
  <si>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</si>
  <si>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</si>
  <si>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</si>
  <si>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</si>
  <si>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</si>
  <si>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</si>
  <si>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</si>
  <si>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</si>
  <si>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</si>
  <si>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</si>
  <si>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</si>
  <si>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</si>
  <si>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</si>
  <si>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</si>
  <si>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</si>
  <si>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</si>
  <si>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</si>
  <si>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</si>
  <si>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</si>
  <si>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</si>
  <si>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</si>
  <si>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</si>
  <si>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</si>
  <si>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</si>
  <si>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</si>
  <si>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</si>
  <si>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</si>
  <si>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</si>
  <si>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</si>
  <si>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</si>
  <si>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</si>
  <si>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</si>
  <si>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</si>
  <si>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</si>
  <si>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</si>
  <si>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</si>
  <si>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</si>
  <si>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</si>
  <si>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</si>
  <si>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</si>
  <si>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</si>
  <si>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</si>
  <si>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</si>
  <si>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</si>
  <si>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</si>
  <si>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</si>
  <si>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</si>
  <si>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</si>
  <si>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</si>
  <si>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</si>
  <si>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</si>
  <si>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</si>
  <si>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</si>
  <si>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</si>
  <si>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</si>
  <si>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</si>
  <si>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</si>
  <si>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</si>
  <si>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</si>
  <si>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</si>
  <si>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</si>
  <si>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</si>
  <si>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</si>
  <si>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</si>
  <si>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</si>
  <si>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</si>
  <si>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</si>
  <si>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</si>
  <si>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</si>
  <si>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</si>
  <si>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</si>
  <si>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</si>
  <si>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</si>
  <si>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</si>
  <si>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</si>
  <si>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</si>
  <si>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</si>
  <si>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</si>
  <si>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</si>
  <si>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</si>
  <si>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</si>
  <si>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</si>
  <si>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</si>
  <si>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</si>
  <si>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</si>
  <si>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</si>
  <si>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</si>
  <si>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</si>
  <si>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</si>
  <si>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</si>
  <si>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</si>
  <si>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</si>
  <si>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</si>
  <si>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</si>
  <si>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</si>
  <si>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</si>
  <si>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</si>
  <si>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</si>
  <si>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</si>
  <si>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</si>
  <si>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</si>
  <si>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</si>
  <si>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</si>
  <si>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</si>
  <si>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</si>
  <si>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</si>
  <si>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</si>
  <si>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</si>
  <si>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</si>
  <si>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</si>
  <si>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</si>
  <si>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</si>
  <si>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</si>
  <si>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</si>
  <si>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</si>
  <si>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</si>
  <si>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</si>
  <si>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</si>
  <si>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</si>
  <si>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</si>
  <si>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</si>
  <si>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</si>
  <si>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</si>
  <si>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</si>
  <si>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</si>
  <si>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</si>
  <si>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</si>
  <si>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</si>
  <si>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</si>
  <si>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</si>
  <si>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</si>
  <si>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</si>
  <si>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</si>
  <si>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</si>
  <si>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</si>
  <si>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</si>
  <si>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</si>
  <si>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</si>
  <si>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</si>
  <si>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</si>
  <si>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</si>
  <si>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</si>
  <si>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</si>
  <si>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</si>
  <si>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</si>
  <si>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</si>
  <si>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</si>
  <si>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</si>
  <si>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</si>
  <si>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</si>
  <si>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</si>
  <si>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</si>
  <si>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</si>
  <si>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</si>
  <si>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</si>
  <si>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</si>
  <si>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</si>
  <si>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</si>
  <si>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</si>
  <si>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</si>
  <si>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</si>
  <si>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</si>
  <si>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</si>
  <si>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</si>
  <si>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</si>
  <si>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</si>
  <si>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</si>
  <si>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</si>
  <si>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</si>
  <si>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</si>
  <si>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</si>
  <si>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</si>
  <si>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</si>
  <si>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</si>
  <si>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</si>
  <si>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</si>
  <si>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</si>
  <si>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</si>
  <si>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</si>
  <si>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</si>
  <si>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</si>
  <si>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</si>
  <si>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</si>
  <si>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</si>
  <si>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</si>
  <si>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</si>
  <si>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</si>
  <si>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</si>
  <si>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</si>
  <si>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</si>
  <si>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</si>
  <si>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</si>
  <si>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</si>
  <si>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</si>
  <si>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</si>
  <si>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</si>
  <si>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</si>
  <si>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</si>
  <si>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</si>
  <si>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</si>
  <si>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Cavanaugh, Davies, Blackman &amp; Cramblet, CPA's</t>
  </si>
  <si>
    <t>1021 N. Main St., PO Box 318</t>
  </si>
  <si>
    <t>Monmouth</t>
  </si>
  <si>
    <t>IL</t>
  </si>
  <si>
    <t>309-734-2330</t>
  </si>
  <si>
    <t>309-734-2349</t>
  </si>
  <si>
    <t>cdbccpas@monmouthcpa.com</t>
  </si>
  <si>
    <t>McDonough</t>
  </si>
  <si>
    <t>845 N. Walnut</t>
  </si>
  <si>
    <t>Bushnell</t>
  </si>
  <si>
    <t>dingerk@bpcschools.org</t>
  </si>
  <si>
    <t>Kathy Dinger</t>
  </si>
  <si>
    <t>309-772-9461</t>
  </si>
  <si>
    <t>309-772-9462</t>
  </si>
  <si>
    <t>John Meixner</t>
  </si>
  <si>
    <t>jmeixner@roe26.net</t>
  </si>
  <si>
    <t>309-575-3226</t>
  </si>
  <si>
    <t>309-837-2887</t>
  </si>
  <si>
    <t>Rod Davies</t>
  </si>
  <si>
    <t>2016 Life Safety Bonds</t>
  </si>
  <si>
    <t>West Central Illinois Special Ed Co-Op</t>
  </si>
  <si>
    <t>Western Area Purchasing Co-Op</t>
  </si>
  <si>
    <t>Western Area Career System</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</si>
  <si>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</si>
  <si>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 xml:space="preserve">A limited number of key employees have the primary responsibility for performing most of the accounting and financial duties, including key functions of recording, reconciling, and reporting cash transactions.  This structure reduces aspects of the internal control system which rely on adequate segregation of duties. </t>
  </si>
  <si>
    <t>All District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</si>
  <si>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</si>
  <si>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 xml:space="preserve">Segregation of duties is normally difficult to accomplish within a small governmental entity.  This corrective action is not practical in the circumstances, because the cost of implementing internal control procedures should not exceed the benefit derived. </t>
  </si>
  <si>
    <t>It is not economically feasible for the district to hire extra bookkeeping personnel at this time.</t>
  </si>
  <si>
    <t>2019-001</t>
  </si>
  <si>
    <t>Inadequate Segregation of Duties</t>
  </si>
  <si>
    <t xml:space="preserve">Repeat Finding - Corrective action is not </t>
  </si>
  <si>
    <t>practical in the circumstances.</t>
  </si>
  <si>
    <t>Cavanaugh, Davies, Blackman &amp; Cramblet</t>
  </si>
  <si>
    <t>Ed-Instructional Services-Purchased Service</t>
  </si>
  <si>
    <t>Atlantic Research Partners</t>
  </si>
  <si>
    <t>Education Fund</t>
  </si>
  <si>
    <t>Sales to Pupils - Other - #1614, Page 10, Line 72</t>
  </si>
  <si>
    <t>$332  Milk Sales</t>
  </si>
  <si>
    <t>Other Local Revenues - #1999, Page 11, Line 107</t>
  </si>
  <si>
    <t>Other Restricted Revenue from State Sources - #3999, Page 12, Line 168</t>
  </si>
  <si>
    <t>$750  #3800 Per Capita Library Grant</t>
  </si>
  <si>
    <t>$228,095  #4331 Title I School Improvement</t>
  </si>
  <si>
    <t>Title  1 - Other - #4399, Page 13, Line 203</t>
  </si>
  <si>
    <t>Operations and Maintenance Fund</t>
  </si>
  <si>
    <t>$4,620  Expense Reimbursements</t>
  </si>
  <si>
    <t>$4464  ISBE E-Rate Grant Match</t>
  </si>
  <si>
    <t>Debt Services Fund</t>
  </si>
  <si>
    <t>Debt Services - Other - #5400, Page 18, Line 171</t>
  </si>
  <si>
    <t>$500 Bond Administrative Fees</t>
  </si>
  <si>
    <t>$710  Expense Reimbursements</t>
  </si>
  <si>
    <t>Schedule of Restricted Local Tax Levies &amp; Selected Revenue Sources</t>
  </si>
  <si>
    <t>Debt Services Other, Page 25, Line 20</t>
  </si>
  <si>
    <t>$500  Bond Fees - School Facility Occupation Taxes</t>
  </si>
  <si>
    <t>Other Disbursements, Page 25, Line 22</t>
  </si>
  <si>
    <t>$26,635  Special Education Tuition</t>
  </si>
  <si>
    <t>$778  Expense Reimbursements</t>
  </si>
  <si>
    <t>Other Payments to In-State Govt. Units - #4190 , Page 16, Line 83</t>
  </si>
  <si>
    <t>$36,535 - Object 300 - Title I Special Ed Services</t>
  </si>
  <si>
    <t>$104,350 - Object 600 - Title I Special Ed Tuition</t>
  </si>
  <si>
    <t>$299 - Object 600 - Refund of Ag Education to ISBE</t>
  </si>
  <si>
    <t>$40,173 E-Rate Grant</t>
  </si>
  <si>
    <t>For each fund, total expenditures disbursed may not legally exceed the District's budgeted amounts.</t>
  </si>
  <si>
    <t>For the year ended June 30, 2020, actual expenditures exceeded the budget in the Fire Prevention &amp; Safety Fund.</t>
  </si>
  <si>
    <t>The superintendent and board will review actual and budgeted amounts in the individual funds before year-end, and amend the budget with the amounts necessary to cover actual District expenditures.</t>
  </si>
  <si>
    <t>2019-A General Life Safety Obligation Bonds</t>
  </si>
  <si>
    <t>2019-B General Obligation Capital Projects Bonds</t>
  </si>
  <si>
    <t>$3,318 - Object 600 - Refund of Early Childhood Block Grant to ISBE</t>
  </si>
  <si>
    <t>Other Receipts, Page 25, Line 10</t>
  </si>
  <si>
    <t>$164,780  Property Taxes - Debt Service Fund - Levied for Related Debt Payment</t>
  </si>
  <si>
    <t>A review of expenditures compared to the budget should be done on an ongoing basis.  If the District's needs change, the board should amend the budget with the amounts necessary to cover the District's actual operating expenses.</t>
  </si>
  <si>
    <t xml:space="preserve">  Bushnell Prarie City 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</si>
</sst>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64" fontId="65" fillId="0" borderId="0" xfId="0"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152400</xdr:rowOff>
        </xdr:from>
        <xdr:to>
          <xdr:col>1</xdr:col>
          <xdr:colOff>904875</xdr:colOff>
          <xdr:row>9</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4</xdr:row>
          <xdr:rowOff>76200</xdr:rowOff>
        </xdr:from>
        <xdr:to>
          <xdr:col>1</xdr:col>
          <xdr:colOff>2438400</xdr:colOff>
          <xdr:row>8</xdr:row>
          <xdr:rowOff>114300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401</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520</v>
      </c>
      <c r="J4" s="2117"/>
      <c r="K4" s="2117"/>
      <c r="L4" s="2117"/>
      <c r="M4" s="2117"/>
      <c r="N4" s="2117"/>
      <c r="O4" s="2117"/>
      <c r="P4" s="2117"/>
      <c r="Q4" s="2117"/>
      <c r="R4" s="2117"/>
      <c r="S4" s="2117"/>
    </row>
    <row r="5" spans="1:32" ht="14.1" customHeight="1" x14ac:dyDescent="0.2">
      <c r="B5" s="101" t="s">
        <v>2050</v>
      </c>
      <c r="C5" s="26" t="s">
        <v>903</v>
      </c>
      <c r="D5" s="81"/>
      <c r="E5" s="81"/>
      <c r="H5" s="38"/>
      <c r="I5" s="2125" t="s">
        <v>674</v>
      </c>
      <c r="J5" s="2070"/>
      <c r="K5" s="2070"/>
      <c r="L5" s="2070"/>
      <c r="M5" s="2070"/>
      <c r="N5" s="2070"/>
      <c r="O5" s="2070"/>
      <c r="P5" s="2070"/>
      <c r="Q5" s="2070"/>
      <c r="R5" s="2070"/>
      <c r="S5" s="2070"/>
      <c r="AF5" s="1827"/>
    </row>
    <row r="6" spans="1:32" ht="14.1" customHeight="1" x14ac:dyDescent="0.2">
      <c r="B6" s="101"/>
      <c r="C6" s="26" t="s">
        <v>904</v>
      </c>
      <c r="D6" s="81"/>
      <c r="E6" s="81"/>
      <c r="I6" s="2124" t="s">
        <v>876</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668</v>
      </c>
      <c r="J9" s="2122"/>
      <c r="K9" s="2122"/>
      <c r="L9" s="2122"/>
      <c r="M9" s="2122"/>
      <c r="N9" s="2122"/>
      <c r="O9" s="2122"/>
      <c r="P9" s="2122"/>
      <c r="Q9" s="2122"/>
      <c r="R9" s="2122"/>
      <c r="S9" s="2123"/>
      <c r="T9" s="2066" t="s">
        <v>529</v>
      </c>
      <c r="U9" s="2067"/>
      <c r="V9" s="2067"/>
      <c r="W9" s="2067"/>
      <c r="X9" s="2067"/>
      <c r="Y9" s="2067"/>
      <c r="Z9" s="2067"/>
      <c r="AA9" s="2068"/>
    </row>
    <row r="10" spans="1:32" ht="13.5" customHeight="1" x14ac:dyDescent="0.2">
      <c r="A10" s="2075" t="s">
        <v>669</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948</v>
      </c>
      <c r="B11" s="2079"/>
      <c r="C11" s="2079"/>
      <c r="D11" s="2079"/>
      <c r="E11" s="2079"/>
      <c r="F11" s="2079"/>
      <c r="G11" s="2079"/>
      <c r="H11" s="2080"/>
      <c r="I11" s="27"/>
      <c r="J11" s="71"/>
      <c r="K11" s="27"/>
      <c r="O11" s="144" t="s">
        <v>2050</v>
      </c>
      <c r="P11" s="97" t="s">
        <v>199</v>
      </c>
      <c r="Q11" s="30"/>
      <c r="R11" s="28"/>
      <c r="S11" s="27"/>
      <c r="T11" s="2072"/>
      <c r="U11" s="2073"/>
      <c r="V11" s="2073"/>
      <c r="W11" s="2073"/>
      <c r="X11" s="2073"/>
      <c r="Y11" s="2073"/>
      <c r="Z11" s="2073"/>
      <c r="AA11" s="207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6">
        <v>26062170026</v>
      </c>
      <c r="B13" s="2087"/>
      <c r="C13" s="2087"/>
      <c r="D13" s="2087"/>
      <c r="E13" s="2087"/>
      <c r="F13" s="2087"/>
      <c r="G13" s="2087"/>
      <c r="H13" s="2088"/>
      <c r="I13" s="31"/>
      <c r="J13" s="30"/>
      <c r="K13" s="28"/>
      <c r="L13" s="30"/>
      <c r="M13" s="30"/>
      <c r="N13" s="30"/>
      <c r="O13" s="30"/>
      <c r="P13" s="30"/>
      <c r="Q13" s="30"/>
      <c r="R13" s="30"/>
      <c r="S13" s="30"/>
      <c r="T13" s="2091" t="s">
        <v>2051</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4" t="s">
        <v>2058</v>
      </c>
      <c r="B15" s="2089"/>
      <c r="C15" s="2089"/>
      <c r="D15" s="2089"/>
      <c r="E15" s="2089"/>
      <c r="F15" s="2089"/>
      <c r="G15" s="2089"/>
      <c r="H15" s="2090"/>
      <c r="T15" s="2052" t="s">
        <v>2069</v>
      </c>
      <c r="U15" s="2053"/>
      <c r="V15" s="2053"/>
      <c r="W15" s="2053"/>
      <c r="X15" s="2053"/>
      <c r="Y15" s="2095"/>
      <c r="Z15" s="2095"/>
      <c r="AA15" s="209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4" t="s">
        <v>2122</v>
      </c>
      <c r="B17" s="2114"/>
      <c r="C17" s="2114"/>
      <c r="D17" s="2114"/>
      <c r="E17" s="2114"/>
      <c r="F17" s="2114"/>
      <c r="G17" s="2114"/>
      <c r="H17" s="2115"/>
      <c r="T17" s="2101" t="s">
        <v>2052</v>
      </c>
      <c r="U17" s="2102"/>
      <c r="V17" s="2102"/>
      <c r="W17" s="2102"/>
      <c r="X17" s="2102"/>
      <c r="Y17" s="2102"/>
      <c r="Z17" s="2102"/>
      <c r="AA17" s="2103"/>
    </row>
    <row r="18" spans="1:27" ht="13.5" customHeight="1" x14ac:dyDescent="0.2">
      <c r="A18" s="82" t="s">
        <v>526</v>
      </c>
      <c r="B18" s="73"/>
      <c r="C18" s="69"/>
      <c r="D18" s="73"/>
      <c r="E18" s="73"/>
      <c r="F18" s="73"/>
      <c r="G18" s="73"/>
      <c r="H18" s="53"/>
      <c r="I18" s="2111" t="s">
        <v>670</v>
      </c>
      <c r="J18" s="2112"/>
      <c r="K18" s="2112"/>
      <c r="L18" s="2112"/>
      <c r="M18" s="2112"/>
      <c r="N18" s="2112"/>
      <c r="O18" s="2112"/>
      <c r="P18" s="2112"/>
      <c r="Q18" s="2112"/>
      <c r="R18" s="2112"/>
      <c r="S18" s="2113"/>
      <c r="T18" s="82" t="s">
        <v>705</v>
      </c>
      <c r="U18" s="48"/>
      <c r="V18" s="69"/>
      <c r="W18" s="47"/>
      <c r="X18" s="82" t="s">
        <v>263</v>
      </c>
      <c r="Y18" s="78"/>
      <c r="Z18" s="154" t="s">
        <v>671</v>
      </c>
      <c r="AA18" s="44"/>
    </row>
    <row r="19" spans="1:27" ht="13.5" customHeight="1" x14ac:dyDescent="0.2">
      <c r="A19" s="2084" t="s">
        <v>2059</v>
      </c>
      <c r="B19" s="2085"/>
      <c r="C19" s="2085"/>
      <c r="D19" s="2085"/>
      <c r="E19" s="2085"/>
      <c r="F19" s="2085"/>
      <c r="G19" s="2085"/>
      <c r="H19" s="2083"/>
      <c r="I19" s="30"/>
      <c r="J19" s="96"/>
      <c r="K19" s="40"/>
      <c r="L19" s="38"/>
      <c r="M19" s="109" t="s">
        <v>311</v>
      </c>
      <c r="P19" s="27"/>
      <c r="Q19" s="27"/>
      <c r="R19" s="27"/>
      <c r="S19" s="31"/>
      <c r="T19" s="2084" t="s">
        <v>2053</v>
      </c>
      <c r="U19" s="2082"/>
      <c r="V19" s="2082"/>
      <c r="W19" s="2083"/>
      <c r="X19" s="2099" t="s">
        <v>2054</v>
      </c>
      <c r="Y19" s="2100"/>
      <c r="Z19" s="2097">
        <v>61462</v>
      </c>
      <c r="AA19" s="209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1" t="s">
        <v>2060</v>
      </c>
      <c r="B21" s="2082"/>
      <c r="C21" s="2082"/>
      <c r="D21" s="2082"/>
      <c r="E21" s="2082"/>
      <c r="F21" s="2082"/>
      <c r="G21" s="2082"/>
      <c r="H21" s="2083"/>
      <c r="I21" s="2107" t="s">
        <v>672</v>
      </c>
      <c r="J21" s="2070"/>
      <c r="K21" s="2070"/>
      <c r="L21" s="2070"/>
      <c r="M21" s="2070"/>
      <c r="N21" s="2070"/>
      <c r="O21" s="2070"/>
      <c r="P21" s="2070"/>
      <c r="Q21" s="2070"/>
      <c r="R21" s="2070"/>
      <c r="S21" s="2071"/>
      <c r="T21" s="2049" t="s">
        <v>2055</v>
      </c>
      <c r="U21" s="2050"/>
      <c r="V21" s="2050"/>
      <c r="W21" s="2050"/>
      <c r="X21" s="2063" t="s">
        <v>2056</v>
      </c>
      <c r="Y21" s="2064"/>
      <c r="Z21" s="2064"/>
      <c r="AA21" s="2065"/>
    </row>
    <row r="22" spans="1:27" ht="13.5" customHeight="1" x14ac:dyDescent="0.2">
      <c r="A22" s="84" t="s">
        <v>527</v>
      </c>
      <c r="B22" s="56"/>
      <c r="C22" s="56"/>
      <c r="D22" s="56"/>
      <c r="E22" s="56"/>
      <c r="F22" s="56"/>
      <c r="G22" s="56"/>
      <c r="H22" s="57"/>
      <c r="I22" s="2108" t="s">
        <v>1411</v>
      </c>
      <c r="J22" s="2109"/>
      <c r="K22" s="2109"/>
      <c r="L22" s="2109"/>
      <c r="M22" s="2109"/>
      <c r="N22" s="2109"/>
      <c r="O22" s="2109"/>
      <c r="P22" s="2109"/>
      <c r="Q22" s="2109"/>
      <c r="R22" s="2109"/>
      <c r="S22" s="2110"/>
      <c r="T22" s="82" t="s">
        <v>1498</v>
      </c>
      <c r="U22" s="48"/>
      <c r="V22" s="69"/>
      <c r="W22" s="48"/>
      <c r="X22" s="155" t="s">
        <v>1306</v>
      </c>
      <c r="Z22" s="43"/>
      <c r="AA22" s="44"/>
    </row>
    <row r="23" spans="1:27" ht="13.5" customHeight="1" x14ac:dyDescent="0.2">
      <c r="A23" s="2104" t="s">
        <v>2061</v>
      </c>
      <c r="B23" s="2105"/>
      <c r="C23" s="2105"/>
      <c r="D23" s="2105"/>
      <c r="E23" s="2105"/>
      <c r="F23" s="2105"/>
      <c r="G23" s="2105"/>
      <c r="H23" s="2106"/>
      <c r="T23" s="2044">
        <v>60.008476000000002</v>
      </c>
      <c r="U23" s="2045"/>
      <c r="V23" s="2045"/>
      <c r="W23" s="2045"/>
      <c r="X23" s="2060">
        <v>44562</v>
      </c>
      <c r="Y23" s="2061"/>
      <c r="Z23" s="2061"/>
      <c r="AA23" s="2062"/>
    </row>
    <row r="24" spans="1:27" ht="14.1" customHeight="1" x14ac:dyDescent="0.2">
      <c r="A24" s="85" t="s">
        <v>671</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527</v>
      </c>
      <c r="U24" s="103"/>
      <c r="V24" s="103"/>
      <c r="W24" s="103"/>
      <c r="X24" s="104"/>
      <c r="Y24" s="104"/>
      <c r="Z24" s="104"/>
      <c r="AA24" s="105"/>
    </row>
    <row r="25" spans="1:27" ht="14.1" customHeight="1" x14ac:dyDescent="0.2">
      <c r="A25" s="2081">
        <v>61422</v>
      </c>
      <c r="B25" s="2082"/>
      <c r="C25" s="2082"/>
      <c r="D25" s="2082"/>
      <c r="E25" s="2082"/>
      <c r="F25" s="2082"/>
      <c r="G25" s="2082"/>
      <c r="H25" s="2083"/>
      <c r="I25" s="110"/>
      <c r="J25" s="2148"/>
      <c r="K25" s="2148"/>
      <c r="L25" s="2148"/>
      <c r="M25" s="2148"/>
      <c r="N25" s="2148"/>
      <c r="O25" s="2148"/>
      <c r="P25" s="2148"/>
      <c r="Q25" s="2148"/>
      <c r="R25" s="2148"/>
      <c r="S25" s="2149"/>
      <c r="T25" s="2041" t="s">
        <v>2057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9" t="s">
        <v>1493</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2050</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144" t="s">
        <v>2050</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4" t="s">
        <v>2062</v>
      </c>
      <c r="B38" s="2114"/>
      <c r="C38" s="2114"/>
      <c r="D38" s="2114"/>
      <c r="E38" s="2114"/>
      <c r="F38" s="2082"/>
      <c r="G38" s="2082"/>
      <c r="H38" s="2083"/>
      <c r="I38" s="2133"/>
      <c r="J38" s="2053"/>
      <c r="K38" s="2053"/>
      <c r="L38" s="2053"/>
      <c r="M38" s="2053"/>
      <c r="N38" s="2053"/>
      <c r="O38" s="2053"/>
      <c r="P38" s="2054"/>
      <c r="Q38" s="2054"/>
      <c r="R38" s="2054"/>
      <c r="S38" s="2055"/>
      <c r="T38" s="2052" t="s">
        <v>2065</v>
      </c>
      <c r="U38" s="2053"/>
      <c r="V38" s="2053"/>
      <c r="W38" s="2053"/>
      <c r="X38" s="2054"/>
      <c r="Y38" s="2054"/>
      <c r="Z38" s="2054"/>
      <c r="AA38" s="2055"/>
    </row>
    <row r="39" spans="1:27" ht="12" customHeight="1" x14ac:dyDescent="0.2">
      <c r="A39" s="2137" t="s">
        <v>527</v>
      </c>
      <c r="B39" s="2138"/>
      <c r="C39" s="69"/>
      <c r="D39" s="66"/>
      <c r="E39" s="66"/>
      <c r="F39" s="76"/>
      <c r="G39" s="66"/>
      <c r="H39" s="53"/>
      <c r="I39" s="2137" t="s">
        <v>527</v>
      </c>
      <c r="J39" s="2138"/>
      <c r="K39" s="2138"/>
      <c r="L39" s="2138"/>
      <c r="M39" s="2138"/>
      <c r="N39" s="64"/>
      <c r="O39" s="69"/>
      <c r="P39" s="69"/>
      <c r="Q39" s="75"/>
      <c r="R39" s="69"/>
      <c r="S39" s="53"/>
      <c r="T39" s="69" t="s">
        <v>527</v>
      </c>
      <c r="U39" s="48"/>
      <c r="V39" s="69"/>
      <c r="W39" s="47"/>
      <c r="X39" s="75"/>
      <c r="Y39" s="43"/>
      <c r="Z39" s="43"/>
      <c r="AA39" s="44"/>
    </row>
    <row r="40" spans="1:27" ht="13.5" customHeight="1" x14ac:dyDescent="0.2">
      <c r="A40" s="2140" t="s">
        <v>2061</v>
      </c>
      <c r="B40" s="2141"/>
      <c r="C40" s="2142"/>
      <c r="D40" s="2142"/>
      <c r="E40" s="2142"/>
      <c r="F40" s="2143"/>
      <c r="G40" s="2143"/>
      <c r="H40" s="2144"/>
      <c r="I40" s="2056"/>
      <c r="J40" s="2058"/>
      <c r="K40" s="2058"/>
      <c r="L40" s="2058"/>
      <c r="M40" s="2058"/>
      <c r="N40" s="2058"/>
      <c r="O40" s="2058"/>
      <c r="P40" s="2058"/>
      <c r="Q40" s="2058"/>
      <c r="R40" s="2058"/>
      <c r="S40" s="2059"/>
      <c r="T40" s="2056" t="s">
        <v>2066</v>
      </c>
      <c r="U40" s="2057"/>
      <c r="V40" s="2058"/>
      <c r="W40" s="2058"/>
      <c r="X40" s="2058"/>
      <c r="Y40" s="2058"/>
      <c r="Z40" s="2058"/>
      <c r="AA40" s="205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0" t="s">
        <v>2063</v>
      </c>
      <c r="B42" s="2131"/>
      <c r="C42" s="2132"/>
      <c r="D42" s="2145" t="s">
        <v>2064</v>
      </c>
      <c r="E42" s="2131"/>
      <c r="F42" s="2131"/>
      <c r="G42" s="2131"/>
      <c r="H42" s="2132"/>
      <c r="I42" s="2051"/>
      <c r="J42" s="2047"/>
      <c r="K42" s="2047"/>
      <c r="L42" s="2047"/>
      <c r="M42" s="2047"/>
      <c r="N42" s="2047"/>
      <c r="O42" s="2048"/>
      <c r="P42" s="2046"/>
      <c r="Q42" s="2047"/>
      <c r="R42" s="2047"/>
      <c r="S42" s="2048"/>
      <c r="T42" s="2051" t="s">
        <v>2067</v>
      </c>
      <c r="U42" s="2047"/>
      <c r="V42" s="2047"/>
      <c r="W42" s="2048"/>
      <c r="X42" s="2046" t="s">
        <v>2068</v>
      </c>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16" sqref="T1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2" colorId="8" zoomScaleNormal="100" workbookViewId="0">
      <selection activeCell="T16" sqref="T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2084</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T16" sqref="T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69248268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2.8000000000000001E-2</v>
      </c>
      <c r="E10" s="333" t="s">
        <v>997</v>
      </c>
      <c r="F10" s="332">
        <v>5.0000000000000001E-3</v>
      </c>
      <c r="G10" s="333" t="s">
        <v>997</v>
      </c>
      <c r="H10" s="332">
        <v>2E-3</v>
      </c>
      <c r="I10" s="333" t="s">
        <v>998</v>
      </c>
      <c r="J10" s="1424">
        <f>ROUND(D10+F10+H10,5)</f>
        <v>3.5000000000000003E-2</v>
      </c>
      <c r="K10" s="217"/>
      <c r="L10" s="332">
        <v>5.0000000000000001E-3</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7498145.3899999997</v>
      </c>
      <c r="E16" s="1547"/>
      <c r="F16" s="1546">
        <f>SUM('Acct Summary 7-8'!C17,'Acct Summary 7-8'!D17,'Acct Summary 7-8'!F17)</f>
        <v>7107003</v>
      </c>
      <c r="G16" s="1547"/>
      <c r="H16" s="1546">
        <f>SUM(D16-F16)</f>
        <v>391142.38999999966</v>
      </c>
      <c r="I16" s="1548"/>
      <c r="J16" s="1546">
        <f>SUM('Acct Summary 7-8'!C81,'Acct Summary 7-8'!D81,'Acct Summary 7-8'!F81,'Acct Summary 7-8'!I81)</f>
        <v>5575924.3899999997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9556260.9840000011</v>
      </c>
      <c r="I31" s="345"/>
      <c r="J31" s="217"/>
      <c r="K31" s="217"/>
      <c r="L31" s="217"/>
      <c r="M31" s="217"/>
    </row>
    <row r="32" spans="1:13" ht="13.35" customHeight="1" x14ac:dyDescent="0.2">
      <c r="B32" s="346" t="s">
        <v>2050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1404200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T16" sqref="T1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Bushnell Prarie City 170</v>
      </c>
      <c r="E7" s="368"/>
      <c r="G7" s="247"/>
      <c r="H7" s="364"/>
      <c r="I7" s="364"/>
      <c r="J7" s="364"/>
      <c r="K7" s="364"/>
      <c r="L7" s="307"/>
      <c r="M7" s="307"/>
      <c r="N7" s="307"/>
      <c r="O7" s="307"/>
      <c r="P7" s="307"/>
    </row>
    <row r="8" spans="1:18" ht="12.75" x14ac:dyDescent="0.2">
      <c r="A8" s="307"/>
      <c r="B8" s="307"/>
      <c r="C8" s="366" t="s">
        <v>1114</v>
      </c>
      <c r="D8" s="369">
        <f>COVER!A13</f>
        <v>26062170026</v>
      </c>
      <c r="E8" s="370"/>
      <c r="G8" s="307"/>
      <c r="H8" s="307"/>
      <c r="I8" s="307"/>
      <c r="J8" s="307"/>
      <c r="K8" s="307"/>
      <c r="L8" s="307"/>
      <c r="M8" s="307"/>
      <c r="N8" s="307"/>
      <c r="O8" s="307"/>
      <c r="P8" s="307"/>
    </row>
    <row r="9" spans="1:18" ht="12.75" x14ac:dyDescent="0.2">
      <c r="A9" s="307"/>
      <c r="B9" s="307"/>
      <c r="C9" s="366" t="s">
        <v>707</v>
      </c>
      <c r="D9" s="371" t="str">
        <f>COVER!A15</f>
        <v>McDonough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5575924.3899999997</v>
      </c>
      <c r="I12" s="380"/>
      <c r="J12" s="380"/>
      <c r="K12" s="1559">
        <f>TRUNC((H12/H13*100000),5)/100000</f>
        <v>0.74364047369999997</v>
      </c>
      <c r="L12" s="381"/>
      <c r="M12" s="337" t="s">
        <v>1133</v>
      </c>
      <c r="N12" s="337"/>
      <c r="O12" s="1562">
        <v>0.35</v>
      </c>
      <c r="P12" s="213"/>
      <c r="Q12" s="213"/>
    </row>
    <row r="13" spans="1:18" s="382" customFormat="1" ht="12.75" x14ac:dyDescent="0.2">
      <c r="A13" s="213"/>
      <c r="B13" s="377"/>
      <c r="C13" s="2206" t="s">
        <v>1312</v>
      </c>
      <c r="D13" s="2207"/>
      <c r="E13" s="213"/>
      <c r="F13" s="383" t="s">
        <v>787</v>
      </c>
      <c r="G13" s="378"/>
      <c r="H13" s="1551">
        <f>SUM('Acct Summary 7-8'!C8+'Acct Summary 7-8'!D8+'Acct Summary 7-8'!F8+'Acct Summary 7-8'!I8)+H14</f>
        <v>7498145.3899999997</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7107003</v>
      </c>
      <c r="I17" s="380"/>
      <c r="J17" s="389"/>
      <c r="K17" s="1559">
        <f>TRUNC((H17/H18*100000),5)/100000</f>
        <v>0.94783478180000003</v>
      </c>
      <c r="L17" s="381"/>
      <c r="M17" s="390" t="s">
        <v>1160</v>
      </c>
      <c r="O17" s="1565" t="str">
        <f>IF(AND(O16="2", J20 &gt; 2),"1",IF(AND(O16 = "1", J20 &gt; 2),"2",IF(AND(O16="1", J20 &gt;1),"1","0")))</f>
        <v>0</v>
      </c>
      <c r="P17" s="213"/>
    </row>
    <row r="18" spans="1:18" s="382" customFormat="1" ht="11.25" x14ac:dyDescent="0.2">
      <c r="A18" s="213"/>
      <c r="B18" s="377"/>
      <c r="C18" s="2206" t="s">
        <v>1305</v>
      </c>
      <c r="D18" s="2207"/>
      <c r="E18" s="213"/>
      <c r="F18" s="391" t="s">
        <v>788</v>
      </c>
      <c r="G18" s="378"/>
      <c r="H18" s="1551">
        <f>SUM('Acct Summary 7-8'!C8+'Acct Summary 7-8'!D8+'Acct Summary 7-8'!F8+'Acct Summary 7-8'!I8)+H19</f>
        <v>7498145.3899999997</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3" t="s">
        <v>1394</v>
      </c>
      <c r="D24" s="2203"/>
      <c r="E24" s="213"/>
      <c r="F24" s="213" t="s">
        <v>441</v>
      </c>
      <c r="G24" s="378"/>
      <c r="H24" s="1551">
        <f>SUM('Assets-Liab 5-6'!C4+'Assets-Liab 5-6'!D4+'Assets-Liab 5-6'!F4+'Assets-Liab 5-6'!I4+'Assets-Liab 5-6'!C5+'Assets-Liab 5-6'!D5+'Assets-Liab 5-6'!F5+'Assets-Liab 5-6'!I5)</f>
        <v>5504924</v>
      </c>
      <c r="I24" s="394"/>
      <c r="J24" s="394"/>
      <c r="K24" s="1555">
        <f>TRUNC(((H24/H25*100000)/100000),2)</f>
        <v>278.83999999999997</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19741.674999999999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2060135.973</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1404200</v>
      </c>
      <c r="I32" s="392"/>
      <c r="J32" s="392"/>
      <c r="K32" s="1555">
        <f>TRUNC(100-((((H32/H33*100))*100)/100),2)</f>
        <v>85.3</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9556260.9840000011</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T16" sqref="T16"/>
      <selection pane="bottomLeft" activeCell="I39" sqref="I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72">
        <v>2721341</v>
      </c>
      <c r="D4" s="1573">
        <v>306511</v>
      </c>
      <c r="E4" s="1573">
        <v>207899</v>
      </c>
      <c r="F4" s="1573">
        <v>172837</v>
      </c>
      <c r="G4" s="1573">
        <v>228445</v>
      </c>
      <c r="H4" s="1573">
        <v>413301</v>
      </c>
      <c r="I4" s="1573">
        <v>396083</v>
      </c>
      <c r="J4" s="1574">
        <v>323489</v>
      </c>
      <c r="K4" s="1573">
        <v>40262</v>
      </c>
      <c r="L4" s="1573">
        <v>185127</v>
      </c>
      <c r="M4" s="1575"/>
      <c r="N4" s="1576"/>
    </row>
    <row r="5" spans="1:14" x14ac:dyDescent="0.2">
      <c r="A5" s="427" t="s">
        <v>984</v>
      </c>
      <c r="B5" s="429">
        <v>120</v>
      </c>
      <c r="C5" s="1572">
        <v>1908152</v>
      </c>
      <c r="D5" s="1573"/>
      <c r="E5" s="1573"/>
      <c r="F5" s="1573"/>
      <c r="G5" s="1573"/>
      <c r="H5" s="1573"/>
      <c r="I5" s="1573"/>
      <c r="J5" s="1574"/>
      <c r="K5" s="1577"/>
      <c r="L5" s="1578">
        <v>69143</v>
      </c>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v>171000</v>
      </c>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4629493</v>
      </c>
      <c r="D13" s="1587">
        <f t="shared" ref="D13:L13" si="0">SUM(D4:D12)</f>
        <v>306511</v>
      </c>
      <c r="E13" s="1587">
        <f t="shared" si="0"/>
        <v>207899</v>
      </c>
      <c r="F13" s="1587">
        <f t="shared" si="0"/>
        <v>172837</v>
      </c>
      <c r="G13" s="1587">
        <f t="shared" si="0"/>
        <v>228445</v>
      </c>
      <c r="H13" s="1587">
        <f t="shared" si="0"/>
        <v>413301</v>
      </c>
      <c r="I13" s="1587">
        <f t="shared" si="0"/>
        <v>567083</v>
      </c>
      <c r="J13" s="1587">
        <f t="shared" si="0"/>
        <v>323489</v>
      </c>
      <c r="K13" s="1587">
        <f t="shared" si="0"/>
        <v>40262</v>
      </c>
      <c r="L13" s="1587">
        <f t="shared" si="0"/>
        <v>254270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135605</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5989548</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5041884</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1758805</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207899</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1196301</v>
      </c>
    </row>
    <row r="23" spans="1:14" ht="13.5" customHeight="1" thickBot="1" x14ac:dyDescent="0.25">
      <c r="A23" s="1426" t="s">
        <v>637</v>
      </c>
      <c r="B23" s="1429"/>
      <c r="C23" s="1575"/>
      <c r="D23" s="1575"/>
      <c r="E23" s="1575"/>
      <c r="F23" s="1575"/>
      <c r="G23" s="1575"/>
      <c r="H23" s="1575"/>
      <c r="I23" s="1575"/>
      <c r="J23" s="1575"/>
      <c r="K23" s="1575"/>
      <c r="L23" s="1575"/>
      <c r="M23" s="1594">
        <f>SUM(M15:M22)</f>
        <v>12925842</v>
      </c>
      <c r="N23" s="1594">
        <f>SUM(N21:N22)</f>
        <v>1404200</v>
      </c>
    </row>
    <row r="24" spans="1:14" ht="18" customHeight="1" thickTop="1" x14ac:dyDescent="0.2">
      <c r="A24" s="2217" t="s">
        <v>593</v>
      </c>
      <c r="B24" s="2218"/>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v>100000</v>
      </c>
      <c r="G25" s="1583">
        <v>71000</v>
      </c>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254270</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100000</v>
      </c>
      <c r="G34" s="1600">
        <f t="shared" si="1"/>
        <v>71000</v>
      </c>
      <c r="H34" s="1600">
        <f t="shared" si="1"/>
        <v>0</v>
      </c>
      <c r="I34" s="1600">
        <f t="shared" si="1"/>
        <v>0</v>
      </c>
      <c r="J34" s="1600">
        <f t="shared" si="1"/>
        <v>0</v>
      </c>
      <c r="K34" s="1600">
        <f t="shared" si="1"/>
        <v>0</v>
      </c>
      <c r="L34" s="1601">
        <f>SUM(L33)</f>
        <v>254270</v>
      </c>
      <c r="M34" s="1575"/>
      <c r="N34" s="1585"/>
    </row>
    <row r="35" spans="1:14" ht="18" customHeight="1" thickTop="1" x14ac:dyDescent="0.2">
      <c r="A35" s="2219" t="s">
        <v>525</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1404200</v>
      </c>
    </row>
    <row r="37" spans="1:14" ht="13.5" thickBot="1" x14ac:dyDescent="0.25">
      <c r="A37" s="1426" t="s">
        <v>647</v>
      </c>
      <c r="B37" s="1429"/>
      <c r="C37" s="1582"/>
      <c r="D37" s="1582"/>
      <c r="E37" s="1582"/>
      <c r="F37" s="1582"/>
      <c r="G37" s="1582"/>
      <c r="H37" s="1582"/>
      <c r="I37" s="1582"/>
      <c r="J37" s="1582"/>
      <c r="K37" s="1582"/>
      <c r="L37" s="1585"/>
      <c r="M37" s="1575"/>
      <c r="N37" s="1594">
        <f>SUM(N36:N36)</f>
        <v>1404200</v>
      </c>
    </row>
    <row r="38" spans="1:14" s="307" customFormat="1" ht="13.5" customHeight="1" thickTop="1" x14ac:dyDescent="0.2">
      <c r="A38" s="438" t="s">
        <v>416</v>
      </c>
      <c r="B38" s="432">
        <v>714</v>
      </c>
      <c r="C38" s="1573">
        <v>37166</v>
      </c>
      <c r="D38" s="1573"/>
      <c r="E38" s="1573"/>
      <c r="F38" s="1573"/>
      <c r="G38" s="1573"/>
      <c r="H38" s="1573"/>
      <c r="I38" s="1573"/>
      <c r="J38" s="1574"/>
      <c r="K38" s="1573"/>
      <c r="L38" s="1586"/>
      <c r="M38" s="1604"/>
      <c r="N38" s="1604"/>
    </row>
    <row r="39" spans="1:14" s="307" customFormat="1" ht="13.5" customHeight="1" x14ac:dyDescent="0.2">
      <c r="A39" s="438" t="s">
        <v>338</v>
      </c>
      <c r="B39" s="432">
        <v>730</v>
      </c>
      <c r="C39" s="1573">
        <v>4592327</v>
      </c>
      <c r="D39" s="1573">
        <v>306511</v>
      </c>
      <c r="E39" s="1573">
        <v>207899</v>
      </c>
      <c r="F39" s="1573">
        <v>72837</v>
      </c>
      <c r="G39" s="1573">
        <v>157445</v>
      </c>
      <c r="H39" s="1573">
        <v>413301</v>
      </c>
      <c r="I39" s="1573">
        <v>567083</v>
      </c>
      <c r="J39" s="1574">
        <v>323489</v>
      </c>
      <c r="K39" s="1573">
        <v>40262</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12925842</v>
      </c>
      <c r="N40" s="1604"/>
    </row>
    <row r="41" spans="1:14" ht="13.5" customHeight="1" thickBot="1" x14ac:dyDescent="0.25">
      <c r="A41" s="1426" t="s">
        <v>649</v>
      </c>
      <c r="B41" s="1405"/>
      <c r="C41" s="1594">
        <f>(SUM(C34,C37,C38,C39))</f>
        <v>4629493</v>
      </c>
      <c r="D41" s="1594">
        <f t="shared" ref="D41:L41" si="2">SUM(D34,D37,D38:D39)</f>
        <v>306511</v>
      </c>
      <c r="E41" s="1594">
        <f t="shared" si="2"/>
        <v>207899</v>
      </c>
      <c r="F41" s="1594">
        <f t="shared" si="2"/>
        <v>172837</v>
      </c>
      <c r="G41" s="1594">
        <f t="shared" si="2"/>
        <v>228445</v>
      </c>
      <c r="H41" s="1594">
        <f t="shared" si="2"/>
        <v>413301</v>
      </c>
      <c r="I41" s="1594">
        <f t="shared" si="2"/>
        <v>567083</v>
      </c>
      <c r="J41" s="1594">
        <f t="shared" si="2"/>
        <v>323489</v>
      </c>
      <c r="K41" s="1594">
        <f t="shared" si="2"/>
        <v>40262</v>
      </c>
      <c r="L41" s="1594">
        <f t="shared" si="2"/>
        <v>254270</v>
      </c>
      <c r="M41" s="1594">
        <f>SUM(M40)</f>
        <v>12925842</v>
      </c>
      <c r="N41" s="1594">
        <f>SUM(N37)</f>
        <v>1404200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T16" sqref="T16"/>
      <selection pane="bottomLeft" activeCell="I81" sqref="I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7" t="s">
        <v>1481</v>
      </c>
      <c r="B4" s="1538">
        <v>1000</v>
      </c>
      <c r="C4" s="1606">
        <f>'Revenues 9-14'!C109</f>
        <v>2177588</v>
      </c>
      <c r="D4" s="1606">
        <f>'Revenues 9-14'!D109</f>
        <v>511118</v>
      </c>
      <c r="E4" s="1606">
        <f>'Revenues 9-14'!E109</f>
        <v>406847</v>
      </c>
      <c r="F4" s="1606">
        <f>'Revenues 9-14'!F109</f>
        <v>134020</v>
      </c>
      <c r="G4" s="1606">
        <f>'Revenues 9-14'!G109</f>
        <v>219484.76</v>
      </c>
      <c r="H4" s="1606">
        <f>'Revenues 9-14'!H109</f>
        <v>149791</v>
      </c>
      <c r="I4" s="1606">
        <f>'Revenues 9-14'!I109</f>
        <v>33326.39</v>
      </c>
      <c r="J4" s="1606">
        <f>'Revenues 9-14'!J109</f>
        <v>423641.58</v>
      </c>
      <c r="K4" s="1606">
        <f>'Revenues 9-14'!K109</f>
        <v>33327</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3653849</v>
      </c>
      <c r="D6" s="1607">
        <f>'Revenues 9-14'!D170</f>
        <v>4464</v>
      </c>
      <c r="E6" s="1607">
        <f>'Revenues 9-14'!E170</f>
        <v>0</v>
      </c>
      <c r="F6" s="1607">
        <f>'Revenues 9-14'!F170</f>
        <v>178333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805447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6636884</v>
      </c>
      <c r="D8" s="1594">
        <f t="shared" ref="D8:K8" si="0">SUM(D4:D7)</f>
        <v>515582</v>
      </c>
      <c r="E8" s="1594">
        <f t="shared" si="0"/>
        <v>406847</v>
      </c>
      <c r="F8" s="1594">
        <f t="shared" si="0"/>
        <v>312353</v>
      </c>
      <c r="G8" s="1594">
        <f t="shared" si="0"/>
        <v>219484.76</v>
      </c>
      <c r="H8" s="1594">
        <f t="shared" si="0"/>
        <v>149791</v>
      </c>
      <c r="I8" s="1594">
        <f t="shared" si="0"/>
        <v>33326.39</v>
      </c>
      <c r="J8" s="1594">
        <f t="shared" si="0"/>
        <v>423641.58</v>
      </c>
      <c r="K8" s="1594">
        <f t="shared" si="0"/>
        <v>33327</v>
      </c>
      <c r="L8" s="325"/>
    </row>
    <row r="9" spans="1:13" ht="15.75" thickTop="1" x14ac:dyDescent="0.2">
      <c r="A9" s="449" t="s">
        <v>1633</v>
      </c>
      <c r="B9" s="450">
        <v>3998</v>
      </c>
      <c r="C9" s="1586">
        <v>2555087</v>
      </c>
      <c r="D9" s="1613"/>
      <c r="E9" s="1586"/>
      <c r="F9" s="1586"/>
      <c r="G9" s="1614"/>
      <c r="H9" s="1586"/>
      <c r="I9" s="1609" t="s">
        <v>1158</v>
      </c>
      <c r="J9" s="1583"/>
      <c r="K9" s="1586"/>
      <c r="L9" s="325"/>
    </row>
    <row r="10" spans="1:13" s="452" customFormat="1" ht="13.5" thickBot="1" x14ac:dyDescent="0.25">
      <c r="A10" s="1426" t="s">
        <v>1162</v>
      </c>
      <c r="B10" s="1407"/>
      <c r="C10" s="1594">
        <f>SUM(C8:C9)</f>
        <v>9191971</v>
      </c>
      <c r="D10" s="1594">
        <f t="shared" ref="D10:K10" si="1">SUM(D8:D9)</f>
        <v>515582</v>
      </c>
      <c r="E10" s="1594">
        <f t="shared" si="1"/>
        <v>406847</v>
      </c>
      <c r="F10" s="1594">
        <f t="shared" si="1"/>
        <v>312353</v>
      </c>
      <c r="G10" s="1594">
        <f t="shared" si="1"/>
        <v>219484.76</v>
      </c>
      <c r="H10" s="1594">
        <f t="shared" si="1"/>
        <v>149791</v>
      </c>
      <c r="I10" s="1594">
        <f t="shared" si="1"/>
        <v>33326.39</v>
      </c>
      <c r="J10" s="1594">
        <f t="shared" si="1"/>
        <v>423641.58</v>
      </c>
      <c r="K10" s="1594">
        <f t="shared" si="1"/>
        <v>33327</v>
      </c>
      <c r="L10" s="451"/>
    </row>
    <row r="11" spans="1:13" s="452" customFormat="1" ht="16.7" customHeight="1" thickTop="1" x14ac:dyDescent="0.2">
      <c r="A11" s="2215" t="s">
        <v>1165</v>
      </c>
      <c r="B11" s="2216"/>
      <c r="C11" s="1602"/>
      <c r="D11" s="1603"/>
      <c r="E11" s="1603"/>
      <c r="F11" s="1603"/>
      <c r="G11" s="1603"/>
      <c r="H11" s="1603"/>
      <c r="I11" s="1603"/>
      <c r="J11" s="1603"/>
      <c r="K11" s="1615"/>
      <c r="L11" s="451"/>
    </row>
    <row r="12" spans="1:13" ht="15.75" customHeight="1" x14ac:dyDescent="0.2">
      <c r="A12" s="1314" t="s">
        <v>452</v>
      </c>
      <c r="B12" s="1316">
        <v>1000</v>
      </c>
      <c r="C12" s="1606">
        <f>'Expenditures 15-22'!K33</f>
        <v>3997824</v>
      </c>
      <c r="D12" s="1616" t="s">
        <v>1158</v>
      </c>
      <c r="E12" s="1575" t="s">
        <v>1158</v>
      </c>
      <c r="F12" s="1575" t="s">
        <v>1158</v>
      </c>
      <c r="G12" s="1606">
        <f>'Expenditures 15-22'!K229</f>
        <v>88992.35</v>
      </c>
      <c r="H12" s="1617"/>
      <c r="I12" s="1575" t="s">
        <v>1158</v>
      </c>
      <c r="J12" s="1575" t="s">
        <v>1158</v>
      </c>
      <c r="K12" s="1617" t="s">
        <v>1158</v>
      </c>
      <c r="L12" s="325"/>
    </row>
    <row r="13" spans="1:13" ht="15.75" customHeight="1" x14ac:dyDescent="0.2">
      <c r="A13" s="1314" t="s">
        <v>453</v>
      </c>
      <c r="B13" s="1316">
        <v>2000</v>
      </c>
      <c r="C13" s="1607">
        <f>'Expenditures 15-22'!K74</f>
        <v>1680768</v>
      </c>
      <c r="D13" s="1607">
        <f>'Expenditures 15-22'!K129</f>
        <v>483634</v>
      </c>
      <c r="E13" s="1576" t="s">
        <v>1158</v>
      </c>
      <c r="F13" s="1607">
        <f>'Expenditures 15-22'!K184</f>
        <v>329633</v>
      </c>
      <c r="G13" s="1607">
        <f>'Expenditures 15-22'!K279</f>
        <v>164731.49</v>
      </c>
      <c r="H13" s="1607">
        <f>'Expenditures 15-22'!K303</f>
        <v>904087</v>
      </c>
      <c r="I13" s="1575" t="s">
        <v>1158</v>
      </c>
      <c r="J13" s="1607">
        <f>'Expenditures 15-22'!K330</f>
        <v>332436</v>
      </c>
      <c r="K13" s="1618">
        <f>'Expenditures 15-22'!K352</f>
        <v>777623</v>
      </c>
      <c r="L13" s="325"/>
    </row>
    <row r="14" spans="1:13" ht="15.75" customHeight="1" x14ac:dyDescent="0.2">
      <c r="A14" s="1314" t="s">
        <v>445</v>
      </c>
      <c r="B14" s="1316">
        <v>3000</v>
      </c>
      <c r="C14" s="1607">
        <f>'Expenditures 15-22'!K75</f>
        <v>3590</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611554</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392356</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6293736</v>
      </c>
      <c r="D17" s="1594">
        <f t="shared" si="2"/>
        <v>483634</v>
      </c>
      <c r="E17" s="1594">
        <f t="shared" si="2"/>
        <v>392356</v>
      </c>
      <c r="F17" s="1594">
        <f t="shared" si="2"/>
        <v>329633</v>
      </c>
      <c r="G17" s="1594">
        <f t="shared" si="2"/>
        <v>253723.84</v>
      </c>
      <c r="H17" s="1594">
        <f t="shared" si="2"/>
        <v>904087</v>
      </c>
      <c r="I17" s="1575"/>
      <c r="J17" s="1594">
        <f>SUM(J12:J16)</f>
        <v>332436</v>
      </c>
      <c r="K17" s="1594">
        <f>SUM(K12:K16)</f>
        <v>777623</v>
      </c>
      <c r="L17" s="325"/>
    </row>
    <row r="18" spans="1:12" ht="15" customHeight="1" thickTop="1" x14ac:dyDescent="0.2">
      <c r="A18" s="1430" t="s">
        <v>1634</v>
      </c>
      <c r="B18" s="1431">
        <v>4180</v>
      </c>
      <c r="C18" s="1606">
        <f t="shared" ref="C18:H18" si="3">C9</f>
        <v>2555087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8848823</v>
      </c>
      <c r="D19" s="1594">
        <f t="shared" si="4"/>
        <v>483634</v>
      </c>
      <c r="E19" s="1594">
        <f t="shared" si="4"/>
        <v>392356</v>
      </c>
      <c r="F19" s="1594">
        <f t="shared" si="4"/>
        <v>329633</v>
      </c>
      <c r="G19" s="1594">
        <f t="shared" si="4"/>
        <v>253723.84</v>
      </c>
      <c r="H19" s="1594">
        <f t="shared" si="4"/>
        <v>904087</v>
      </c>
      <c r="I19" s="1575"/>
      <c r="J19" s="1594">
        <f>SUM(J17:J18)</f>
        <v>332436</v>
      </c>
      <c r="K19" s="1594">
        <f>SUM(K17:K18)</f>
        <v>777623</v>
      </c>
      <c r="L19" s="325"/>
    </row>
    <row r="20" spans="1:12" ht="16.5" thickTop="1" thickBot="1" x14ac:dyDescent="0.25">
      <c r="A20" s="2231" t="s">
        <v>1635</v>
      </c>
      <c r="B20" s="2232"/>
      <c r="C20" s="1622">
        <f>C8-C17</f>
        <v>343148</v>
      </c>
      <c r="D20" s="1622">
        <f t="shared" ref="D20:K20" si="5">D8-D17</f>
        <v>31948</v>
      </c>
      <c r="E20" s="1622">
        <f t="shared" si="5"/>
        <v>14491</v>
      </c>
      <c r="F20" s="1622">
        <f t="shared" si="5"/>
        <v>-17280</v>
      </c>
      <c r="G20" s="1622">
        <f t="shared" si="5"/>
        <v>-34239.079999999987</v>
      </c>
      <c r="H20" s="1622">
        <f t="shared" si="5"/>
        <v>-754296</v>
      </c>
      <c r="I20" s="1622">
        <f t="shared" si="5"/>
        <v>33326.39</v>
      </c>
      <c r="J20" s="1622">
        <f t="shared" si="5"/>
        <v>91205.580000000016</v>
      </c>
      <c r="K20" s="1622">
        <f t="shared" si="5"/>
        <v>-744296</v>
      </c>
      <c r="L20" s="325"/>
    </row>
    <row r="21" spans="1:12" ht="16.7" customHeight="1" thickTop="1" x14ac:dyDescent="0.2">
      <c r="A21" s="2243" t="s">
        <v>590</v>
      </c>
      <c r="B21" s="2244"/>
      <c r="C21" s="1602"/>
      <c r="D21" s="1603"/>
      <c r="E21" s="1603"/>
      <c r="F21" s="1603"/>
      <c r="G21" s="1603"/>
      <c r="H21" s="1603"/>
      <c r="I21" s="1603"/>
      <c r="J21" s="1603"/>
      <c r="K21" s="1615"/>
      <c r="L21" s="453"/>
    </row>
    <row r="22" spans="1:12" ht="15.75" customHeight="1" collapsed="1" x14ac:dyDescent="0.2">
      <c r="A22" s="2239" t="s">
        <v>591</v>
      </c>
      <c r="B22" s="2240"/>
      <c r="C22" s="1582"/>
      <c r="D22" s="1582"/>
      <c r="E22" s="1582"/>
      <c r="F22" s="1582"/>
      <c r="G22" s="1582"/>
      <c r="H22" s="1582"/>
      <c r="I22" s="1582"/>
      <c r="J22" s="1582"/>
      <c r="K22" s="1582"/>
      <c r="L22" s="325"/>
    </row>
    <row r="23" spans="1:12" s="433" customFormat="1" ht="15.75" customHeight="1" x14ac:dyDescent="0.2">
      <c r="A23" s="2235" t="s">
        <v>289</v>
      </c>
      <c r="B23" s="2236"/>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7" t="s">
        <v>973</v>
      </c>
      <c r="B32" s="2238"/>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v>576</v>
      </c>
      <c r="D36" s="1574">
        <v>1875</v>
      </c>
      <c r="E36" s="1574"/>
      <c r="F36" s="1574">
        <v>100</v>
      </c>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5" t="s">
        <v>370</v>
      </c>
      <c r="B44" s="2246"/>
      <c r="C44" s="1624">
        <f>SUM(C24:C43)</f>
        <v>576</v>
      </c>
      <c r="D44" s="1624">
        <f t="shared" ref="D44:K44" si="6">SUM(D24:D43)</f>
        <v>1875</v>
      </c>
      <c r="E44" s="1624">
        <f t="shared" si="6"/>
        <v>0</v>
      </c>
      <c r="F44" s="1624">
        <f t="shared" si="6"/>
        <v>100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21" t="s">
        <v>436</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1166</v>
      </c>
      <c r="B77" s="2224"/>
      <c r="C77" s="1624">
        <f t="shared" ref="C77:K77" si="8">C44-C76</f>
        <v>576</v>
      </c>
      <c r="D77" s="1624">
        <f t="shared" si="8"/>
        <v>1875</v>
      </c>
      <c r="E77" s="1624">
        <f t="shared" si="8"/>
        <v>0</v>
      </c>
      <c r="F77" s="1624">
        <f t="shared" si="8"/>
        <v>100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592</v>
      </c>
      <c r="B78" s="2228"/>
      <c r="C78" s="1629">
        <f t="shared" ref="C78:K78" si="9">C20+C77</f>
        <v>343724</v>
      </c>
      <c r="D78" s="1629">
        <f t="shared" si="9"/>
        <v>33823</v>
      </c>
      <c r="E78" s="1629">
        <f t="shared" si="9"/>
        <v>14491</v>
      </c>
      <c r="F78" s="1629">
        <f t="shared" si="9"/>
        <v>-17180</v>
      </c>
      <c r="G78" s="1629">
        <f t="shared" si="9"/>
        <v>-34239.079999999987</v>
      </c>
      <c r="H78" s="1629">
        <f t="shared" si="9"/>
        <v>-754296</v>
      </c>
      <c r="I78" s="1629">
        <f t="shared" si="9"/>
        <v>33326.39</v>
      </c>
      <c r="J78" s="1629">
        <f t="shared" si="9"/>
        <v>91205.580000000016</v>
      </c>
      <c r="K78" s="1629">
        <f t="shared" si="9"/>
        <v>-744296</v>
      </c>
      <c r="L78" s="457"/>
    </row>
    <row r="79" spans="1:12" ht="13.5" thickTop="1" x14ac:dyDescent="0.2">
      <c r="A79" s="1844" t="str">
        <f>"Fund Balances - July 1, "&amp;'AFR20'!E2-1</f>
        <v>Fund Balances - July 1, 2019</v>
      </c>
      <c r="B79" s="458"/>
      <c r="C79" s="1583">
        <v>4285769</v>
      </c>
      <c r="D79" s="1630">
        <v>272688</v>
      </c>
      <c r="E79" s="1630">
        <v>193408</v>
      </c>
      <c r="F79" s="1630">
        <v>90017</v>
      </c>
      <c r="G79" s="1630">
        <v>191684</v>
      </c>
      <c r="H79" s="1630">
        <v>1167597</v>
      </c>
      <c r="I79" s="1630">
        <v>533757</v>
      </c>
      <c r="J79" s="1630">
        <v>232283</v>
      </c>
      <c r="K79" s="1630">
        <v>784558</v>
      </c>
      <c r="L79" s="325"/>
    </row>
    <row r="80" spans="1:12" x14ac:dyDescent="0.2">
      <c r="A80" s="2233" t="s">
        <v>1771</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4629493</v>
      </c>
      <c r="D81" s="1594">
        <f>SUM(D78:D80)</f>
        <v>306511</v>
      </c>
      <c r="E81" s="1594">
        <f t="shared" ref="E81:K81" si="10">SUM(E78:E80)</f>
        <v>207899</v>
      </c>
      <c r="F81" s="1594">
        <f t="shared" si="10"/>
        <v>72837</v>
      </c>
      <c r="G81" s="1594">
        <f t="shared" si="10"/>
        <v>157444.92000000001</v>
      </c>
      <c r="H81" s="1594">
        <f t="shared" si="10"/>
        <v>413301</v>
      </c>
      <c r="I81" s="1594">
        <f t="shared" si="10"/>
        <v>567083.39</v>
      </c>
      <c r="J81" s="1594">
        <f t="shared" si="10"/>
        <v>323488.58</v>
      </c>
      <c r="K81" s="1594">
        <f t="shared" si="10"/>
        <v>40262</v>
      </c>
      <c r="L81" s="325"/>
    </row>
    <row r="82" spans="1:12" ht="0.75" customHeight="1" thickTop="1" thickBot="1" x14ac:dyDescent="0.25">
      <c r="A82" s="459" t="s">
        <v>339</v>
      </c>
      <c r="B82" s="460"/>
      <c r="C82" s="461">
        <f>(C81-C79)</f>
        <v>343724</v>
      </c>
      <c r="D82" s="461">
        <f t="shared" ref="D82:K82" si="11">(D81-D79)</f>
        <v>33823</v>
      </c>
      <c r="E82" s="461">
        <f t="shared" si="11"/>
        <v>14491</v>
      </c>
      <c r="F82" s="461">
        <f t="shared" si="11"/>
        <v>-17180</v>
      </c>
      <c r="G82" s="461">
        <f t="shared" si="11"/>
        <v>-34239.079999999987</v>
      </c>
      <c r="H82" s="461">
        <f t="shared" si="11"/>
        <v>-754296</v>
      </c>
      <c r="I82" s="461">
        <f t="shared" si="11"/>
        <v>33326.390000000014</v>
      </c>
      <c r="J82" s="461">
        <f t="shared" si="11"/>
        <v>91205.580000000016</v>
      </c>
      <c r="K82" s="461">
        <f t="shared" si="11"/>
        <v>-744296</v>
      </c>
    </row>
    <row r="83" spans="1:12" ht="14.25" hidden="1" thickTop="1" thickBot="1" x14ac:dyDescent="0.25">
      <c r="A83" s="462" t="s">
        <v>340</v>
      </c>
      <c r="B83" s="428"/>
      <c r="C83" s="463">
        <f>C82/C81</f>
        <v>7.4246575164926262E-2</v>
      </c>
      <c r="D83" s="463">
        <f t="shared" ref="D83:K83" si="12">D82/D81</f>
        <v>0.1103484051143352</v>
      </c>
      <c r="E83" s="463">
        <f t="shared" si="12"/>
        <v>6.9702114969287965E-2</v>
      </c>
      <c r="F83" s="463">
        <f t="shared" si="12"/>
        <v>-0.23586913244642146</v>
      </c>
      <c r="G83" s="463">
        <f t="shared" si="12"/>
        <v>-0.21746703545595492</v>
      </c>
      <c r="H83" s="463">
        <f t="shared" si="12"/>
        <v>-1.8250524436185733</v>
      </c>
      <c r="I83" s="463">
        <f t="shared" si="12"/>
        <v>5.8768058785851604E-2</v>
      </c>
      <c r="J83" s="463">
        <f t="shared" si="12"/>
        <v>0.28194373971408826</v>
      </c>
      <c r="K83" s="463">
        <f t="shared" si="12"/>
        <v>-18.486314639113804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8" activePane="bottomLeft" state="frozen"/>
      <selection activeCell="T16" sqref="T16"/>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1864465</v>
      </c>
      <c r="D5" s="1586">
        <v>332930</v>
      </c>
      <c r="E5" s="1573">
        <v>179088</v>
      </c>
      <c r="F5" s="1631">
        <v>133173</v>
      </c>
      <c r="G5" s="1573">
        <v>104635</v>
      </c>
      <c r="H5" s="1573"/>
      <c r="I5" s="1573">
        <v>33293</v>
      </c>
      <c r="J5" s="1574">
        <v>413551</v>
      </c>
      <c r="K5" s="1573">
        <v>33293</v>
      </c>
    </row>
    <row r="6" spans="1:12" ht="15" x14ac:dyDescent="0.2">
      <c r="A6" s="427" t="s">
        <v>1642</v>
      </c>
      <c r="B6" s="429">
        <v>1130</v>
      </c>
      <c r="C6" s="1573">
        <v>33293</v>
      </c>
      <c r="D6" s="1573"/>
      <c r="E6" s="1580"/>
      <c r="F6" s="1580"/>
      <c r="G6" s="1575"/>
      <c r="H6" s="1575"/>
      <c r="I6" s="1575"/>
      <c r="J6" s="1575"/>
      <c r="K6" s="1575"/>
    </row>
    <row r="7" spans="1:12" x14ac:dyDescent="0.2">
      <c r="A7" s="427" t="s">
        <v>110</v>
      </c>
      <c r="B7" s="471">
        <v>1140</v>
      </c>
      <c r="C7" s="1573">
        <v>26635</v>
      </c>
      <c r="D7" s="1573"/>
      <c r="E7" s="1575"/>
      <c r="F7" s="1574"/>
      <c r="G7" s="1574"/>
      <c r="H7" s="1574"/>
      <c r="I7" s="1575"/>
      <c r="J7" s="1575"/>
      <c r="K7" s="1575"/>
    </row>
    <row r="8" spans="1:12" x14ac:dyDescent="0.2">
      <c r="A8" s="427" t="s">
        <v>409</v>
      </c>
      <c r="B8" s="429">
        <v>1150</v>
      </c>
      <c r="C8" s="1580"/>
      <c r="D8" s="1580"/>
      <c r="E8" s="1582"/>
      <c r="F8" s="1582"/>
      <c r="G8" s="1586">
        <v>104635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1924393</v>
      </c>
      <c r="D12" s="1633">
        <f t="shared" si="0"/>
        <v>332930</v>
      </c>
      <c r="E12" s="1633">
        <f t="shared" si="0"/>
        <v>179088</v>
      </c>
      <c r="F12" s="1633">
        <f t="shared" si="0"/>
        <v>133173</v>
      </c>
      <c r="G12" s="1633">
        <f t="shared" si="0"/>
        <v>209270</v>
      </c>
      <c r="H12" s="1633">
        <f t="shared" si="0"/>
        <v>0</v>
      </c>
      <c r="I12" s="1633">
        <f t="shared" si="0"/>
        <v>33293</v>
      </c>
      <c r="J12" s="1633">
        <f t="shared" si="0"/>
        <v>413551</v>
      </c>
      <c r="K12" s="1594">
        <f t="shared" si="0"/>
        <v>33293</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1699</v>
      </c>
      <c r="D14" s="1573">
        <v>294</v>
      </c>
      <c r="E14" s="1573">
        <v>158.12</v>
      </c>
      <c r="F14" s="1573">
        <v>118</v>
      </c>
      <c r="G14" s="1573">
        <v>184.76</v>
      </c>
      <c r="H14" s="1573"/>
      <c r="I14" s="1573">
        <v>29.39</v>
      </c>
      <c r="J14" s="1574">
        <v>365</v>
      </c>
      <c r="K14" s="1573">
        <v>29</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c r="D16" s="1573">
        <v>133055</v>
      </c>
      <c r="E16" s="1573"/>
      <c r="F16" s="1573"/>
      <c r="G16" s="1573">
        <v>10000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1699</v>
      </c>
      <c r="D18" s="1635">
        <f t="shared" ref="D18:K18" si="1">SUM(D14:D17)</f>
        <v>133349</v>
      </c>
      <c r="E18" s="1635">
        <f t="shared" si="1"/>
        <v>158.12</v>
      </c>
      <c r="F18" s="1635">
        <f t="shared" si="1"/>
        <v>118</v>
      </c>
      <c r="G18" s="1635">
        <f t="shared" si="1"/>
        <v>10184.76</v>
      </c>
      <c r="H18" s="1635">
        <f t="shared" si="1"/>
        <v>0</v>
      </c>
      <c r="I18" s="1635">
        <f t="shared" si="1"/>
        <v>29.39</v>
      </c>
      <c r="J18" s="1635">
        <f t="shared" si="1"/>
        <v>365</v>
      </c>
      <c r="K18" s="1636">
        <f t="shared" si="1"/>
        <v>29</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90430</v>
      </c>
      <c r="D65" s="1573">
        <v>46</v>
      </c>
      <c r="E65" s="1573">
        <v>24.9</v>
      </c>
      <c r="F65" s="1574">
        <v>19</v>
      </c>
      <c r="G65" s="1573">
        <v>30</v>
      </c>
      <c r="H65" s="1573"/>
      <c r="I65" s="1573">
        <v>4</v>
      </c>
      <c r="J65" s="1574">
        <v>57</v>
      </c>
      <c r="K65" s="1573">
        <v>5</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90430</v>
      </c>
      <c r="D67" s="1594">
        <f t="shared" ref="D67:K67" si="2">SUM(D65:D66)</f>
        <v>46</v>
      </c>
      <c r="E67" s="1594">
        <f t="shared" si="2"/>
        <v>24.9</v>
      </c>
      <c r="F67" s="1594">
        <f t="shared" si="2"/>
        <v>19</v>
      </c>
      <c r="G67" s="1594">
        <f t="shared" si="2"/>
        <v>30</v>
      </c>
      <c r="H67" s="1594">
        <f t="shared" si="2"/>
        <v>0</v>
      </c>
      <c r="I67" s="1594">
        <f t="shared" si="2"/>
        <v>4</v>
      </c>
      <c r="J67" s="1594">
        <f t="shared" si="2"/>
        <v>57</v>
      </c>
      <c r="K67" s="1594">
        <f t="shared" si="2"/>
        <v>5</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32537</v>
      </c>
      <c r="D69" s="1575"/>
      <c r="E69" s="1575"/>
      <c r="F69" s="1575"/>
      <c r="G69" s="1575"/>
      <c r="H69" s="1575"/>
      <c r="I69" s="1575"/>
      <c r="J69" s="1575"/>
      <c r="K69" s="1575"/>
    </row>
    <row r="70" spans="1:11" ht="12.75" customHeight="1" x14ac:dyDescent="0.2">
      <c r="A70" s="427" t="s">
        <v>989</v>
      </c>
      <c r="B70" s="429">
        <v>1612</v>
      </c>
      <c r="C70" s="1632">
        <v>4139</v>
      </c>
      <c r="D70" s="1575"/>
      <c r="E70" s="1575"/>
      <c r="F70" s="1575"/>
      <c r="G70" s="1575"/>
      <c r="H70" s="1575"/>
      <c r="I70" s="1575"/>
      <c r="J70" s="1575"/>
      <c r="K70" s="1575"/>
    </row>
    <row r="71" spans="1:11" ht="12.75" customHeight="1" x14ac:dyDescent="0.2">
      <c r="A71" s="427" t="s">
        <v>270</v>
      </c>
      <c r="B71" s="429">
        <v>1613</v>
      </c>
      <c r="C71" s="1632">
        <v>4437</v>
      </c>
      <c r="D71" s="1575"/>
      <c r="E71" s="1575"/>
      <c r="F71" s="1575"/>
      <c r="G71" s="1575"/>
      <c r="H71" s="1575"/>
      <c r="I71" s="1575"/>
      <c r="J71" s="1575"/>
      <c r="K71" s="1575"/>
    </row>
    <row r="72" spans="1:11" ht="12.75" customHeight="1" x14ac:dyDescent="0.2">
      <c r="A72" s="427" t="s">
        <v>24</v>
      </c>
      <c r="B72" s="429">
        <v>1614</v>
      </c>
      <c r="C72" s="1632">
        <v>332</v>
      </c>
      <c r="D72" s="1575"/>
      <c r="E72" s="1575"/>
      <c r="F72" s="1575"/>
      <c r="G72" s="1575"/>
      <c r="H72" s="1575"/>
      <c r="I72" s="1575"/>
      <c r="J72" s="1575"/>
      <c r="K72" s="1575"/>
    </row>
    <row r="73" spans="1:11" ht="12.75" customHeight="1" x14ac:dyDescent="0.2">
      <c r="A73" s="427" t="s">
        <v>990</v>
      </c>
      <c r="B73" s="429">
        <v>1620</v>
      </c>
      <c r="C73" s="1632">
        <v>3101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44546</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27077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v>8750</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35827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19097</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v>7</v>
      </c>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19104</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c r="E95" s="1617"/>
      <c r="F95" s="1617"/>
      <c r="G95" s="1617"/>
      <c r="H95" s="1617"/>
      <c r="I95" s="1617"/>
      <c r="J95" s="1617"/>
      <c r="K95" s="1617"/>
    </row>
    <row r="96" spans="1:11" ht="12.75" customHeight="1" x14ac:dyDescent="0.2">
      <c r="A96" s="427" t="s">
        <v>387</v>
      </c>
      <c r="B96" s="429">
        <v>1920</v>
      </c>
      <c r="C96" s="1632">
        <v>34700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1785</v>
      </c>
      <c r="D98" s="1573"/>
      <c r="E98" s="1612"/>
      <c r="F98" s="1573"/>
      <c r="G98" s="1612"/>
      <c r="H98" s="1612"/>
      <c r="I98" s="1610"/>
      <c r="J98" s="1612"/>
      <c r="K98" s="1612"/>
    </row>
    <row r="99" spans="1:12" ht="12.75" customHeight="1" x14ac:dyDescent="0.2">
      <c r="A99" s="427" t="s">
        <v>815</v>
      </c>
      <c r="B99" s="429">
        <v>1950</v>
      </c>
      <c r="C99" s="1598">
        <v>6317</v>
      </c>
      <c r="D99" s="1573"/>
      <c r="E99" s="1573"/>
      <c r="F99" s="1573"/>
      <c r="G99" s="1573"/>
      <c r="H99" s="1573"/>
      <c r="I99" s="1575"/>
      <c r="J99" s="1574">
        <v>9668.58</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9540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v>227575.98</v>
      </c>
      <c r="F103" s="1575"/>
      <c r="G103" s="1575"/>
      <c r="H103" s="1598">
        <v>149791</v>
      </c>
      <c r="I103" s="1575"/>
      <c r="J103" s="1610"/>
      <c r="K103" s="1610"/>
    </row>
    <row r="104" spans="1:12" ht="12.75" customHeight="1" x14ac:dyDescent="0.2">
      <c r="A104" s="427" t="s">
        <v>824</v>
      </c>
      <c r="B104" s="429">
        <v>1991</v>
      </c>
      <c r="C104" s="1598">
        <v>8469</v>
      </c>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778</v>
      </c>
      <c r="D107" s="1573">
        <v>44793</v>
      </c>
      <c r="E107" s="1573"/>
      <c r="F107" s="1573">
        <v>710</v>
      </c>
      <c r="G107" s="1573"/>
      <c r="H107" s="1573"/>
      <c r="I107" s="1573"/>
      <c r="J107" s="1574"/>
      <c r="K107" s="1573"/>
    </row>
    <row r="108" spans="1:12" ht="12.75" customHeight="1" thickBot="1" x14ac:dyDescent="0.25">
      <c r="A108" s="1406" t="s">
        <v>483</v>
      </c>
      <c r="B108" s="1408"/>
      <c r="C108" s="1633">
        <f>SUM(C95:C107)</f>
        <v>61589</v>
      </c>
      <c r="D108" s="1633">
        <f t="shared" ref="D108:K108" si="3">SUM(D95:D107)</f>
        <v>44793</v>
      </c>
      <c r="E108" s="1633">
        <f t="shared" si="3"/>
        <v>227575.98</v>
      </c>
      <c r="F108" s="1633">
        <f t="shared" si="3"/>
        <v>710</v>
      </c>
      <c r="G108" s="1633">
        <f t="shared" si="3"/>
        <v>0</v>
      </c>
      <c r="H108" s="1633">
        <f t="shared" si="3"/>
        <v>149791</v>
      </c>
      <c r="I108" s="1633">
        <f t="shared" si="3"/>
        <v>0</v>
      </c>
      <c r="J108" s="1633">
        <f t="shared" si="3"/>
        <v>9668.58</v>
      </c>
      <c r="K108" s="1594">
        <f t="shared" si="3"/>
        <v>0</v>
      </c>
    </row>
    <row r="109" spans="1:12" ht="14.25" thickTop="1" thickBot="1" x14ac:dyDescent="0.25">
      <c r="A109" s="1409" t="s">
        <v>246</v>
      </c>
      <c r="B109" s="1410" t="s">
        <v>565</v>
      </c>
      <c r="C109" s="1641">
        <f t="shared" ref="C109:K109" si="4">SUM(C12,C18,C40,C63,C67,C75,C82,C93,C108,)</f>
        <v>2177588</v>
      </c>
      <c r="D109" s="1641">
        <f t="shared" si="4"/>
        <v>511118</v>
      </c>
      <c r="E109" s="1641">
        <f t="shared" si="4"/>
        <v>406847</v>
      </c>
      <c r="F109" s="1641">
        <f t="shared" si="4"/>
        <v>134020</v>
      </c>
      <c r="G109" s="1641">
        <f t="shared" si="4"/>
        <v>219484.76</v>
      </c>
      <c r="H109" s="1641">
        <f t="shared" si="4"/>
        <v>149791</v>
      </c>
      <c r="I109" s="1641">
        <f t="shared" si="4"/>
        <v>33326.39</v>
      </c>
      <c r="J109" s="1641">
        <f t="shared" si="4"/>
        <v>423641.58</v>
      </c>
      <c r="K109" s="1629">
        <f t="shared" si="4"/>
        <v>33327</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3481545</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3481545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5995</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4095</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10090</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8649</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4944</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13593</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2115</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5391</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68418</v>
      </c>
      <c r="G152" s="1574"/>
      <c r="H152" s="1575"/>
      <c r="I152" s="1575"/>
      <c r="J152" s="1575"/>
      <c r="K152" s="1575"/>
    </row>
    <row r="153" spans="1:11" ht="12.75" customHeight="1" x14ac:dyDescent="0.2">
      <c r="A153" s="427" t="s">
        <v>1047</v>
      </c>
      <c r="B153" s="478">
        <v>3510</v>
      </c>
      <c r="C153" s="1632"/>
      <c r="D153" s="1573"/>
      <c r="E153" s="1640"/>
      <c r="F153" s="1573">
        <v>109915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178333</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140365</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v>4464</v>
      </c>
      <c r="E168" s="1655"/>
      <c r="F168" s="1655"/>
      <c r="G168" s="1656"/>
      <c r="H168" s="1657"/>
      <c r="I168" s="1656"/>
      <c r="J168" s="1656"/>
      <c r="K168" s="1657"/>
    </row>
    <row r="169" spans="1:11" ht="12.75" customHeight="1" thickTop="1" thickBot="1" x14ac:dyDescent="0.25">
      <c r="A169" s="2249" t="s">
        <v>394</v>
      </c>
      <c r="B169" s="2250"/>
      <c r="C169" s="1658">
        <f t="shared" ref="C169:K169" si="6">SUM(C132,C141,C145,C146:C150,C155,C156:C167,C168)</f>
        <v>172304</v>
      </c>
      <c r="D169" s="1658">
        <f t="shared" si="6"/>
        <v>4464</v>
      </c>
      <c r="E169" s="1658">
        <f t="shared" si="6"/>
        <v>0</v>
      </c>
      <c r="F169" s="1658">
        <f t="shared" si="6"/>
        <v>178333</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3653849</v>
      </c>
      <c r="D170" s="1641">
        <f t="shared" si="7"/>
        <v>4464</v>
      </c>
      <c r="E170" s="1641">
        <f t="shared" si="7"/>
        <v>0</v>
      </c>
      <c r="F170" s="1641">
        <f t="shared" si="7"/>
        <v>178333</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1" t="s">
        <v>1474</v>
      </c>
      <c r="B172" s="2252"/>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5" t="s">
        <v>1645</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1644</v>
      </c>
      <c r="B176" s="2260"/>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257</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7" t="s">
        <v>779</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v>4251</v>
      </c>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4251</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101741</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31932</v>
      </c>
      <c r="D193" s="1575"/>
      <c r="E193" s="1640"/>
      <c r="F193" s="1575"/>
      <c r="G193" s="1664"/>
      <c r="H193" s="1575"/>
      <c r="I193" s="1575"/>
      <c r="J193" s="1575"/>
      <c r="K193" s="1575"/>
    </row>
    <row r="194" spans="1:11" ht="12.75" customHeight="1" x14ac:dyDescent="0.2">
      <c r="A194" s="427" t="s">
        <v>1433</v>
      </c>
      <c r="B194" s="429">
        <v>4225</v>
      </c>
      <c r="C194" s="1632">
        <v>60902</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194575</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245466</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v>228095</v>
      </c>
      <c r="D203" s="1573"/>
      <c r="E203" s="1575"/>
      <c r="F203" s="1573"/>
      <c r="G203" s="1573"/>
      <c r="H203" s="1575"/>
      <c r="I203" s="1575"/>
      <c r="J203" s="1575"/>
      <c r="K203" s="1575"/>
    </row>
    <row r="204" spans="1:11" ht="12.75" customHeight="1" thickBot="1" x14ac:dyDescent="0.25">
      <c r="A204" s="1406" t="s">
        <v>396</v>
      </c>
      <c r="B204" s="1407"/>
      <c r="C204" s="1633">
        <f>SUM(C200:C203)</f>
        <v>473561</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12227</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12227</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c r="D213" s="1573"/>
      <c r="E213" s="1575"/>
      <c r="F213" s="1573"/>
      <c r="G213" s="1573"/>
      <c r="H213" s="1575"/>
      <c r="I213" s="1575"/>
      <c r="J213" s="1575"/>
      <c r="K213" s="1575"/>
    </row>
    <row r="214" spans="1:11" ht="12.75" customHeight="1" x14ac:dyDescent="0.2">
      <c r="A214" s="427" t="s">
        <v>1044</v>
      </c>
      <c r="B214" s="429">
        <v>4625</v>
      </c>
      <c r="C214" s="1632">
        <v>46803</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46803</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41274</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12926</v>
      </c>
      <c r="D263" s="1651"/>
      <c r="E263" s="1575"/>
      <c r="F263" s="1651"/>
      <c r="G263" s="1651"/>
      <c r="H263" s="1575"/>
      <c r="I263" s="1575"/>
      <c r="J263" s="1575"/>
      <c r="K263" s="1575"/>
    </row>
    <row r="264" spans="1:11" ht="12.75" customHeight="1" thickTop="1" thickBot="1" x14ac:dyDescent="0.25">
      <c r="A264" s="427" t="s">
        <v>373</v>
      </c>
      <c r="B264" s="429">
        <v>4992</v>
      </c>
      <c r="C264" s="1650">
        <v>19830</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805447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805447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6636884</v>
      </c>
      <c r="D268" s="1641">
        <f t="shared" si="12"/>
        <v>515582</v>
      </c>
      <c r="E268" s="1641">
        <f t="shared" si="12"/>
        <v>406847</v>
      </c>
      <c r="F268" s="1641">
        <f t="shared" si="12"/>
        <v>312353</v>
      </c>
      <c r="G268" s="1641">
        <f t="shared" si="12"/>
        <v>219484.76</v>
      </c>
      <c r="H268" s="1641">
        <f t="shared" si="12"/>
        <v>149791</v>
      </c>
      <c r="I268" s="1641">
        <f t="shared" si="12"/>
        <v>33326.39</v>
      </c>
      <c r="J268" s="1641">
        <f t="shared" si="12"/>
        <v>423641.58</v>
      </c>
      <c r="K268" s="1629">
        <f t="shared" si="12"/>
        <v>33327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activeCell="T16" sqref="T16"/>
      <selection pane="bottomLeft" activeCell="T16" sqref="T1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7" t="s">
        <v>293</v>
      </c>
      <c r="B3" s="2268"/>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2062554</v>
      </c>
      <c r="D5" s="1573">
        <v>296119</v>
      </c>
      <c r="E5" s="1573">
        <v>79345</v>
      </c>
      <c r="F5" s="1573">
        <v>145623</v>
      </c>
      <c r="G5" s="1573">
        <v>33274</v>
      </c>
      <c r="H5" s="1573">
        <v>4374</v>
      </c>
      <c r="I5" s="1574"/>
      <c r="J5" s="1574"/>
      <c r="K5" s="1672">
        <f>SUM(C5:J5)</f>
        <v>2621289</v>
      </c>
      <c r="L5" s="1573">
        <v>2957120</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v>106691</v>
      </c>
      <c r="D7" s="1574"/>
      <c r="E7" s="1574">
        <v>450</v>
      </c>
      <c r="F7" s="1574">
        <v>12268</v>
      </c>
      <c r="G7" s="1574">
        <v>3604</v>
      </c>
      <c r="H7" s="1574"/>
      <c r="I7" s="1574"/>
      <c r="J7" s="1574"/>
      <c r="K7" s="1672">
        <f t="shared" ref="K7:K32" si="0">SUM(C7:J7)</f>
        <v>123013</v>
      </c>
      <c r="L7" s="1573">
        <v>220568</v>
      </c>
    </row>
    <row r="8" spans="1:14" x14ac:dyDescent="0.2">
      <c r="A8" s="1274" t="s">
        <v>163</v>
      </c>
      <c r="B8" s="503">
        <v>1200</v>
      </c>
      <c r="C8" s="1573">
        <v>678644</v>
      </c>
      <c r="D8" s="1573">
        <v>151954</v>
      </c>
      <c r="E8" s="1573">
        <v>9174</v>
      </c>
      <c r="F8" s="1573">
        <v>8753</v>
      </c>
      <c r="G8" s="1573">
        <v>745</v>
      </c>
      <c r="H8" s="1573">
        <v>787</v>
      </c>
      <c r="I8" s="1574"/>
      <c r="J8" s="1574"/>
      <c r="K8" s="1672">
        <f t="shared" si="0"/>
        <v>850057</v>
      </c>
      <c r="L8" s="1573">
        <v>876980</v>
      </c>
    </row>
    <row r="9" spans="1:14" x14ac:dyDescent="0.2">
      <c r="A9" s="1274" t="s">
        <v>715</v>
      </c>
      <c r="B9" s="503" t="s">
        <v>961</v>
      </c>
      <c r="C9" s="1574"/>
      <c r="D9" s="1574"/>
      <c r="E9" s="1574"/>
      <c r="F9" s="1574"/>
      <c r="G9" s="1574"/>
      <c r="H9" s="1574"/>
      <c r="I9" s="1574"/>
      <c r="J9" s="1574"/>
      <c r="K9" s="1672">
        <f t="shared" si="0"/>
        <v>0</v>
      </c>
      <c r="L9" s="1573">
        <v>314</v>
      </c>
    </row>
    <row r="10" spans="1:14" x14ac:dyDescent="0.2">
      <c r="A10" s="1274" t="s">
        <v>716</v>
      </c>
      <c r="B10" s="503">
        <v>1250</v>
      </c>
      <c r="C10" s="1573">
        <v>5638</v>
      </c>
      <c r="D10" s="1573"/>
      <c r="E10" s="1573"/>
      <c r="F10" s="1573">
        <v>594</v>
      </c>
      <c r="G10" s="1573"/>
      <c r="H10" s="1573">
        <v>48142</v>
      </c>
      <c r="I10" s="1574"/>
      <c r="J10" s="1574"/>
      <c r="K10" s="1672">
        <f t="shared" si="0"/>
        <v>54374</v>
      </c>
      <c r="L10" s="1573">
        <v>101655</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101027</v>
      </c>
      <c r="D13" s="1573">
        <v>11740</v>
      </c>
      <c r="E13" s="1573">
        <v>2629</v>
      </c>
      <c r="F13" s="1573">
        <v>15897</v>
      </c>
      <c r="G13" s="1573">
        <v>12074</v>
      </c>
      <c r="H13" s="1573">
        <v>607</v>
      </c>
      <c r="I13" s="1574"/>
      <c r="J13" s="1574"/>
      <c r="K13" s="1672">
        <f t="shared" si="0"/>
        <v>143974</v>
      </c>
      <c r="L13" s="1573">
        <v>201814</v>
      </c>
    </row>
    <row r="14" spans="1:14" x14ac:dyDescent="0.2">
      <c r="A14" s="1274" t="s">
        <v>956</v>
      </c>
      <c r="B14" s="503">
        <v>1500</v>
      </c>
      <c r="C14" s="1573">
        <v>76374</v>
      </c>
      <c r="D14" s="1573">
        <v>364</v>
      </c>
      <c r="E14" s="1573">
        <v>28005</v>
      </c>
      <c r="F14" s="1573">
        <v>20546</v>
      </c>
      <c r="G14" s="1573">
        <v>12130</v>
      </c>
      <c r="H14" s="1573">
        <v>3577</v>
      </c>
      <c r="I14" s="1574"/>
      <c r="J14" s="1574"/>
      <c r="K14" s="1672">
        <f t="shared" si="0"/>
        <v>140996</v>
      </c>
      <c r="L14" s="1573">
        <v>127005</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v>17806</v>
      </c>
      <c r="D17" s="1574">
        <v>1510</v>
      </c>
      <c r="E17" s="1574">
        <v>75</v>
      </c>
      <c r="F17" s="1574">
        <v>544</v>
      </c>
      <c r="G17" s="1574"/>
      <c r="H17" s="1574"/>
      <c r="I17" s="1574"/>
      <c r="J17" s="1574"/>
      <c r="K17" s="1672">
        <f t="shared" si="0"/>
        <v>19935</v>
      </c>
      <c r="L17" s="1573">
        <v>39853</v>
      </c>
    </row>
    <row r="18" spans="1:12" x14ac:dyDescent="0.2">
      <c r="A18" s="1274" t="s">
        <v>1077</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v>44186</v>
      </c>
      <c r="I22" s="1673"/>
      <c r="J22" s="1582"/>
      <c r="K22" s="1672">
        <f t="shared" si="0"/>
        <v>44186</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3048734</v>
      </c>
      <c r="D33" s="1674">
        <f t="shared" ref="D33:L33" si="1">SUM(D5:D32)</f>
        <v>461687</v>
      </c>
      <c r="E33" s="1674">
        <f t="shared" si="1"/>
        <v>119678</v>
      </c>
      <c r="F33" s="1674">
        <f t="shared" si="1"/>
        <v>204225</v>
      </c>
      <c r="G33" s="1674">
        <f t="shared" si="1"/>
        <v>61827</v>
      </c>
      <c r="H33" s="1674">
        <f t="shared" si="1"/>
        <v>101673</v>
      </c>
      <c r="I33" s="1674">
        <f t="shared" si="1"/>
        <v>0</v>
      </c>
      <c r="J33" s="1674">
        <f t="shared" si="1"/>
        <v>0</v>
      </c>
      <c r="K33" s="1674">
        <f t="shared" si="1"/>
        <v>3997824</v>
      </c>
      <c r="L33" s="1674">
        <f t="shared" si="1"/>
        <v>4525309</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9705</v>
      </c>
      <c r="D36" s="1586">
        <v>2476</v>
      </c>
      <c r="E36" s="1586">
        <v>70</v>
      </c>
      <c r="F36" s="1586"/>
      <c r="G36" s="1586"/>
      <c r="H36" s="1586"/>
      <c r="I36" s="1574"/>
      <c r="J36" s="1574"/>
      <c r="K36" s="1672">
        <f t="shared" ref="K36:K41" si="2">SUM(C36:J36)</f>
        <v>12251</v>
      </c>
      <c r="L36" s="1573"/>
    </row>
    <row r="37" spans="1:14" x14ac:dyDescent="0.2">
      <c r="A37" s="1274" t="s">
        <v>1080</v>
      </c>
      <c r="B37" s="503">
        <v>2120</v>
      </c>
      <c r="C37" s="1573">
        <v>23636</v>
      </c>
      <c r="D37" s="1573">
        <v>5592</v>
      </c>
      <c r="E37" s="1573">
        <v>671</v>
      </c>
      <c r="F37" s="1573">
        <v>87</v>
      </c>
      <c r="G37" s="1573"/>
      <c r="H37" s="1573"/>
      <c r="I37" s="1574"/>
      <c r="J37" s="1574"/>
      <c r="K37" s="1672">
        <f t="shared" si="2"/>
        <v>29986</v>
      </c>
      <c r="L37" s="1573">
        <v>34917</v>
      </c>
    </row>
    <row r="38" spans="1:14" x14ac:dyDescent="0.2">
      <c r="A38" s="1274" t="s">
        <v>196</v>
      </c>
      <c r="B38" s="503">
        <v>2130</v>
      </c>
      <c r="C38" s="1573">
        <v>12789</v>
      </c>
      <c r="D38" s="1573">
        <v>5810</v>
      </c>
      <c r="E38" s="1573">
        <v>206</v>
      </c>
      <c r="F38" s="1573">
        <v>1802</v>
      </c>
      <c r="G38" s="1573"/>
      <c r="H38" s="1573"/>
      <c r="I38" s="1574"/>
      <c r="J38" s="1574"/>
      <c r="K38" s="1672">
        <f t="shared" si="2"/>
        <v>20607</v>
      </c>
      <c r="L38" s="1573">
        <v>23644</v>
      </c>
    </row>
    <row r="39" spans="1:14" x14ac:dyDescent="0.2">
      <c r="A39" s="1274" t="s">
        <v>197</v>
      </c>
      <c r="B39" s="503">
        <v>2140</v>
      </c>
      <c r="C39" s="1573">
        <v>56449</v>
      </c>
      <c r="D39" s="1573">
        <v>1064</v>
      </c>
      <c r="E39" s="1573">
        <v>758</v>
      </c>
      <c r="F39" s="1573"/>
      <c r="G39" s="1573"/>
      <c r="H39" s="1573"/>
      <c r="I39" s="1574"/>
      <c r="J39" s="1574"/>
      <c r="K39" s="1672">
        <f t="shared" si="2"/>
        <v>58271</v>
      </c>
      <c r="L39" s="1573">
        <v>60800</v>
      </c>
    </row>
    <row r="40" spans="1:14" x14ac:dyDescent="0.2">
      <c r="A40" s="1274" t="s">
        <v>198</v>
      </c>
      <c r="B40" s="503">
        <v>2150</v>
      </c>
      <c r="C40" s="1573">
        <v>64533</v>
      </c>
      <c r="D40" s="1573">
        <v>7333</v>
      </c>
      <c r="E40" s="1573"/>
      <c r="F40" s="1573">
        <v>535</v>
      </c>
      <c r="G40" s="1573"/>
      <c r="H40" s="1573"/>
      <c r="I40" s="1574"/>
      <c r="J40" s="1574"/>
      <c r="K40" s="1672">
        <f t="shared" si="2"/>
        <v>72401</v>
      </c>
      <c r="L40" s="1573">
        <v>77628</v>
      </c>
    </row>
    <row r="41" spans="1:14" x14ac:dyDescent="0.2">
      <c r="A41" s="1274" t="s">
        <v>1649</v>
      </c>
      <c r="B41" s="503">
        <v>2190</v>
      </c>
      <c r="C41" s="1573"/>
      <c r="D41" s="1573"/>
      <c r="E41" s="1573"/>
      <c r="F41" s="1573"/>
      <c r="G41" s="1573"/>
      <c r="H41" s="1573"/>
      <c r="I41" s="1574"/>
      <c r="J41" s="1574"/>
      <c r="K41" s="1672">
        <f t="shared" si="2"/>
        <v>0</v>
      </c>
      <c r="L41" s="1573"/>
    </row>
    <row r="42" spans="1:14" ht="12.75" customHeight="1" thickBot="1" x14ac:dyDescent="0.25">
      <c r="A42" s="1380" t="s">
        <v>555</v>
      </c>
      <c r="B42" s="1381" t="s">
        <v>710</v>
      </c>
      <c r="C42" s="1674">
        <f>SUM(C36:C41)</f>
        <v>167112</v>
      </c>
      <c r="D42" s="1674">
        <f t="shared" ref="D42:L42" si="3">SUM(D36:D41)</f>
        <v>22275</v>
      </c>
      <c r="E42" s="1674">
        <f t="shared" si="3"/>
        <v>1705</v>
      </c>
      <c r="F42" s="1674">
        <f t="shared" si="3"/>
        <v>2424</v>
      </c>
      <c r="G42" s="1674">
        <f t="shared" si="3"/>
        <v>0</v>
      </c>
      <c r="H42" s="1674">
        <f t="shared" si="3"/>
        <v>0</v>
      </c>
      <c r="I42" s="1674">
        <f t="shared" si="3"/>
        <v>0</v>
      </c>
      <c r="J42" s="1674">
        <f t="shared" si="3"/>
        <v>0</v>
      </c>
      <c r="K42" s="1674">
        <f t="shared" si="3"/>
        <v>193516</v>
      </c>
      <c r="L42" s="1674">
        <f t="shared" si="3"/>
        <v>196989</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2250</v>
      </c>
      <c r="D44" s="1586"/>
      <c r="E44" s="1586">
        <v>146372</v>
      </c>
      <c r="F44" s="1586">
        <v>3911</v>
      </c>
      <c r="G44" s="1586"/>
      <c r="H44" s="1586"/>
      <c r="I44" s="1574"/>
      <c r="J44" s="1574"/>
      <c r="K44" s="1678">
        <f>SUM(C44:J44)</f>
        <v>152533</v>
      </c>
      <c r="L44" s="1586">
        <v>160416</v>
      </c>
    </row>
    <row r="45" spans="1:14" x14ac:dyDescent="0.2">
      <c r="A45" s="1274" t="s">
        <v>809</v>
      </c>
      <c r="B45" s="503">
        <v>2220</v>
      </c>
      <c r="C45" s="1573">
        <v>111512</v>
      </c>
      <c r="D45" s="1573">
        <v>27732</v>
      </c>
      <c r="E45" s="1573">
        <v>3062</v>
      </c>
      <c r="F45" s="1573">
        <v>2765</v>
      </c>
      <c r="G45" s="1573"/>
      <c r="H45" s="1573">
        <v>1100</v>
      </c>
      <c r="I45" s="1574"/>
      <c r="J45" s="1574"/>
      <c r="K45" s="1678">
        <f>SUM(C45:J45)</f>
        <v>146171</v>
      </c>
      <c r="L45" s="1573">
        <v>173319</v>
      </c>
    </row>
    <row r="46" spans="1:14" x14ac:dyDescent="0.2">
      <c r="A46" s="1274" t="s">
        <v>810</v>
      </c>
      <c r="B46" s="503">
        <v>2230</v>
      </c>
      <c r="C46" s="1573"/>
      <c r="D46" s="1573"/>
      <c r="E46" s="1573"/>
      <c r="F46" s="1573"/>
      <c r="G46" s="1573"/>
      <c r="H46" s="1573"/>
      <c r="I46" s="1574"/>
      <c r="J46" s="1574"/>
      <c r="K46" s="1678">
        <f>SUM(C46:J46)</f>
        <v>0</v>
      </c>
      <c r="L46" s="1573">
        <v>2763</v>
      </c>
    </row>
    <row r="47" spans="1:14" ht="12.75" customHeight="1" thickBot="1" x14ac:dyDescent="0.25">
      <c r="A47" s="1380" t="s">
        <v>556</v>
      </c>
      <c r="B47" s="1381" t="s">
        <v>32</v>
      </c>
      <c r="C47" s="1674">
        <f>SUM(C44:C46)</f>
        <v>113762</v>
      </c>
      <c r="D47" s="1674">
        <f t="shared" ref="D47:K47" si="4">SUM(D44:D46)</f>
        <v>27732</v>
      </c>
      <c r="E47" s="1674">
        <f t="shared" si="4"/>
        <v>149434</v>
      </c>
      <c r="F47" s="1674">
        <f t="shared" si="4"/>
        <v>6676</v>
      </c>
      <c r="G47" s="1674">
        <f t="shared" si="4"/>
        <v>0</v>
      </c>
      <c r="H47" s="1674">
        <f t="shared" si="4"/>
        <v>1100</v>
      </c>
      <c r="I47" s="1674">
        <f t="shared" si="4"/>
        <v>0</v>
      </c>
      <c r="J47" s="1674">
        <f t="shared" si="4"/>
        <v>0</v>
      </c>
      <c r="K47" s="1674">
        <f t="shared" si="4"/>
        <v>298704</v>
      </c>
      <c r="L47" s="1674">
        <f>SUM(L44:L46)</f>
        <v>336498</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33211</v>
      </c>
      <c r="D49" s="1586">
        <v>457</v>
      </c>
      <c r="E49" s="1586">
        <v>20597</v>
      </c>
      <c r="F49" s="1586"/>
      <c r="G49" s="1586"/>
      <c r="H49" s="1586">
        <v>4752</v>
      </c>
      <c r="I49" s="1574"/>
      <c r="J49" s="1574"/>
      <c r="K49" s="1678">
        <f>SUM(C49:J49)</f>
        <v>59017</v>
      </c>
      <c r="L49" s="1586">
        <v>61735</v>
      </c>
    </row>
    <row r="50" spans="1:14" x14ac:dyDescent="0.2">
      <c r="A50" s="1274" t="s">
        <v>812</v>
      </c>
      <c r="B50" s="503">
        <v>2320</v>
      </c>
      <c r="C50" s="1573">
        <v>157658</v>
      </c>
      <c r="D50" s="1573">
        <v>41662</v>
      </c>
      <c r="E50" s="1573">
        <v>12671</v>
      </c>
      <c r="F50" s="1573">
        <v>10123</v>
      </c>
      <c r="G50" s="1573">
        <v>2098</v>
      </c>
      <c r="H50" s="1573">
        <v>7482</v>
      </c>
      <c r="I50" s="1574"/>
      <c r="J50" s="1574"/>
      <c r="K50" s="1678">
        <f>SUM(C50:J50)</f>
        <v>231694</v>
      </c>
      <c r="L50" s="1573">
        <v>220321</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190869</v>
      </c>
      <c r="D53" s="1674">
        <f t="shared" ref="D53:L53" si="5">SUM(D49:D52)</f>
        <v>42119</v>
      </c>
      <c r="E53" s="1674">
        <f t="shared" si="5"/>
        <v>33268</v>
      </c>
      <c r="F53" s="1674">
        <f t="shared" si="5"/>
        <v>10123</v>
      </c>
      <c r="G53" s="1674">
        <f t="shared" si="5"/>
        <v>2098</v>
      </c>
      <c r="H53" s="1674">
        <f t="shared" si="5"/>
        <v>12234</v>
      </c>
      <c r="I53" s="1674">
        <f t="shared" si="5"/>
        <v>0</v>
      </c>
      <c r="J53" s="1674">
        <f t="shared" si="5"/>
        <v>0</v>
      </c>
      <c r="K53" s="1674">
        <f t="shared" si="5"/>
        <v>290711</v>
      </c>
      <c r="L53" s="1674">
        <f t="shared" si="5"/>
        <v>282056</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268462</v>
      </c>
      <c r="D55" s="1586">
        <v>39106</v>
      </c>
      <c r="E55" s="1586">
        <v>26049</v>
      </c>
      <c r="F55" s="1586">
        <v>22707</v>
      </c>
      <c r="G55" s="1586">
        <v>8754</v>
      </c>
      <c r="H55" s="1586">
        <v>3941</v>
      </c>
      <c r="I55" s="1574"/>
      <c r="J55" s="1574"/>
      <c r="K55" s="1678">
        <f>SUM(C55:J55)</f>
        <v>369019</v>
      </c>
      <c r="L55" s="1586">
        <v>356489</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260</v>
      </c>
      <c r="B57" s="1382" t="s">
        <v>34</v>
      </c>
      <c r="C57" s="1679">
        <f>SUM(C55:C56)</f>
        <v>268462</v>
      </c>
      <c r="D57" s="1679">
        <f t="shared" ref="D57:K57" si="6">SUM(D55:D56)</f>
        <v>39106</v>
      </c>
      <c r="E57" s="1679">
        <f t="shared" si="6"/>
        <v>26049</v>
      </c>
      <c r="F57" s="1679">
        <f t="shared" si="6"/>
        <v>22707</v>
      </c>
      <c r="G57" s="1679">
        <f t="shared" si="6"/>
        <v>8754</v>
      </c>
      <c r="H57" s="1679">
        <f t="shared" si="6"/>
        <v>3941</v>
      </c>
      <c r="I57" s="1679">
        <f t="shared" si="6"/>
        <v>0</v>
      </c>
      <c r="J57" s="1679">
        <f t="shared" si="6"/>
        <v>0</v>
      </c>
      <c r="K57" s="1679">
        <f t="shared" si="6"/>
        <v>369019</v>
      </c>
      <c r="L57" s="1674">
        <f>SUM(L55:L56)</f>
        <v>356489</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v>38854</v>
      </c>
      <c r="D60" s="1573">
        <v>6317</v>
      </c>
      <c r="E60" s="1573"/>
      <c r="F60" s="1573"/>
      <c r="G60" s="1573"/>
      <c r="H60" s="1573"/>
      <c r="I60" s="1574"/>
      <c r="J60" s="1574"/>
      <c r="K60" s="1678">
        <f t="shared" si="7"/>
        <v>45171</v>
      </c>
      <c r="L60" s="1573">
        <v>43633</v>
      </c>
      <c r="M60" s="501"/>
      <c r="N60" s="501"/>
    </row>
    <row r="61" spans="1:14" s="321" customFormat="1" x14ac:dyDescent="0.2">
      <c r="A61" s="1274" t="s">
        <v>195</v>
      </c>
      <c r="B61" s="503">
        <v>2540</v>
      </c>
      <c r="C61" s="1573">
        <v>1300</v>
      </c>
      <c r="D61" s="1573"/>
      <c r="E61" s="1573">
        <v>19582</v>
      </c>
      <c r="F61" s="1573">
        <v>154207</v>
      </c>
      <c r="G61" s="1573"/>
      <c r="H61" s="1573"/>
      <c r="I61" s="1574"/>
      <c r="J61" s="1574"/>
      <c r="K61" s="1678">
        <f t="shared" si="7"/>
        <v>175089</v>
      </c>
      <c r="L61" s="1573">
        <v>209667</v>
      </c>
      <c r="M61" s="501"/>
      <c r="N61" s="501"/>
    </row>
    <row r="62" spans="1:14" s="321" customFormat="1" x14ac:dyDescent="0.2">
      <c r="A62" s="1274" t="s">
        <v>946</v>
      </c>
      <c r="B62" s="503">
        <v>2550</v>
      </c>
      <c r="C62" s="1573"/>
      <c r="D62" s="1573"/>
      <c r="E62" s="1573">
        <v>640</v>
      </c>
      <c r="F62" s="1573"/>
      <c r="G62" s="1573"/>
      <c r="H62" s="1573"/>
      <c r="I62" s="1574"/>
      <c r="J62" s="1574"/>
      <c r="K62" s="1678">
        <f t="shared" si="7"/>
        <v>640</v>
      </c>
      <c r="L62" s="1573">
        <v>2029</v>
      </c>
      <c r="M62" s="501"/>
      <c r="N62" s="501"/>
    </row>
    <row r="63" spans="1:14" s="501" customFormat="1" x14ac:dyDescent="0.2">
      <c r="A63" s="1274" t="s">
        <v>100</v>
      </c>
      <c r="B63" s="503">
        <v>2560</v>
      </c>
      <c r="C63" s="1573">
        <v>97535</v>
      </c>
      <c r="D63" s="1573">
        <v>28536</v>
      </c>
      <c r="E63" s="1573">
        <v>2081</v>
      </c>
      <c r="F63" s="1573">
        <v>165537</v>
      </c>
      <c r="G63" s="1573">
        <v>4072</v>
      </c>
      <c r="H63" s="1573">
        <v>1370</v>
      </c>
      <c r="I63" s="1574"/>
      <c r="J63" s="1574"/>
      <c r="K63" s="1678">
        <f t="shared" si="7"/>
        <v>299131</v>
      </c>
      <c r="L63" s="1573">
        <v>322766</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137689</v>
      </c>
      <c r="D65" s="1674">
        <f t="shared" ref="D65:L65" si="8">SUM(D59:D64)</f>
        <v>34853</v>
      </c>
      <c r="E65" s="1674">
        <f t="shared" si="8"/>
        <v>22303</v>
      </c>
      <c r="F65" s="1674">
        <f t="shared" si="8"/>
        <v>319744</v>
      </c>
      <c r="G65" s="1674">
        <f t="shared" si="8"/>
        <v>4072</v>
      </c>
      <c r="H65" s="1674">
        <f t="shared" si="8"/>
        <v>1370</v>
      </c>
      <c r="I65" s="1674">
        <f t="shared" si="8"/>
        <v>0</v>
      </c>
      <c r="J65" s="1674">
        <f t="shared" si="8"/>
        <v>0</v>
      </c>
      <c r="K65" s="1674">
        <f t="shared" si="8"/>
        <v>520031</v>
      </c>
      <c r="L65" s="1674">
        <f t="shared" si="8"/>
        <v>578095</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v>6359</v>
      </c>
      <c r="F71" s="1573">
        <v>1128</v>
      </c>
      <c r="G71" s="1573"/>
      <c r="H71" s="1573"/>
      <c r="I71" s="1574"/>
      <c r="J71" s="1574"/>
      <c r="K71" s="1678">
        <f>SUM(C71:J71)</f>
        <v>7487</v>
      </c>
      <c r="L71" s="1573">
        <v>13163</v>
      </c>
      <c r="M71" s="501"/>
      <c r="N71" s="501"/>
    </row>
    <row r="72" spans="1:14" s="321" customFormat="1" ht="12.75" customHeight="1" thickBot="1" x14ac:dyDescent="0.25">
      <c r="A72" s="1380" t="s">
        <v>37</v>
      </c>
      <c r="B72" s="1383" t="s">
        <v>36</v>
      </c>
      <c r="C72" s="1674">
        <f>SUM(C67:C71)</f>
        <v>0</v>
      </c>
      <c r="D72" s="1674">
        <f t="shared" ref="D72:K72" si="9">SUM(D67:D71)</f>
        <v>0</v>
      </c>
      <c r="E72" s="1674">
        <f t="shared" si="9"/>
        <v>6359</v>
      </c>
      <c r="F72" s="1674">
        <f t="shared" si="9"/>
        <v>1128</v>
      </c>
      <c r="G72" s="1674">
        <f t="shared" si="9"/>
        <v>0</v>
      </c>
      <c r="H72" s="1674">
        <f t="shared" si="9"/>
        <v>0</v>
      </c>
      <c r="I72" s="1674">
        <f t="shared" si="9"/>
        <v>0</v>
      </c>
      <c r="J72" s="1674">
        <f t="shared" si="9"/>
        <v>0</v>
      </c>
      <c r="K72" s="1674">
        <f t="shared" si="9"/>
        <v>7487</v>
      </c>
      <c r="L72" s="1674">
        <f>SUM(L67:L71)</f>
        <v>13163</v>
      </c>
      <c r="M72" s="501"/>
      <c r="N72" s="501"/>
    </row>
    <row r="73" spans="1:14" s="321" customFormat="1" ht="14.25" thickTop="1" thickBot="1" x14ac:dyDescent="0.25">
      <c r="A73" s="1280" t="s">
        <v>972</v>
      </c>
      <c r="B73" s="515" t="s">
        <v>569</v>
      </c>
      <c r="C73" s="1649"/>
      <c r="D73" s="1649"/>
      <c r="E73" s="1649"/>
      <c r="F73" s="1649">
        <v>1300</v>
      </c>
      <c r="G73" s="1649"/>
      <c r="H73" s="1649"/>
      <c r="I73" s="1627"/>
      <c r="J73" s="1627"/>
      <c r="K73" s="1674">
        <f>SUM(C73:J73)</f>
        <v>1300</v>
      </c>
      <c r="L73" s="1651">
        <v>721</v>
      </c>
      <c r="M73" s="501"/>
      <c r="N73" s="501"/>
    </row>
    <row r="74" spans="1:14" ht="12.75" customHeight="1" thickTop="1" thickBot="1" x14ac:dyDescent="0.25">
      <c r="A74" s="1380" t="s">
        <v>805</v>
      </c>
      <c r="B74" s="1384">
        <v>2000</v>
      </c>
      <c r="C74" s="1681">
        <f>SUM(C42,C47,C53,C57,C65,C72,C73)</f>
        <v>877894</v>
      </c>
      <c r="D74" s="1681">
        <f t="shared" ref="D74:K74" si="10">SUM(D42,D47,D53,D57,D65,D72,D73)</f>
        <v>166085</v>
      </c>
      <c r="E74" s="1681">
        <f t="shared" si="10"/>
        <v>239118</v>
      </c>
      <c r="F74" s="1681">
        <f t="shared" si="10"/>
        <v>364102</v>
      </c>
      <c r="G74" s="1681">
        <f t="shared" si="10"/>
        <v>14924</v>
      </c>
      <c r="H74" s="1681">
        <f t="shared" si="10"/>
        <v>18645</v>
      </c>
      <c r="I74" s="1681">
        <f t="shared" si="10"/>
        <v>0</v>
      </c>
      <c r="J74" s="1681">
        <f t="shared" si="10"/>
        <v>0</v>
      </c>
      <c r="K74" s="1681">
        <f t="shared" si="10"/>
        <v>1680768</v>
      </c>
      <c r="L74" s="1681">
        <f>SUM(L42,L47,L53,L57,L65,L72,L73)</f>
        <v>1764011</v>
      </c>
    </row>
    <row r="75" spans="1:14" s="254" customFormat="1" ht="15.75" customHeight="1" thickTop="1" thickBot="1" x14ac:dyDescent="0.25">
      <c r="A75" s="1348" t="s">
        <v>47</v>
      </c>
      <c r="B75" s="1349" t="s">
        <v>570</v>
      </c>
      <c r="C75" s="1649">
        <v>2500</v>
      </c>
      <c r="D75" s="1649"/>
      <c r="E75" s="1649"/>
      <c r="F75" s="1649">
        <v>1090</v>
      </c>
      <c r="G75" s="1649"/>
      <c r="H75" s="1649"/>
      <c r="I75" s="1627"/>
      <c r="J75" s="1627"/>
      <c r="K75" s="1674">
        <f>SUM(C75:J75)</f>
        <v>3590</v>
      </c>
      <c r="L75" s="1651">
        <v>10878</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v>51500</v>
      </c>
    </row>
    <row r="79" spans="1:14" x14ac:dyDescent="0.2">
      <c r="A79" s="1274" t="s">
        <v>300</v>
      </c>
      <c r="B79" s="503">
        <v>4120</v>
      </c>
      <c r="C79" s="1673"/>
      <c r="D79" s="1673"/>
      <c r="E79" s="1573">
        <v>436791</v>
      </c>
      <c r="F79" s="1673"/>
      <c r="G79" s="1673"/>
      <c r="H79" s="1573"/>
      <c r="I79" s="1582"/>
      <c r="J79" s="1582"/>
      <c r="K79" s="1672">
        <f t="shared" si="11"/>
        <v>436791</v>
      </c>
      <c r="L79" s="1573">
        <v>442897</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v>2500</v>
      </c>
      <c r="F81" s="1673"/>
      <c r="G81" s="1673"/>
      <c r="H81" s="1573"/>
      <c r="I81" s="1582"/>
      <c r="J81" s="1582"/>
      <c r="K81" s="1672">
        <f t="shared" si="11"/>
        <v>2500</v>
      </c>
      <c r="L81" s="1573">
        <v>9697</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v>36535</v>
      </c>
      <c r="F83" s="1673"/>
      <c r="G83" s="1673"/>
      <c r="H83" s="1573">
        <v>107967</v>
      </c>
      <c r="I83" s="1582"/>
      <c r="J83" s="1582"/>
      <c r="K83" s="1672">
        <f t="shared" si="11"/>
        <v>144502</v>
      </c>
      <c r="L83" s="1573">
        <v>11791</v>
      </c>
    </row>
    <row r="84" spans="1:12" ht="13.5" thickBot="1" x14ac:dyDescent="0.25">
      <c r="A84" s="1380" t="s">
        <v>1467</v>
      </c>
      <c r="B84" s="1385">
        <v>4100</v>
      </c>
      <c r="C84" s="1673"/>
      <c r="D84" s="1673"/>
      <c r="E84" s="1674">
        <f>SUM(E78:E83)</f>
        <v>475826</v>
      </c>
      <c r="F84" s="1673"/>
      <c r="G84" s="1673"/>
      <c r="H84" s="1674">
        <f>SUM(H78:H83)</f>
        <v>107967</v>
      </c>
      <c r="I84" s="1582"/>
      <c r="J84" s="1582"/>
      <c r="K84" s="1674">
        <f>SUM(K78:K83)</f>
        <v>583793</v>
      </c>
      <c r="L84" s="1674">
        <f>SUM(L78:L83)</f>
        <v>515885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v>27761</v>
      </c>
      <c r="I86" s="1582"/>
      <c r="J86" s="1582"/>
      <c r="K86" s="1681">
        <f t="shared" ref="K86:K98" si="12">H86</f>
        <v>27761</v>
      </c>
      <c r="L86" s="1626">
        <v>12400</v>
      </c>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27761</v>
      </c>
      <c r="I92" s="1582"/>
      <c r="J92" s="1582"/>
      <c r="K92" s="1681">
        <f t="shared" si="12"/>
        <v>27761</v>
      </c>
      <c r="L92" s="1674">
        <f>SUM(L85:L91)</f>
        <v>12400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475826</v>
      </c>
      <c r="F102" s="1673"/>
      <c r="G102" s="1673"/>
      <c r="H102" s="1681">
        <f>SUM(H84,H92,H100,H101)</f>
        <v>135728</v>
      </c>
      <c r="I102" s="1582"/>
      <c r="J102" s="1582"/>
      <c r="K102" s="1681">
        <f>SUM(K84,K92,K100,K101)</f>
        <v>611554</v>
      </c>
      <c r="L102" s="1681">
        <f>SUM(L84,L92,L100,L101)</f>
        <v>528285</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3929128</v>
      </c>
      <c r="D114" s="1674">
        <f t="shared" ref="D114:K114" si="13">SUM(D33,D74,D75,D102,D112,D113)</f>
        <v>627772</v>
      </c>
      <c r="E114" s="1674">
        <f t="shared" si="13"/>
        <v>834622</v>
      </c>
      <c r="F114" s="1674">
        <f t="shared" si="13"/>
        <v>569417</v>
      </c>
      <c r="G114" s="1674">
        <f t="shared" si="13"/>
        <v>76751</v>
      </c>
      <c r="H114" s="1674">
        <f>SUM(H33,H74,H75,H102,H112,H113)</f>
        <v>256046</v>
      </c>
      <c r="I114" s="1674">
        <f t="shared" si="13"/>
        <v>0</v>
      </c>
      <c r="J114" s="1674">
        <f t="shared" si="13"/>
        <v>0</v>
      </c>
      <c r="K114" s="1674">
        <f t="shared" si="13"/>
        <v>6293736</v>
      </c>
      <c r="L114" s="1674">
        <f>SUM(L33,L74,L75,L102,L112,L113)</f>
        <v>6828483</v>
      </c>
    </row>
    <row r="115" spans="1:14" ht="13.5" thickTop="1" x14ac:dyDescent="0.2">
      <c r="A115" s="2286" t="s">
        <v>988</v>
      </c>
      <c r="B115" s="2287"/>
      <c r="C115" s="1675"/>
      <c r="D115" s="1675"/>
      <c r="E115" s="1675"/>
      <c r="F115" s="1675"/>
      <c r="G115" s="1675"/>
      <c r="H115" s="1675"/>
      <c r="I115" s="1675"/>
      <c r="J115" s="1675"/>
      <c r="K115" s="1689">
        <f>'Revenues 9-14'!C268-'Expenditures 15-22'!K114</f>
        <v>343148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292</v>
      </c>
      <c r="B117" s="2265"/>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v>44637</v>
      </c>
      <c r="H123" s="1573"/>
      <c r="I123" s="1574"/>
      <c r="J123" s="1574"/>
      <c r="K123" s="1674">
        <f>SUM(C123:J123)</f>
        <v>44637</v>
      </c>
      <c r="L123" s="1573">
        <v>4464</v>
      </c>
    </row>
    <row r="124" spans="1:14" ht="14.25" thickTop="1" thickBot="1" x14ac:dyDescent="0.25">
      <c r="A124" s="1274" t="s">
        <v>195</v>
      </c>
      <c r="B124" s="503">
        <v>2540</v>
      </c>
      <c r="C124" s="1573">
        <v>221619</v>
      </c>
      <c r="D124" s="1573">
        <v>40500</v>
      </c>
      <c r="E124" s="1573">
        <v>41809</v>
      </c>
      <c r="F124" s="1573">
        <v>59623</v>
      </c>
      <c r="G124" s="1573">
        <v>74748</v>
      </c>
      <c r="H124" s="1573">
        <v>698</v>
      </c>
      <c r="I124" s="1574"/>
      <c r="J124" s="1574"/>
      <c r="K124" s="1674">
        <f>SUM(C124:J124)</f>
        <v>438997</v>
      </c>
      <c r="L124" s="1573">
        <v>633612</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221619</v>
      </c>
      <c r="D127" s="1674">
        <f t="shared" ref="D127:L127" si="14">SUM(D122:D126)</f>
        <v>40500</v>
      </c>
      <c r="E127" s="1674">
        <f t="shared" si="14"/>
        <v>41809</v>
      </c>
      <c r="F127" s="1674">
        <f t="shared" si="14"/>
        <v>59623</v>
      </c>
      <c r="G127" s="1674">
        <f t="shared" si="14"/>
        <v>119385</v>
      </c>
      <c r="H127" s="1674">
        <f t="shared" si="14"/>
        <v>698</v>
      </c>
      <c r="I127" s="1674">
        <f t="shared" si="14"/>
        <v>0</v>
      </c>
      <c r="J127" s="1674">
        <f t="shared" si="14"/>
        <v>0</v>
      </c>
      <c r="K127" s="1674">
        <f t="shared" si="14"/>
        <v>483634</v>
      </c>
      <c r="L127" s="1674">
        <f t="shared" si="14"/>
        <v>638076</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221619</v>
      </c>
      <c r="D129" s="1681">
        <f t="shared" ref="D129:L129" si="15">SUM(D120,D127,D128)</f>
        <v>40500</v>
      </c>
      <c r="E129" s="1681">
        <f t="shared" si="15"/>
        <v>41809</v>
      </c>
      <c r="F129" s="1681">
        <f t="shared" si="15"/>
        <v>59623</v>
      </c>
      <c r="G129" s="1681">
        <f t="shared" si="15"/>
        <v>119385</v>
      </c>
      <c r="H129" s="1681">
        <f t="shared" si="15"/>
        <v>698</v>
      </c>
      <c r="I129" s="1681">
        <f t="shared" si="15"/>
        <v>0</v>
      </c>
      <c r="J129" s="1681">
        <f t="shared" si="15"/>
        <v>0</v>
      </c>
      <c r="K129" s="1681">
        <f t="shared" si="15"/>
        <v>483634</v>
      </c>
      <c r="L129" s="1681">
        <f t="shared" si="15"/>
        <v>638076</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6" t="s">
        <v>615</v>
      </c>
      <c r="B151" s="2258"/>
      <c r="C151" s="1674">
        <f>SUM(C129,C130,C139,C149,C150)</f>
        <v>221619</v>
      </c>
      <c r="D151" s="1674">
        <f t="shared" ref="D151:K151" si="16">SUM(D129,D130,D139,D149,D150)</f>
        <v>40500</v>
      </c>
      <c r="E151" s="1674">
        <f t="shared" si="16"/>
        <v>41809</v>
      </c>
      <c r="F151" s="1674">
        <f t="shared" si="16"/>
        <v>59623</v>
      </c>
      <c r="G151" s="1674">
        <f t="shared" si="16"/>
        <v>119385</v>
      </c>
      <c r="H151" s="1674">
        <f t="shared" si="16"/>
        <v>698</v>
      </c>
      <c r="I151" s="1674">
        <f t="shared" si="16"/>
        <v>0</v>
      </c>
      <c r="J151" s="1674">
        <f t="shared" si="16"/>
        <v>0</v>
      </c>
      <c r="K151" s="1674">
        <f t="shared" si="16"/>
        <v>483634</v>
      </c>
      <c r="L151" s="1674">
        <f>SUM(L129,L130,L139,L149,L150)</f>
        <v>638076</v>
      </c>
    </row>
    <row r="152" spans="1:14" ht="12.75" customHeight="1" thickTop="1" x14ac:dyDescent="0.2">
      <c r="A152" s="2279" t="s">
        <v>1167</v>
      </c>
      <c r="B152" s="2280"/>
      <c r="C152" s="1675"/>
      <c r="D152" s="1675"/>
      <c r="E152" s="1675"/>
      <c r="F152" s="1675"/>
      <c r="G152" s="1675"/>
      <c r="H152" s="1675"/>
      <c r="I152" s="1675"/>
      <c r="J152" s="1673"/>
      <c r="K152" s="1689">
        <f>'Revenues 9-14'!D268-'Expenditures 15-22'!K151</f>
        <v>31948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616</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80056</v>
      </c>
      <c r="I169" s="1673"/>
      <c r="J169" s="1673"/>
      <c r="K169" s="1672">
        <f>SUM(C169:H169)</f>
        <v>80056</v>
      </c>
      <c r="L169" s="1695">
        <v>80056</v>
      </c>
    </row>
    <row r="170" spans="1:14" ht="33.75" customHeight="1" x14ac:dyDescent="0.2">
      <c r="A170" s="543" t="s">
        <v>1650</v>
      </c>
      <c r="B170" s="545" t="s">
        <v>31</v>
      </c>
      <c r="C170" s="1673"/>
      <c r="D170" s="1673"/>
      <c r="E170" s="1673"/>
      <c r="F170" s="1673"/>
      <c r="G170" s="1673"/>
      <c r="H170" s="1646">
        <v>311800</v>
      </c>
      <c r="I170" s="1673"/>
      <c r="J170" s="1673"/>
      <c r="K170" s="1672">
        <f>SUM(C170:J170)</f>
        <v>311800</v>
      </c>
      <c r="L170" s="1646">
        <v>311800</v>
      </c>
    </row>
    <row r="171" spans="1:14" ht="15.75" customHeight="1" x14ac:dyDescent="0.2">
      <c r="A171" s="507" t="s">
        <v>760</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632</v>
      </c>
      <c r="B172" s="1381" t="s">
        <v>488</v>
      </c>
      <c r="C172" s="1673"/>
      <c r="D172" s="1673"/>
      <c r="E172" s="1681">
        <f>SUM(E168,E169,E170,E171)</f>
        <v>0</v>
      </c>
      <c r="F172" s="1673"/>
      <c r="G172" s="1673"/>
      <c r="H172" s="1681">
        <f>SUM(H168,H169,H170,H171)</f>
        <v>392356</v>
      </c>
      <c r="I172" s="1684"/>
      <c r="J172" s="1673"/>
      <c r="K172" s="1681">
        <f>SUM(K168,K169,K170,K171)</f>
        <v>392356</v>
      </c>
      <c r="L172" s="1681">
        <f>SUM(L168,L169,L170,L171)</f>
        <v>392356</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392356</v>
      </c>
      <c r="I174" s="1684"/>
      <c r="J174" s="1673"/>
      <c r="K174" s="1681">
        <f>SUM(K160,K172,K173)</f>
        <v>392356</v>
      </c>
      <c r="L174" s="1681">
        <f>SUM(L160,L172,L173)</f>
        <v>392356</v>
      </c>
    </row>
    <row r="175" spans="1:14" ht="13.5" thickTop="1" x14ac:dyDescent="0.2">
      <c r="A175" s="2286" t="s">
        <v>988</v>
      </c>
      <c r="B175" s="2287"/>
      <c r="C175" s="1673"/>
      <c r="D175" s="1673"/>
      <c r="E175" s="1673"/>
      <c r="F175" s="1673"/>
      <c r="G175" s="1673"/>
      <c r="H175" s="1675"/>
      <c r="I175" s="1673"/>
      <c r="J175" s="1673"/>
      <c r="K175" s="1689">
        <f>'Revenues 9-14'!E268-'Expenditures 15-22'!K174</f>
        <v>14491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199239</v>
      </c>
      <c r="D182" s="1573">
        <v>23323</v>
      </c>
      <c r="E182" s="1573">
        <v>18281</v>
      </c>
      <c r="F182" s="1573">
        <v>74353</v>
      </c>
      <c r="G182" s="1573">
        <v>12945</v>
      </c>
      <c r="H182" s="1573">
        <v>1492</v>
      </c>
      <c r="I182" s="1574"/>
      <c r="J182" s="1574"/>
      <c r="K182" s="1672">
        <f>SUM(C182:J182)</f>
        <v>329633</v>
      </c>
      <c r="L182" s="1573">
        <v>384703</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199239</v>
      </c>
      <c r="D184" s="1681">
        <f t="shared" ref="D184:J184" si="17">SUM(D180,D182,D183)</f>
        <v>23323</v>
      </c>
      <c r="E184" s="1681">
        <f t="shared" si="17"/>
        <v>18281</v>
      </c>
      <c r="F184" s="1681">
        <f t="shared" si="17"/>
        <v>74353</v>
      </c>
      <c r="G184" s="1681">
        <f t="shared" si="17"/>
        <v>12945</v>
      </c>
      <c r="H184" s="1681">
        <f t="shared" si="17"/>
        <v>1492</v>
      </c>
      <c r="I184" s="1681">
        <f t="shared" si="17"/>
        <v>0</v>
      </c>
      <c r="J184" s="1681">
        <f t="shared" si="17"/>
        <v>0</v>
      </c>
      <c r="K184" s="1681">
        <f>SUM(K180,K182,K183)</f>
        <v>329633</v>
      </c>
      <c r="L184" s="1681">
        <f>SUM(L180, L182:L183)</f>
        <v>384703</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199239</v>
      </c>
      <c r="D210" s="1674">
        <f>SUM(D184,D185)</f>
        <v>23323</v>
      </c>
      <c r="E210" s="1674">
        <f>SUM(E184,E185,E196)</f>
        <v>18281</v>
      </c>
      <c r="F210" s="1674">
        <f>SUM(F184,F185)</f>
        <v>74353</v>
      </c>
      <c r="G210" s="1674">
        <f>SUM(G184,G185)</f>
        <v>12945</v>
      </c>
      <c r="H210" s="1674">
        <f>SUM(H184,H185,H196,H208,H209)</f>
        <v>1492</v>
      </c>
      <c r="I210" s="1674">
        <f>SUM(I184,I185)</f>
        <v>0</v>
      </c>
      <c r="J210" s="1674">
        <f>SUM(J184,J185)</f>
        <v>0</v>
      </c>
      <c r="K210" s="1672">
        <f>SUM(K184,K185,K196,K208,K209)</f>
        <v>329633</v>
      </c>
      <c r="L210" s="1674">
        <f>SUM(L184,L185,L196,L208,L209)</f>
        <v>384703</v>
      </c>
    </row>
    <row r="211" spans="1:14" ht="13.5" thickTop="1" x14ac:dyDescent="0.2">
      <c r="A211" s="2286" t="s">
        <v>988</v>
      </c>
      <c r="B211" s="2287"/>
      <c r="C211" s="1675"/>
      <c r="D211" s="1675"/>
      <c r="E211" s="1675"/>
      <c r="F211" s="1675"/>
      <c r="G211" s="1675"/>
      <c r="H211" s="1675"/>
      <c r="I211" s="1673"/>
      <c r="J211" s="1673"/>
      <c r="K211" s="1689">
        <f>'Revenues 9-14'!F268-'Expenditures 15-22'!K210</f>
        <v>-17280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958</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31716.73</v>
      </c>
      <c r="E215" s="1673"/>
      <c r="F215" s="1673"/>
      <c r="G215" s="1673"/>
      <c r="H215" s="1673"/>
      <c r="I215" s="1673"/>
      <c r="J215" s="1673"/>
      <c r="K215" s="1672">
        <f>D215</f>
        <v>31716.73</v>
      </c>
      <c r="L215" s="1573">
        <v>31288</v>
      </c>
    </row>
    <row r="216" spans="1:14" x14ac:dyDescent="0.2">
      <c r="A216" s="1274" t="s">
        <v>162</v>
      </c>
      <c r="B216" s="503" t="s">
        <v>960</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52892.91</v>
      </c>
      <c r="E217" s="1673"/>
      <c r="F217" s="1673"/>
      <c r="G217" s="1673"/>
      <c r="H217" s="1673"/>
      <c r="I217" s="1673"/>
      <c r="J217" s="1673"/>
      <c r="K217" s="1672">
        <f t="shared" si="19"/>
        <v>52892.91</v>
      </c>
      <c r="L217" s="1573">
        <v>52923</v>
      </c>
    </row>
    <row r="218" spans="1:14" x14ac:dyDescent="0.2">
      <c r="A218" s="1274" t="s">
        <v>275</v>
      </c>
      <c r="B218" s="503" t="s">
        <v>961</v>
      </c>
      <c r="C218" s="1673"/>
      <c r="D218" s="1574"/>
      <c r="E218" s="1673"/>
      <c r="F218" s="1673"/>
      <c r="G218" s="1673"/>
      <c r="H218" s="1673"/>
      <c r="I218" s="1673"/>
      <c r="J218" s="1673"/>
      <c r="K218" s="1672">
        <f t="shared" si="19"/>
        <v>0</v>
      </c>
      <c r="L218" s="1573">
        <v>4</v>
      </c>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1380.08</v>
      </c>
      <c r="E222" s="1673"/>
      <c r="F222" s="1673"/>
      <c r="G222" s="1673"/>
      <c r="H222" s="1673"/>
      <c r="I222" s="1673"/>
      <c r="J222" s="1673"/>
      <c r="K222" s="1672">
        <f t="shared" si="19"/>
        <v>1380.08</v>
      </c>
      <c r="L222" s="1573">
        <v>1400</v>
      </c>
    </row>
    <row r="223" spans="1:14" x14ac:dyDescent="0.2">
      <c r="A223" s="1274" t="s">
        <v>956</v>
      </c>
      <c r="B223" s="503">
        <v>1500</v>
      </c>
      <c r="C223" s="1673"/>
      <c r="D223" s="1573">
        <v>2744.41</v>
      </c>
      <c r="E223" s="1673"/>
      <c r="F223" s="1673"/>
      <c r="G223" s="1673"/>
      <c r="H223" s="1673"/>
      <c r="I223" s="1673"/>
      <c r="J223" s="1673"/>
      <c r="K223" s="1672">
        <f t="shared" si="19"/>
        <v>2744.41</v>
      </c>
      <c r="L223" s="1573">
        <v>3484</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258.22000000000003</v>
      </c>
      <c r="E226" s="1673"/>
      <c r="F226" s="1673"/>
      <c r="G226" s="1673"/>
      <c r="H226" s="1673"/>
      <c r="I226" s="1673"/>
      <c r="J226" s="1673"/>
      <c r="K226" s="1672">
        <f t="shared" si="19"/>
        <v>258.22000000000003</v>
      </c>
      <c r="L226" s="1573">
        <v>205</v>
      </c>
    </row>
    <row r="227" spans="1:12" x14ac:dyDescent="0.2">
      <c r="A227" s="1274" t="s">
        <v>1077</v>
      </c>
      <c r="B227" s="503">
        <v>1800</v>
      </c>
      <c r="C227" s="1673"/>
      <c r="D227" s="1573"/>
      <c r="E227" s="1673"/>
      <c r="F227" s="1673"/>
      <c r="G227" s="1673"/>
      <c r="H227" s="1673"/>
      <c r="I227" s="1673"/>
      <c r="J227" s="1673"/>
      <c r="K227" s="1672">
        <f t="shared" si="19"/>
        <v>0</v>
      </c>
      <c r="L227" s="1573"/>
    </row>
    <row r="228" spans="1:12" x14ac:dyDescent="0.2">
      <c r="A228" s="1274" t="s">
        <v>1078</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88992.35</v>
      </c>
      <c r="E229" s="1673"/>
      <c r="F229" s="1673"/>
      <c r="G229" s="1673"/>
      <c r="H229" s="1673"/>
      <c r="I229" s="1673"/>
      <c r="J229" s="1673"/>
      <c r="K229" s="1674">
        <f>SUM(K215:K228)</f>
        <v>88992.35</v>
      </c>
      <c r="L229" s="1674">
        <f>SUM(L215:L228)</f>
        <v>89304</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142.4</v>
      </c>
      <c r="E232" s="1673"/>
      <c r="F232" s="1673"/>
      <c r="G232" s="1673"/>
      <c r="H232" s="1673"/>
      <c r="I232" s="1673"/>
      <c r="J232" s="1673"/>
      <c r="K232" s="1672">
        <f t="shared" ref="K232:K237" si="20">D232</f>
        <v>142.4</v>
      </c>
      <c r="L232" s="1573">
        <v>100</v>
      </c>
    </row>
    <row r="233" spans="1:12" x14ac:dyDescent="0.2">
      <c r="A233" s="1274" t="s">
        <v>1080</v>
      </c>
      <c r="B233" s="503">
        <v>2120</v>
      </c>
      <c r="C233" s="1673"/>
      <c r="D233" s="1573">
        <v>6372.87</v>
      </c>
      <c r="E233" s="1673"/>
      <c r="F233" s="1673"/>
      <c r="G233" s="1673"/>
      <c r="H233" s="1673"/>
      <c r="I233" s="1673"/>
      <c r="J233" s="1673"/>
      <c r="K233" s="1672">
        <f t="shared" si="20"/>
        <v>6372.87</v>
      </c>
      <c r="L233" s="1573">
        <v>6907</v>
      </c>
    </row>
    <row r="234" spans="1:12" x14ac:dyDescent="0.2">
      <c r="A234" s="1274" t="s">
        <v>196</v>
      </c>
      <c r="B234" s="503">
        <v>2130</v>
      </c>
      <c r="C234" s="1673"/>
      <c r="D234" s="1573">
        <v>4487.75</v>
      </c>
      <c r="E234" s="1673"/>
      <c r="F234" s="1673"/>
      <c r="G234" s="1673"/>
      <c r="H234" s="1673"/>
      <c r="I234" s="1673"/>
      <c r="J234" s="1673"/>
      <c r="K234" s="1672">
        <f t="shared" si="20"/>
        <v>4487.75</v>
      </c>
      <c r="L234" s="1573">
        <v>4716</v>
      </c>
    </row>
    <row r="235" spans="1:12" x14ac:dyDescent="0.2">
      <c r="A235" s="1274" t="s">
        <v>197</v>
      </c>
      <c r="B235" s="503">
        <v>2140</v>
      </c>
      <c r="C235" s="1673"/>
      <c r="D235" s="1573">
        <v>1082.49</v>
      </c>
      <c r="E235" s="1673"/>
      <c r="F235" s="1673"/>
      <c r="G235" s="1673"/>
      <c r="H235" s="1673"/>
      <c r="I235" s="1673"/>
      <c r="J235" s="1673"/>
      <c r="K235" s="1672">
        <f t="shared" si="20"/>
        <v>1082.49</v>
      </c>
      <c r="L235" s="1573">
        <v>1092</v>
      </c>
    </row>
    <row r="236" spans="1:12" x14ac:dyDescent="0.2">
      <c r="A236" s="1274" t="s">
        <v>198</v>
      </c>
      <c r="B236" s="503">
        <v>2150</v>
      </c>
      <c r="C236" s="1673"/>
      <c r="D236" s="1573">
        <v>935.2</v>
      </c>
      <c r="E236" s="1673"/>
      <c r="F236" s="1673"/>
      <c r="G236" s="1673"/>
      <c r="H236" s="1673"/>
      <c r="I236" s="1673"/>
      <c r="J236" s="1673"/>
      <c r="K236" s="1672">
        <f t="shared" si="20"/>
        <v>935.2</v>
      </c>
      <c r="L236" s="1573">
        <v>972</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555</v>
      </c>
      <c r="B238" s="1383" t="s">
        <v>710</v>
      </c>
      <c r="C238" s="1673"/>
      <c r="D238" s="1674">
        <f>SUM(D232:D237)</f>
        <v>13020.710000000001</v>
      </c>
      <c r="E238" s="1673"/>
      <c r="F238" s="1673"/>
      <c r="G238" s="1673"/>
      <c r="H238" s="1673"/>
      <c r="I238" s="1673"/>
      <c r="J238" s="1673"/>
      <c r="K238" s="1674">
        <f>SUM(K232:K237)</f>
        <v>13020.710000000001</v>
      </c>
      <c r="L238" s="1674">
        <f>SUM(L232:L237)</f>
        <v>13787</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c r="E240" s="1673"/>
      <c r="F240" s="1673"/>
      <c r="G240" s="1673"/>
      <c r="H240" s="1673"/>
      <c r="I240" s="1673"/>
      <c r="J240" s="1673"/>
      <c r="K240" s="1678">
        <f>D240</f>
        <v>0</v>
      </c>
      <c r="L240" s="1586"/>
    </row>
    <row r="241" spans="1:12" x14ac:dyDescent="0.2">
      <c r="A241" s="1274" t="s">
        <v>809</v>
      </c>
      <c r="B241" s="503">
        <v>2220</v>
      </c>
      <c r="C241" s="1673"/>
      <c r="D241" s="1573">
        <v>20906.77</v>
      </c>
      <c r="E241" s="1673"/>
      <c r="F241" s="1673"/>
      <c r="G241" s="1673"/>
      <c r="H241" s="1673"/>
      <c r="I241" s="1673"/>
      <c r="J241" s="1673"/>
      <c r="K241" s="1678">
        <f>D241</f>
        <v>20906.77</v>
      </c>
      <c r="L241" s="1573">
        <v>21209</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20906.77</v>
      </c>
      <c r="E243" s="1673"/>
      <c r="F243" s="1673"/>
      <c r="G243" s="1673"/>
      <c r="H243" s="1673"/>
      <c r="I243" s="1673"/>
      <c r="J243" s="1673"/>
      <c r="K243" s="1674">
        <f>SUM(K240:K242)</f>
        <v>20906.77</v>
      </c>
      <c r="L243" s="1674">
        <f>SUM(L240:L242)</f>
        <v>21209</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5007.01</v>
      </c>
      <c r="E245" s="1673"/>
      <c r="F245" s="1673"/>
      <c r="G245" s="1673"/>
      <c r="H245" s="1673"/>
      <c r="I245" s="1673"/>
      <c r="J245" s="1673"/>
      <c r="K245" s="1678">
        <f>D245</f>
        <v>5007.01</v>
      </c>
      <c r="L245" s="1586">
        <v>5341</v>
      </c>
    </row>
    <row r="246" spans="1:12" x14ac:dyDescent="0.2">
      <c r="A246" s="1274" t="s">
        <v>812</v>
      </c>
      <c r="B246" s="503">
        <v>2320</v>
      </c>
      <c r="C246" s="1673"/>
      <c r="D246" s="1573">
        <v>11403.44</v>
      </c>
      <c r="E246" s="1673"/>
      <c r="F246" s="1673"/>
      <c r="G246" s="1673"/>
      <c r="H246" s="1673"/>
      <c r="I246" s="1673"/>
      <c r="J246" s="1673"/>
      <c r="K246" s="1678">
        <f t="shared" ref="K246:K256" si="21">D246</f>
        <v>11403.44</v>
      </c>
      <c r="L246" s="1573">
        <v>11685</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c r="E254" s="1673"/>
      <c r="F254" s="1673"/>
      <c r="G254" s="1673"/>
      <c r="H254" s="1673"/>
      <c r="I254" s="1673"/>
      <c r="J254" s="1673"/>
      <c r="K254" s="1678">
        <f t="shared" si="21"/>
        <v>0</v>
      </c>
      <c r="L254" s="1573"/>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16410.45</v>
      </c>
      <c r="E257" s="1673"/>
      <c r="F257" s="1673"/>
      <c r="G257" s="1673"/>
      <c r="H257" s="1673"/>
      <c r="I257" s="1673"/>
      <c r="J257" s="1673"/>
      <c r="K257" s="1674">
        <f>SUM(K245:K256)</f>
        <v>16410.45</v>
      </c>
      <c r="L257" s="1674">
        <f>SUM(L245:L256)</f>
        <v>17026</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25972.99</v>
      </c>
      <c r="E259" s="1673"/>
      <c r="F259" s="1673"/>
      <c r="G259" s="1673"/>
      <c r="H259" s="1673"/>
      <c r="I259" s="1673"/>
      <c r="J259" s="1673"/>
      <c r="K259" s="1678">
        <f>D259</f>
        <v>25972.99</v>
      </c>
      <c r="L259" s="1586">
        <v>26994</v>
      </c>
    </row>
    <row r="260" spans="1:14" s="493" customFormat="1" x14ac:dyDescent="0.2">
      <c r="A260" s="1292" t="s">
        <v>1780</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260</v>
      </c>
      <c r="B261" s="1399" t="s">
        <v>34</v>
      </c>
      <c r="C261" s="1673"/>
      <c r="D261" s="1674">
        <f>SUM(D259:D260)</f>
        <v>25972.99</v>
      </c>
      <c r="E261" s="1673"/>
      <c r="F261" s="1673"/>
      <c r="G261" s="1673"/>
      <c r="H261" s="1673"/>
      <c r="I261" s="1673"/>
      <c r="J261" s="1673"/>
      <c r="K261" s="1674">
        <f>SUM(K259:K260)</f>
        <v>25972.99</v>
      </c>
      <c r="L261" s="1674">
        <f>SUM(L259:L260)</f>
        <v>26994</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v>6316.17</v>
      </c>
      <c r="E264" s="1673"/>
      <c r="F264" s="1673"/>
      <c r="G264" s="1673"/>
      <c r="H264" s="1673"/>
      <c r="I264" s="1673"/>
      <c r="J264" s="1673"/>
      <c r="K264" s="1678">
        <f t="shared" ref="K264:K269" si="22">D264</f>
        <v>6316.17</v>
      </c>
      <c r="L264" s="1573">
        <v>6302</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34999.96</v>
      </c>
      <c r="E266" s="1673"/>
      <c r="F266" s="1673"/>
      <c r="G266" s="1673"/>
      <c r="H266" s="1673"/>
      <c r="I266" s="1673"/>
      <c r="J266" s="1673"/>
      <c r="K266" s="1678">
        <f t="shared" si="22"/>
        <v>34999.96</v>
      </c>
      <c r="L266" s="1573">
        <v>40488</v>
      </c>
    </row>
    <row r="267" spans="1:14" x14ac:dyDescent="0.2">
      <c r="A267" s="1274" t="s">
        <v>946</v>
      </c>
      <c r="B267" s="503">
        <v>2550</v>
      </c>
      <c r="C267" s="1673"/>
      <c r="D267" s="1573">
        <v>32204.18</v>
      </c>
      <c r="E267" s="1673"/>
      <c r="F267" s="1673"/>
      <c r="G267" s="1673"/>
      <c r="H267" s="1673"/>
      <c r="I267" s="1673"/>
      <c r="J267" s="1673"/>
      <c r="K267" s="1678">
        <f t="shared" si="22"/>
        <v>32204.18</v>
      </c>
      <c r="L267" s="1573">
        <v>27944</v>
      </c>
    </row>
    <row r="268" spans="1:14" x14ac:dyDescent="0.2">
      <c r="A268" s="1274" t="s">
        <v>100</v>
      </c>
      <c r="B268" s="503">
        <v>2560</v>
      </c>
      <c r="C268" s="1673"/>
      <c r="D268" s="1573">
        <v>14900.26</v>
      </c>
      <c r="E268" s="1673"/>
      <c r="F268" s="1673"/>
      <c r="G268" s="1673"/>
      <c r="H268" s="1673"/>
      <c r="I268" s="1673"/>
      <c r="J268" s="1673"/>
      <c r="K268" s="1678">
        <f t="shared" si="22"/>
        <v>14900.26</v>
      </c>
      <c r="L268" s="1573">
        <v>14592</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88420.569999999992</v>
      </c>
      <c r="E270" s="1673"/>
      <c r="F270" s="1673"/>
      <c r="G270" s="1673"/>
      <c r="H270" s="1673"/>
      <c r="I270" s="1673"/>
      <c r="J270" s="1673"/>
      <c r="K270" s="1674">
        <f>SUM(K263:K269)</f>
        <v>88420.569999999992</v>
      </c>
      <c r="L270" s="1674">
        <f>SUM(L263:L269)</f>
        <v>89326</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164731.49</v>
      </c>
      <c r="E279" s="1673"/>
      <c r="F279" s="1673"/>
      <c r="G279" s="1673"/>
      <c r="H279" s="1673"/>
      <c r="I279" s="1673"/>
      <c r="J279" s="1673"/>
      <c r="K279" s="1681">
        <f>SUM(K238,K243,K257,K261,K270,K277,K278)</f>
        <v>164731.49</v>
      </c>
      <c r="L279" s="1681">
        <f>SUM(L238,L243,L257,L261,L270,L277,L278)</f>
        <v>168342</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7" t="s">
        <v>501</v>
      </c>
      <c r="B295" s="2278"/>
      <c r="C295" s="1673"/>
      <c r="D295" s="1674">
        <f>SUM(D229,D279,D280,D285)</f>
        <v>253723.84</v>
      </c>
      <c r="E295" s="1673"/>
      <c r="F295" s="1673"/>
      <c r="G295" s="1673"/>
      <c r="H295" s="1674">
        <f>H293</f>
        <v>0</v>
      </c>
      <c r="I295" s="1673"/>
      <c r="J295" s="1673"/>
      <c r="K295" s="1674">
        <f>SUM(K229,K279,K280,K285,K293,K294)</f>
        <v>253723.84</v>
      </c>
      <c r="L295" s="1674">
        <f>SUM(L229,L279,L280,L285,L293,L294)</f>
        <v>257646</v>
      </c>
    </row>
    <row r="296" spans="1:14" ht="13.5" thickTop="1" x14ac:dyDescent="0.2">
      <c r="A296" s="2286" t="s">
        <v>988</v>
      </c>
      <c r="B296" s="2287"/>
      <c r="C296" s="1673"/>
      <c r="D296" s="1675"/>
      <c r="E296" s="1673"/>
      <c r="F296" s="1673"/>
      <c r="G296" s="1673"/>
      <c r="H296" s="1707"/>
      <c r="I296" s="1673"/>
      <c r="J296" s="1673"/>
      <c r="K296" s="1689">
        <f>'Revenues 9-14'!G268-'Expenditures 15-22'!K295</f>
        <v>-34239.079999999987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2151</v>
      </c>
      <c r="F301" s="1573">
        <v>24976</v>
      </c>
      <c r="G301" s="1573">
        <v>876960</v>
      </c>
      <c r="H301" s="1573"/>
      <c r="I301" s="1574"/>
      <c r="J301" s="1574"/>
      <c r="K301" s="1672">
        <f>SUM(C301:J301)</f>
        <v>904087</v>
      </c>
      <c r="L301" s="1574">
        <v>1238457</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2151</v>
      </c>
      <c r="F303" s="1681">
        <f t="shared" si="23"/>
        <v>24976</v>
      </c>
      <c r="G303" s="1681">
        <f t="shared" si="23"/>
        <v>876960</v>
      </c>
      <c r="H303" s="1681">
        <f t="shared" si="23"/>
        <v>0</v>
      </c>
      <c r="I303" s="1681">
        <f t="shared" si="23"/>
        <v>0</v>
      </c>
      <c r="J303" s="1681">
        <f t="shared" si="23"/>
        <v>0</v>
      </c>
      <c r="K303" s="1681">
        <f t="shared" si="23"/>
        <v>904087</v>
      </c>
      <c r="L303" s="1681">
        <f t="shared" si="23"/>
        <v>1238457</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4" t="s">
        <v>274</v>
      </c>
      <c r="B312" s="2275"/>
      <c r="C312" s="1674">
        <f>SUM(C303)</f>
        <v>0</v>
      </c>
      <c r="D312" s="1674">
        <f>SUM(D303)</f>
        <v>0</v>
      </c>
      <c r="E312" s="1674">
        <f>SUM(E303,E310)</f>
        <v>2151</v>
      </c>
      <c r="F312" s="1674">
        <f>SUM(F303)</f>
        <v>24976</v>
      </c>
      <c r="G312" s="1674">
        <f>SUM(G303)</f>
        <v>876960</v>
      </c>
      <c r="H312" s="1674">
        <f>SUM(H303,H310)</f>
        <v>0</v>
      </c>
      <c r="I312" s="1674">
        <f>SUM(I303)</f>
        <v>0</v>
      </c>
      <c r="J312" s="1674">
        <f>SUM(J303)</f>
        <v>0</v>
      </c>
      <c r="K312" s="1674">
        <f>SUM(K303,K310,K311)</f>
        <v>904087</v>
      </c>
      <c r="L312" s="1674">
        <f>SUM(L303,L310,L311)</f>
        <v>1238457</v>
      </c>
      <c r="M312" s="539"/>
      <c r="N312" s="539"/>
    </row>
    <row r="313" spans="1:14" ht="13.5" thickTop="1" x14ac:dyDescent="0.2">
      <c r="A313" s="2270" t="s">
        <v>988</v>
      </c>
      <c r="B313" s="2271"/>
      <c r="C313" s="1677"/>
      <c r="D313" s="1677"/>
      <c r="E313" s="1677"/>
      <c r="F313" s="1677"/>
      <c r="G313" s="1677"/>
      <c r="H313" s="1677"/>
      <c r="I313" s="1677"/>
      <c r="J313" s="1677"/>
      <c r="K313" s="1696">
        <f>'Revenues 9-14'!H268-'Expenditures 15-22'!K312</f>
        <v>-754296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891</v>
      </c>
      <c r="B317" s="2284"/>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40042</v>
      </c>
      <c r="F320" s="1574"/>
      <c r="G320" s="1574"/>
      <c r="H320" s="1574"/>
      <c r="I320" s="1574"/>
      <c r="J320" s="1574"/>
      <c r="K320" s="1672">
        <f t="shared" ref="K320:K327" si="24">SUM(C320:J320)</f>
        <v>40042</v>
      </c>
      <c r="L320" s="1574">
        <v>40102</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51537</v>
      </c>
      <c r="F322" s="1574"/>
      <c r="G322" s="1574"/>
      <c r="H322" s="1574"/>
      <c r="I322" s="1574"/>
      <c r="J322" s="1574"/>
      <c r="K322" s="1672">
        <f t="shared" si="24"/>
        <v>51537</v>
      </c>
      <c r="L322" s="1574">
        <v>52073</v>
      </c>
      <c r="M322" s="539"/>
      <c r="N322" s="539"/>
    </row>
    <row r="323" spans="1:14" s="548" customFormat="1" x14ac:dyDescent="0.2">
      <c r="A323" s="1289" t="s">
        <v>696</v>
      </c>
      <c r="B323" s="567" t="s">
        <v>282</v>
      </c>
      <c r="C323" s="1574"/>
      <c r="D323" s="1574"/>
      <c r="E323" s="1574">
        <v>4924</v>
      </c>
      <c r="F323" s="1574"/>
      <c r="G323" s="1574"/>
      <c r="H323" s="1574"/>
      <c r="I323" s="1574"/>
      <c r="J323" s="1574"/>
      <c r="K323" s="1672">
        <f t="shared" si="24"/>
        <v>4924</v>
      </c>
      <c r="L323" s="1574">
        <v>6789</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212690</v>
      </c>
      <c r="D325" s="1574"/>
      <c r="E325" s="1574">
        <v>450</v>
      </c>
      <c r="F325" s="1574">
        <v>539</v>
      </c>
      <c r="G325" s="1574">
        <v>5295</v>
      </c>
      <c r="H325" s="1574"/>
      <c r="I325" s="1574"/>
      <c r="J325" s="1574"/>
      <c r="K325" s="1672">
        <f t="shared" si="24"/>
        <v>218974</v>
      </c>
      <c r="L325" s="1574">
        <v>221602</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3837</v>
      </c>
      <c r="F327" s="1574"/>
      <c r="G327" s="1574"/>
      <c r="H327" s="1574"/>
      <c r="I327" s="1574"/>
      <c r="J327" s="1574"/>
      <c r="K327" s="1672">
        <f t="shared" si="24"/>
        <v>3837</v>
      </c>
      <c r="L327" s="1574">
        <v>9168</v>
      </c>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v>13122</v>
      </c>
      <c r="F329" s="1579"/>
      <c r="G329" s="1579"/>
      <c r="H329" s="1579"/>
      <c r="I329" s="1579"/>
      <c r="J329" s="1579"/>
      <c r="K329" s="1713">
        <f>SUM(C329:J329)</f>
        <v>13122</v>
      </c>
      <c r="L329" s="1579">
        <v>15195</v>
      </c>
      <c r="M329" s="539"/>
      <c r="N329" s="539"/>
    </row>
    <row r="330" spans="1:14" s="548" customFormat="1" ht="12.75" customHeight="1" thickBot="1" x14ac:dyDescent="0.25">
      <c r="A330" s="1401" t="s">
        <v>711</v>
      </c>
      <c r="B330" s="1381" t="s">
        <v>564</v>
      </c>
      <c r="C330" s="1674">
        <f>SUM(C319:C329)</f>
        <v>212690</v>
      </c>
      <c r="D330" s="1674">
        <f t="shared" ref="D330:J330" si="25">SUM(D319:D329)</f>
        <v>0</v>
      </c>
      <c r="E330" s="1674">
        <f t="shared" si="25"/>
        <v>113912</v>
      </c>
      <c r="F330" s="1674">
        <f t="shared" si="25"/>
        <v>539</v>
      </c>
      <c r="G330" s="1674">
        <f t="shared" si="25"/>
        <v>5295</v>
      </c>
      <c r="H330" s="1674">
        <f t="shared" si="25"/>
        <v>0</v>
      </c>
      <c r="I330" s="1674">
        <f t="shared" si="25"/>
        <v>0</v>
      </c>
      <c r="J330" s="1674">
        <f t="shared" si="25"/>
        <v>0</v>
      </c>
      <c r="K330" s="1674">
        <f>SUM(K319:K329)</f>
        <v>332436</v>
      </c>
      <c r="L330" s="1674">
        <f>SUM(L319:L329)</f>
        <v>344929</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212690</v>
      </c>
      <c r="D342" s="1674">
        <f>SUM(D330)</f>
        <v>0</v>
      </c>
      <c r="E342" s="1674">
        <f>SUM(E330)</f>
        <v>113912</v>
      </c>
      <c r="F342" s="1674">
        <f>SUM(F330)</f>
        <v>539</v>
      </c>
      <c r="G342" s="1674">
        <f>SUM(G330)</f>
        <v>5295</v>
      </c>
      <c r="H342" s="1674">
        <f>SUM(H330,H334,H340)</f>
        <v>0</v>
      </c>
      <c r="I342" s="1674">
        <f>SUM(I330)</f>
        <v>0</v>
      </c>
      <c r="J342" s="1674">
        <f>SUM(J330)</f>
        <v>0</v>
      </c>
      <c r="K342" s="1674">
        <f>SUM(K330,K334,K340)</f>
        <v>332436</v>
      </c>
      <c r="L342" s="1681">
        <f>SUM(L330,L334,L340,L341)</f>
        <v>344929</v>
      </c>
    </row>
    <row r="343" spans="1:14" ht="12.75" customHeight="1" thickTop="1" x14ac:dyDescent="0.2">
      <c r="A343" s="2272" t="s">
        <v>988</v>
      </c>
      <c r="B343" s="2273"/>
      <c r="C343" s="1673"/>
      <c r="D343" s="1673"/>
      <c r="E343" s="1673"/>
      <c r="F343" s="1673"/>
      <c r="G343" s="1673"/>
      <c r="H343" s="1673"/>
      <c r="I343" s="1673"/>
      <c r="J343" s="1673"/>
      <c r="K343" s="1689">
        <f>'Revenues 9-14'!J268-'Expenditures 15-22'!K342</f>
        <v>91205.580000000016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959</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777623</v>
      </c>
      <c r="H348" s="1573"/>
      <c r="I348" s="1574"/>
      <c r="J348" s="1574"/>
      <c r="K348" s="1672">
        <f>SUM(C348:J348)</f>
        <v>777623</v>
      </c>
      <c r="L348" s="1573">
        <v>772623</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777623</v>
      </c>
      <c r="H350" s="1674">
        <f t="shared" si="26"/>
        <v>0</v>
      </c>
      <c r="I350" s="1674">
        <f t="shared" si="26"/>
        <v>0</v>
      </c>
      <c r="J350" s="1674">
        <f t="shared" si="26"/>
        <v>0</v>
      </c>
      <c r="K350" s="1674">
        <f t="shared" si="26"/>
        <v>777623</v>
      </c>
      <c r="L350" s="1674">
        <f t="shared" si="26"/>
        <v>772623</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777623</v>
      </c>
      <c r="H352" s="1674">
        <f t="shared" si="27"/>
        <v>0</v>
      </c>
      <c r="I352" s="1674">
        <f t="shared" si="27"/>
        <v>0</v>
      </c>
      <c r="J352" s="1674">
        <f t="shared" si="27"/>
        <v>0</v>
      </c>
      <c r="K352" s="1674">
        <f t="shared" si="27"/>
        <v>777623</v>
      </c>
      <c r="L352" s="1674">
        <f t="shared" si="27"/>
        <v>772623</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777623</v>
      </c>
      <c r="H367" s="1674">
        <f t="shared" si="28"/>
        <v>0</v>
      </c>
      <c r="I367" s="1674">
        <f t="shared" si="28"/>
        <v>0</v>
      </c>
      <c r="J367" s="1674">
        <f t="shared" si="28"/>
        <v>0</v>
      </c>
      <c r="K367" s="1674">
        <f t="shared" si="28"/>
        <v>777623</v>
      </c>
      <c r="L367" s="1674">
        <f t="shared" si="28"/>
        <v>772623</v>
      </c>
    </row>
    <row r="368" spans="1:14" ht="13.5" thickTop="1" x14ac:dyDescent="0.2">
      <c r="A368" s="2286" t="s">
        <v>988</v>
      </c>
      <c r="B368" s="2287"/>
      <c r="C368" s="1694"/>
      <c r="D368" s="1694"/>
      <c r="E368" s="1677"/>
      <c r="F368" s="1677"/>
      <c r="G368" s="1677"/>
      <c r="H368" s="1677"/>
      <c r="I368" s="1677"/>
      <c r="J368" s="1676"/>
      <c r="K368" s="1672">
        <f>'Revenues 9-14'!K268-'Expenditures 15-22'!K367</f>
        <v>-744296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T16" sqref="T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21">
        <f>'Revenues 9-14'!C5</f>
        <v>1864465</v>
      </c>
      <c r="C4" s="1722"/>
      <c r="D4" s="1723">
        <f>B4-C4</f>
        <v>1864465</v>
      </c>
      <c r="E4" s="1722">
        <v>1938952</v>
      </c>
      <c r="F4" s="1723">
        <f>E4-C4</f>
        <v>1938952</v>
      </c>
    </row>
    <row r="5" spans="1:8" ht="13.7" customHeight="1" x14ac:dyDescent="0.2">
      <c r="A5" s="579" t="s">
        <v>864</v>
      </c>
      <c r="B5" s="1724">
        <f>'Revenues 9-14'!D5</f>
        <v>332930</v>
      </c>
      <c r="C5" s="1664"/>
      <c r="D5" s="1725">
        <f t="shared" ref="D5:D18" si="0">B5-C5</f>
        <v>332930</v>
      </c>
      <c r="E5" s="1664">
        <v>346241</v>
      </c>
      <c r="F5" s="1725">
        <f>E5-C5</f>
        <v>346241</v>
      </c>
    </row>
    <row r="6" spans="1:8" ht="13.7" customHeight="1" x14ac:dyDescent="0.2">
      <c r="A6" s="579" t="s">
        <v>407</v>
      </c>
      <c r="B6" s="1724">
        <f>'Revenues 9-14'!E5</f>
        <v>179088</v>
      </c>
      <c r="C6" s="1664"/>
      <c r="D6" s="1725">
        <f t="shared" si="0"/>
        <v>179088</v>
      </c>
      <c r="E6" s="1664">
        <v>179838</v>
      </c>
      <c r="F6" s="1725">
        <f t="shared" ref="F6:F18" si="1">E6-C6</f>
        <v>179838</v>
      </c>
    </row>
    <row r="7" spans="1:8" ht="13.7" customHeight="1" x14ac:dyDescent="0.2">
      <c r="A7" s="579" t="s">
        <v>154</v>
      </c>
      <c r="B7" s="1724">
        <f>'Revenues 9-14'!F5</f>
        <v>133173</v>
      </c>
      <c r="C7" s="1664"/>
      <c r="D7" s="1725">
        <f t="shared" si="0"/>
        <v>133173</v>
      </c>
      <c r="E7" s="1664">
        <v>138497</v>
      </c>
      <c r="F7" s="1725">
        <f t="shared" si="1"/>
        <v>138497</v>
      </c>
    </row>
    <row r="8" spans="1:8" ht="13.7" customHeight="1" x14ac:dyDescent="0.2">
      <c r="A8" s="579" t="s">
        <v>1168</v>
      </c>
      <c r="B8" s="1724">
        <f>'Revenues 9-14'!G5</f>
        <v>104635</v>
      </c>
      <c r="C8" s="1664"/>
      <c r="D8" s="1725">
        <f t="shared" si="0"/>
        <v>104635</v>
      </c>
      <c r="E8" s="1664">
        <v>109066</v>
      </c>
      <c r="F8" s="1725">
        <f t="shared" si="1"/>
        <v>109066</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33293</v>
      </c>
      <c r="C10" s="1664"/>
      <c r="D10" s="1725">
        <f t="shared" si="0"/>
        <v>33293</v>
      </c>
      <c r="E10" s="1664">
        <v>34624</v>
      </c>
      <c r="F10" s="1725">
        <f t="shared" si="1"/>
        <v>34624</v>
      </c>
    </row>
    <row r="11" spans="1:8" x14ac:dyDescent="0.2">
      <c r="A11" s="579" t="s">
        <v>405</v>
      </c>
      <c r="B11" s="1724">
        <f>'Revenues 9-14'!J5</f>
        <v>413551</v>
      </c>
      <c r="C11" s="1664"/>
      <c r="D11" s="1725">
        <f t="shared" si="0"/>
        <v>413551</v>
      </c>
      <c r="E11" s="1664">
        <v>360022</v>
      </c>
      <c r="F11" s="1725">
        <f t="shared" si="1"/>
        <v>360022</v>
      </c>
    </row>
    <row r="12" spans="1:8" ht="13.7" customHeight="1" x14ac:dyDescent="0.2">
      <c r="A12" s="579" t="s">
        <v>156</v>
      </c>
      <c r="B12" s="1724">
        <f>'Revenues 9-14'!K5</f>
        <v>33293</v>
      </c>
      <c r="C12" s="1664"/>
      <c r="D12" s="1725">
        <f t="shared" si="0"/>
        <v>33293</v>
      </c>
      <c r="E12" s="1664">
        <v>34624</v>
      </c>
      <c r="F12" s="1725">
        <f t="shared" si="1"/>
        <v>34624</v>
      </c>
    </row>
    <row r="13" spans="1:8" ht="13.7" customHeight="1" x14ac:dyDescent="0.2">
      <c r="A13" s="579" t="s">
        <v>929</v>
      </c>
      <c r="B13" s="1724">
        <f>SUM('Revenues 9-14'!C6:D6)</f>
        <v>33293</v>
      </c>
      <c r="C13" s="1664"/>
      <c r="D13" s="1725">
        <f t="shared" si="0"/>
        <v>33293</v>
      </c>
      <c r="E13" s="1664">
        <v>34624</v>
      </c>
      <c r="F13" s="1725">
        <f t="shared" si="1"/>
        <v>34624</v>
      </c>
    </row>
    <row r="14" spans="1:8" ht="13.7" customHeight="1" x14ac:dyDescent="0.2">
      <c r="A14" s="579" t="s">
        <v>406</v>
      </c>
      <c r="B14" s="1724">
        <f>SUM('Revenues 9-14'!C7:D7,'Revenues 9-14'!F7:H7)</f>
        <v>26635</v>
      </c>
      <c r="C14" s="1664"/>
      <c r="D14" s="1725">
        <f t="shared" si="0"/>
        <v>26635</v>
      </c>
      <c r="E14" s="1664">
        <v>27699</v>
      </c>
      <c r="F14" s="1725">
        <f t="shared" si="1"/>
        <v>27699</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104635</v>
      </c>
      <c r="C16" s="1664"/>
      <c r="D16" s="1725">
        <f t="shared" si="0"/>
        <v>104635</v>
      </c>
      <c r="E16" s="1664">
        <v>140712</v>
      </c>
      <c r="F16" s="1725">
        <f t="shared" si="1"/>
        <v>140712</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3258991</v>
      </c>
      <c r="C19" s="1726">
        <f>SUM(C4:C18)</f>
        <v>0</v>
      </c>
      <c r="D19" s="1726">
        <f>SUM(D4:D18)</f>
        <v>3258991</v>
      </c>
      <c r="E19" s="1726">
        <f>SUM(E4:E18)</f>
        <v>3344899</v>
      </c>
      <c r="F19" s="1726">
        <f>SUM(F4:F18)</f>
        <v>3344899</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T16" sqref="T1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624</v>
      </c>
      <c r="B1" s="2295"/>
      <c r="C1" s="585"/>
    </row>
    <row r="2" spans="1:7" ht="33.75" x14ac:dyDescent="0.2">
      <c r="A2" s="2303" t="s">
        <v>1778</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1103</v>
      </c>
      <c r="B3" s="2308"/>
      <c r="C3" s="2296"/>
      <c r="D3" s="2297"/>
      <c r="E3" s="2297"/>
      <c r="F3" s="2298"/>
    </row>
    <row r="4" spans="1:7" ht="12.75" customHeight="1" thickBot="1" x14ac:dyDescent="0.25">
      <c r="A4" s="2305" t="s">
        <v>625</v>
      </c>
      <c r="B4" s="2306"/>
      <c r="C4" s="1656"/>
      <c r="D4" s="1656"/>
      <c r="E4" s="1656"/>
      <c r="F4" s="1732">
        <f>SUM(C4+D4)-E4</f>
        <v>0</v>
      </c>
    </row>
    <row r="5" spans="1:7" ht="15.75" customHeight="1" thickTop="1" x14ac:dyDescent="0.2">
      <c r="A5" s="2290" t="s">
        <v>1100</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292" t="s">
        <v>626</v>
      </c>
      <c r="B15" s="2293"/>
      <c r="C15" s="1732">
        <f>SUM(C6:C14)</f>
        <v>0</v>
      </c>
      <c r="D15" s="1732">
        <f>SUM(D6:D14)</f>
        <v>0</v>
      </c>
      <c r="E15" s="1732">
        <f>SUM(E6:E14)</f>
        <v>0</v>
      </c>
      <c r="F15" s="1732">
        <f>SUM(F6:F14)</f>
        <v>0</v>
      </c>
      <c r="G15" s="473"/>
    </row>
    <row r="16" spans="1:7" s="197" customFormat="1" ht="15.75" customHeight="1" thickTop="1" x14ac:dyDescent="0.2">
      <c r="A16" s="2302" t="s">
        <v>1101</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384</v>
      </c>
      <c r="B19" s="2316"/>
      <c r="C19" s="1733"/>
      <c r="D19" s="1664"/>
      <c r="E19" s="1733"/>
      <c r="F19" s="1732">
        <f>SUM(C19+D19)-E19</f>
        <v>0</v>
      </c>
    </row>
    <row r="20" spans="1:11" ht="12.75" customHeight="1" thickTop="1" thickBot="1" x14ac:dyDescent="0.25">
      <c r="A20" s="2315" t="s">
        <v>444</v>
      </c>
      <c r="B20" s="2316"/>
      <c r="C20" s="1733"/>
      <c r="D20" s="1664"/>
      <c r="E20" s="1733"/>
      <c r="F20" s="1732">
        <f>SUM(C20+D20)-E20</f>
        <v>0</v>
      </c>
    </row>
    <row r="21" spans="1:11" ht="14.25" thickTop="1" thickBot="1" x14ac:dyDescent="0.25">
      <c r="A21" s="2292" t="s">
        <v>627</v>
      </c>
      <c r="B21" s="2293"/>
      <c r="C21" s="1732">
        <f>SUM(C17:C20)</f>
        <v>0</v>
      </c>
      <c r="D21" s="1732">
        <f>SUM(D17:D20)</f>
        <v>0</v>
      </c>
      <c r="E21" s="1732">
        <f>SUM(E17:E20)</f>
        <v>0</v>
      </c>
      <c r="F21" s="1732">
        <f>SUM(F17:F20)</f>
        <v>0</v>
      </c>
      <c r="G21" s="473"/>
    </row>
    <row r="22" spans="1:11" ht="15.75" customHeight="1" thickTop="1" x14ac:dyDescent="0.2">
      <c r="A22" s="2317" t="s">
        <v>1102</v>
      </c>
      <c r="B22" s="2291"/>
      <c r="C22" s="2299"/>
      <c r="D22" s="2300"/>
      <c r="E22" s="2300"/>
      <c r="F22" s="2301"/>
    </row>
    <row r="23" spans="1:11" ht="13.5" thickBot="1" x14ac:dyDescent="0.25">
      <c r="A23" s="2305" t="s">
        <v>628</v>
      </c>
      <c r="B23" s="2306"/>
      <c r="C23" s="1656"/>
      <c r="D23" s="1656"/>
      <c r="E23" s="1656"/>
      <c r="F23" s="1732">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6"/>
      <c r="D25" s="1656"/>
      <c r="E25" s="1656"/>
      <c r="F25" s="1732">
        <f>SUM(C25+D25)-E25</f>
        <v>0</v>
      </c>
      <c r="G25" s="473"/>
    </row>
    <row r="26" spans="1:11" ht="15.75" customHeight="1" thickTop="1" x14ac:dyDescent="0.2">
      <c r="A26" s="2290" t="s">
        <v>651</v>
      </c>
      <c r="B26" s="2291"/>
      <c r="C26" s="589"/>
      <c r="D26" s="589"/>
      <c r="E26" s="589"/>
      <c r="F26" s="590"/>
    </row>
    <row r="27" spans="1:11" ht="13.5" thickBot="1" x14ac:dyDescent="0.25">
      <c r="A27" s="2292" t="s">
        <v>1060</v>
      </c>
      <c r="B27" s="2293"/>
      <c r="C27" s="1664"/>
      <c r="D27" s="1664"/>
      <c r="E27" s="1664"/>
      <c r="F27" s="1732">
        <f>SUM(C27+D27)-E27</f>
        <v>0</v>
      </c>
      <c r="G27" s="473"/>
    </row>
    <row r="28" spans="1:11" ht="7.5" customHeight="1" thickTop="1" x14ac:dyDescent="0.2">
      <c r="A28" s="489"/>
    </row>
    <row r="29" spans="1:11" ht="23.25" customHeight="1" x14ac:dyDescent="0.2">
      <c r="A29" s="2318" t="s">
        <v>577</v>
      </c>
      <c r="B29" s="2295"/>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42429</v>
      </c>
      <c r="C31" s="1734">
        <v>400000</v>
      </c>
      <c r="D31" s="1735">
        <v>4</v>
      </c>
      <c r="E31" s="1734">
        <v>60000</v>
      </c>
      <c r="F31" s="1734"/>
      <c r="G31" s="1734"/>
      <c r="H31" s="1734">
        <v>60000</v>
      </c>
      <c r="I31" s="1736">
        <f>((E31+F31)-H31)+G31</f>
        <v>0</v>
      </c>
      <c r="J31" s="1734"/>
      <c r="K31" s="596"/>
    </row>
    <row r="32" spans="1:11" ht="12" customHeight="1" x14ac:dyDescent="0.2">
      <c r="A32" s="594" t="s">
        <v>2116</v>
      </c>
      <c r="B32" s="595">
        <v>43475</v>
      </c>
      <c r="C32" s="1734">
        <v>728000</v>
      </c>
      <c r="D32" s="1735">
        <v>4</v>
      </c>
      <c r="E32" s="1734">
        <v>728000</v>
      </c>
      <c r="F32" s="1734"/>
      <c r="G32" s="1734"/>
      <c r="H32" s="1734">
        <v>84200</v>
      </c>
      <c r="I32" s="1736">
        <f>((E32+F32)-H32)+G32</f>
        <v>643800</v>
      </c>
      <c r="J32" s="1734">
        <v>548482</v>
      </c>
      <c r="K32" s="596"/>
    </row>
    <row r="33" spans="1:11" ht="12" customHeight="1" x14ac:dyDescent="0.2">
      <c r="A33" s="594" t="s">
        <v>2117</v>
      </c>
      <c r="B33" s="595">
        <v>43475</v>
      </c>
      <c r="C33" s="1734">
        <v>928000</v>
      </c>
      <c r="D33" s="1735">
        <v>7</v>
      </c>
      <c r="E33" s="1734">
        <v>928000</v>
      </c>
      <c r="F33" s="1734"/>
      <c r="G33" s="1734"/>
      <c r="H33" s="1734">
        <v>167600</v>
      </c>
      <c r="I33" s="1736">
        <f t="shared" ref="I33:I48" si="1">((E33+F33)-H33)+G33</f>
        <v>760400</v>
      </c>
      <c r="J33" s="1734">
        <v>647819</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261</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2056000</v>
      </c>
      <c r="D49" s="1742"/>
      <c r="E49" s="1736">
        <f t="shared" ref="E49:J49" si="2">SUM(E31:E48)</f>
        <v>1716000</v>
      </c>
      <c r="F49" s="1736">
        <f t="shared" si="2"/>
        <v>0</v>
      </c>
      <c r="G49" s="1736">
        <f t="shared" si="2"/>
        <v>0</v>
      </c>
      <c r="H49" s="1736">
        <f t="shared" si="2"/>
        <v>311800</v>
      </c>
      <c r="I49" s="1736">
        <f t="shared" si="2"/>
        <v>1404200</v>
      </c>
      <c r="J49" s="1736">
        <f t="shared" si="2"/>
        <v>1196301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9" t="s">
        <v>579</v>
      </c>
      <c r="C52" s="2310"/>
      <c r="D52" s="2310"/>
      <c r="E52" s="603" t="s">
        <v>839</v>
      </c>
      <c r="F52" s="2311" t="s">
        <v>433</v>
      </c>
      <c r="G52" s="2312"/>
      <c r="H52" s="596"/>
      <c r="I52" s="596"/>
      <c r="J52" s="600"/>
    </row>
    <row r="53" spans="1:11" ht="11.25" customHeight="1" x14ac:dyDescent="0.2">
      <c r="A53" s="604" t="s">
        <v>906</v>
      </c>
      <c r="B53" s="605" t="s">
        <v>944</v>
      </c>
      <c r="C53" s="600"/>
      <c r="D53" s="597"/>
      <c r="E53" s="603" t="s">
        <v>493</v>
      </c>
      <c r="F53" s="2313"/>
      <c r="G53" s="2314"/>
      <c r="H53" s="596"/>
      <c r="I53" s="596"/>
      <c r="J53" s="600"/>
    </row>
    <row r="54" spans="1:11" ht="11.25" customHeight="1" x14ac:dyDescent="0.2">
      <c r="A54" s="606" t="s">
        <v>907</v>
      </c>
      <c r="B54" s="601" t="s">
        <v>945</v>
      </c>
      <c r="C54" s="600"/>
      <c r="D54" s="597"/>
      <c r="E54" s="603" t="s">
        <v>494</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T16" sqref="T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850</v>
      </c>
      <c r="B1" s="2346"/>
      <c r="C1" s="2346"/>
      <c r="D1" s="2346"/>
      <c r="E1" s="2346"/>
      <c r="F1" s="2346"/>
      <c r="G1" s="2347"/>
      <c r="H1" s="1298"/>
      <c r="I1" s="614"/>
      <c r="J1" s="400"/>
    </row>
    <row r="2" spans="1:11" ht="26.25" x14ac:dyDescent="0.2">
      <c r="A2" s="2322" t="s">
        <v>1657</v>
      </c>
      <c r="B2" s="2323"/>
      <c r="C2" s="2323"/>
      <c r="D2" s="2323"/>
      <c r="E2" s="2324"/>
      <c r="F2" s="615" t="s">
        <v>897</v>
      </c>
      <c r="G2" s="616" t="s">
        <v>1654</v>
      </c>
      <c r="H2" s="616" t="s">
        <v>406</v>
      </c>
      <c r="I2" s="616" t="s">
        <v>1147</v>
      </c>
      <c r="J2" s="616" t="s">
        <v>1788</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v>1167597</v>
      </c>
      <c r="K3" s="1745"/>
    </row>
    <row r="4" spans="1:11" x14ac:dyDescent="0.2">
      <c r="A4" s="2328" t="s">
        <v>365</v>
      </c>
      <c r="B4" s="2329"/>
      <c r="C4" s="2329"/>
      <c r="D4" s="2329"/>
      <c r="E4" s="2310"/>
      <c r="F4" s="620"/>
      <c r="G4" s="1746"/>
      <c r="H4" s="1747"/>
      <c r="I4" s="1746"/>
      <c r="J4" s="1748"/>
      <c r="K4" s="1748"/>
    </row>
    <row r="5" spans="1:11" x14ac:dyDescent="0.2">
      <c r="A5" s="2348" t="s">
        <v>1059</v>
      </c>
      <c r="B5" s="2319"/>
      <c r="C5" s="2319"/>
      <c r="D5" s="2319"/>
      <c r="E5" s="2349"/>
      <c r="F5" s="622" t="s">
        <v>842</v>
      </c>
      <c r="G5" s="1749"/>
      <c r="H5" s="1744">
        <v>26635</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v>9540</v>
      </c>
    </row>
    <row r="8" spans="1:11" x14ac:dyDescent="0.2">
      <c r="A8" s="629" t="s">
        <v>341</v>
      </c>
      <c r="B8" s="630"/>
      <c r="C8" s="630"/>
      <c r="D8" s="630"/>
      <c r="E8" s="631"/>
      <c r="F8" s="622" t="s">
        <v>845</v>
      </c>
      <c r="G8" s="1753"/>
      <c r="H8" s="1753"/>
      <c r="I8" s="1753"/>
      <c r="J8" s="1745">
        <v>377367</v>
      </c>
      <c r="K8" s="1748"/>
    </row>
    <row r="9" spans="1:11" x14ac:dyDescent="0.2">
      <c r="A9" s="629" t="s">
        <v>137</v>
      </c>
      <c r="B9" s="630"/>
      <c r="C9" s="630"/>
      <c r="D9" s="630"/>
      <c r="E9" s="631"/>
      <c r="F9" s="628" t="s">
        <v>847</v>
      </c>
      <c r="G9" s="1753"/>
      <c r="H9" s="1749"/>
      <c r="I9" s="1749"/>
      <c r="J9" s="1752"/>
      <c r="K9" s="1745">
        <v>5391</v>
      </c>
    </row>
    <row r="10" spans="1:11" x14ac:dyDescent="0.2">
      <c r="A10" s="2348" t="s">
        <v>1789</v>
      </c>
      <c r="B10" s="2319"/>
      <c r="C10" s="2319"/>
      <c r="D10" s="2319"/>
      <c r="E10" s="2350"/>
      <c r="F10" s="633" t="s">
        <v>856</v>
      </c>
      <c r="G10" s="1753"/>
      <c r="H10" s="1754"/>
      <c r="I10" s="1744"/>
      <c r="J10" s="1745">
        <v>164780</v>
      </c>
      <c r="K10" s="1745"/>
    </row>
    <row r="11" spans="1:11" x14ac:dyDescent="0.2">
      <c r="A11" s="2348" t="s">
        <v>159</v>
      </c>
      <c r="B11" s="2319"/>
      <c r="C11" s="2319"/>
      <c r="D11" s="2319"/>
      <c r="E11" s="2349"/>
      <c r="F11" s="622" t="s">
        <v>846</v>
      </c>
      <c r="G11" s="1749"/>
      <c r="H11" s="1744"/>
      <c r="I11" s="1744"/>
      <c r="J11" s="1745"/>
      <c r="K11" s="1751"/>
    </row>
    <row r="12" spans="1:11" ht="13.5" thickBot="1" x14ac:dyDescent="0.25">
      <c r="A12" s="2336" t="s">
        <v>898</v>
      </c>
      <c r="B12" s="2337"/>
      <c r="C12" s="2337"/>
      <c r="D12" s="2337"/>
      <c r="E12" s="2338"/>
      <c r="F12" s="1433"/>
      <c r="G12" s="1755">
        <f>SUM(G5:G11)</f>
        <v>0</v>
      </c>
      <c r="H12" s="1755">
        <f>SUM(H5:H11)</f>
        <v>26635</v>
      </c>
      <c r="I12" s="1755">
        <f>SUM(I5:I11)</f>
        <v>0</v>
      </c>
      <c r="J12" s="1755">
        <f>SUM(J5:J11)</f>
        <v>542147</v>
      </c>
      <c r="K12" s="1755">
        <f>SUM(K5:K11)</f>
        <v>14931</v>
      </c>
    </row>
    <row r="13" spans="1:11" ht="13.5" thickTop="1" x14ac:dyDescent="0.2">
      <c r="A13" s="2330" t="s">
        <v>366</v>
      </c>
      <c r="B13" s="2331"/>
      <c r="C13" s="2331"/>
      <c r="D13" s="2331"/>
      <c r="E13" s="2332"/>
      <c r="F13" s="634"/>
      <c r="G13" s="1756"/>
      <c r="H13" s="1757"/>
      <c r="I13" s="1758"/>
      <c r="J13" s="1758"/>
      <c r="K13" s="1758"/>
    </row>
    <row r="14" spans="1:11" x14ac:dyDescent="0.2">
      <c r="A14" s="2354" t="s">
        <v>452</v>
      </c>
      <c r="B14" s="2354"/>
      <c r="C14" s="2354"/>
      <c r="D14" s="2354"/>
      <c r="E14" s="2355"/>
      <c r="F14" s="635" t="s">
        <v>848</v>
      </c>
      <c r="G14" s="1753"/>
      <c r="H14" s="1744"/>
      <c r="I14" s="1749"/>
      <c r="J14" s="1751"/>
      <c r="K14" s="1745">
        <v>19935</v>
      </c>
    </row>
    <row r="15" spans="1:11" x14ac:dyDescent="0.2">
      <c r="A15" s="2319" t="s">
        <v>4</v>
      </c>
      <c r="B15" s="2319"/>
      <c r="C15" s="2319"/>
      <c r="D15" s="2319"/>
      <c r="E15" s="2349"/>
      <c r="F15" s="635" t="s">
        <v>849</v>
      </c>
      <c r="G15" s="1749"/>
      <c r="H15" s="1744"/>
      <c r="I15" s="1744"/>
      <c r="J15" s="1745">
        <v>904087</v>
      </c>
      <c r="K15" s="1745"/>
    </row>
    <row r="16" spans="1:11" x14ac:dyDescent="0.2">
      <c r="A16" s="2319" t="s">
        <v>294</v>
      </c>
      <c r="B16" s="2319"/>
      <c r="C16" s="2319"/>
      <c r="D16" s="2319"/>
      <c r="E16" s="2349"/>
      <c r="F16" s="635" t="s">
        <v>916</v>
      </c>
      <c r="G16" s="1750"/>
      <c r="H16" s="1746"/>
      <c r="I16" s="1746"/>
      <c r="J16" s="1748"/>
      <c r="K16" s="1748"/>
    </row>
    <row r="17" spans="1:15" x14ac:dyDescent="0.2">
      <c r="A17" s="2343" t="s">
        <v>928</v>
      </c>
      <c r="B17" s="2343"/>
      <c r="C17" s="2343"/>
      <c r="D17" s="2343"/>
      <c r="E17" s="2344"/>
      <c r="F17" s="636"/>
      <c r="G17" s="1759"/>
      <c r="H17" s="1760"/>
      <c r="I17" s="1760"/>
      <c r="J17" s="1761"/>
      <c r="K17" s="1762"/>
    </row>
    <row r="18" spans="1:15" x14ac:dyDescent="0.2">
      <c r="A18" s="2333" t="s">
        <v>364</v>
      </c>
      <c r="B18" s="2334"/>
      <c r="C18" s="2334"/>
      <c r="D18" s="2334"/>
      <c r="E18" s="2335"/>
      <c r="F18" s="635" t="s">
        <v>925</v>
      </c>
      <c r="G18" s="1753"/>
      <c r="H18" s="1753"/>
      <c r="I18" s="1753"/>
      <c r="J18" s="1745">
        <v>80056</v>
      </c>
      <c r="K18" s="1763"/>
    </row>
    <row r="19" spans="1:15" ht="21.75" customHeight="1" x14ac:dyDescent="0.2">
      <c r="A19" s="2356" t="s">
        <v>1785</v>
      </c>
      <c r="B19" s="2356"/>
      <c r="C19" s="2356"/>
      <c r="D19" s="2356"/>
      <c r="E19" s="2357"/>
      <c r="F19" s="635" t="s">
        <v>926</v>
      </c>
      <c r="G19" s="1753"/>
      <c r="H19" s="1753"/>
      <c r="I19" s="1753"/>
      <c r="J19" s="1745">
        <v>311800</v>
      </c>
      <c r="K19" s="1763"/>
    </row>
    <row r="20" spans="1:15" x14ac:dyDescent="0.2">
      <c r="A20" s="2333" t="s">
        <v>1790</v>
      </c>
      <c r="B20" s="2334"/>
      <c r="C20" s="2334"/>
      <c r="D20" s="2334"/>
      <c r="E20" s="2335"/>
      <c r="F20" s="635" t="s">
        <v>927</v>
      </c>
      <c r="G20" s="1753"/>
      <c r="H20" s="1753"/>
      <c r="I20" s="1753"/>
      <c r="J20" s="1745">
        <v>500</v>
      </c>
      <c r="K20" s="1763"/>
    </row>
    <row r="21" spans="1:15" ht="13.5" thickBot="1" x14ac:dyDescent="0.25">
      <c r="A21" s="2339" t="s">
        <v>632</v>
      </c>
      <c r="B21" s="2339"/>
      <c r="C21" s="2339"/>
      <c r="D21" s="2339"/>
      <c r="E21" s="2339"/>
      <c r="F21" s="1434"/>
      <c r="G21" s="1760"/>
      <c r="H21" s="1764"/>
      <c r="I21" s="1764"/>
      <c r="J21" s="1765">
        <f>SUM(J18:J20)</f>
        <v>392356</v>
      </c>
      <c r="K21" s="1761"/>
    </row>
    <row r="22" spans="1:15" ht="13.5" thickTop="1" x14ac:dyDescent="0.2">
      <c r="A22" s="2319" t="s">
        <v>1791</v>
      </c>
      <c r="B22" s="2319"/>
      <c r="C22" s="2319"/>
      <c r="D22" s="2319"/>
      <c r="E22" s="2349"/>
      <c r="F22" s="635" t="s">
        <v>856</v>
      </c>
      <c r="G22" s="1753"/>
      <c r="H22" s="1744">
        <v>26635</v>
      </c>
      <c r="I22" s="1744"/>
      <c r="J22" s="1766"/>
      <c r="K22" s="1745"/>
    </row>
    <row r="23" spans="1:15" ht="13.5" thickBot="1" x14ac:dyDescent="0.25">
      <c r="A23" s="2340" t="s">
        <v>899</v>
      </c>
      <c r="B23" s="2339"/>
      <c r="C23" s="2339"/>
      <c r="D23" s="2339"/>
      <c r="E23" s="2339"/>
      <c r="F23" s="1436"/>
      <c r="G23" s="1755">
        <f>SUM(G14:G16,G21,G22)</f>
        <v>0</v>
      </c>
      <c r="H23" s="1755">
        <f>SUM(H14:H16,H21,H22)</f>
        <v>26635</v>
      </c>
      <c r="I23" s="1755">
        <f>SUM(I14:I16,I21,I22)</f>
        <v>0</v>
      </c>
      <c r="J23" s="1755">
        <f>SUM(J14:J16,J21,J22)</f>
        <v>1296443</v>
      </c>
      <c r="K23" s="1755">
        <f>SUM(K14:K16,K21,K22)</f>
        <v>19935</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413301</v>
      </c>
      <c r="K24" s="1767">
        <f>SUM(K3,K12)-K23</f>
        <v>-5004</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413301</v>
      </c>
      <c r="K26" s="1755">
        <f>K24-K25</f>
        <v>-5004</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1"/>
      <c r="I31" s="2352"/>
      <c r="J31" s="2352"/>
      <c r="K31" s="2352"/>
    </row>
    <row r="32" spans="1:15" x14ac:dyDescent="0.2">
      <c r="A32" s="649"/>
      <c r="B32" s="232"/>
      <c r="C32" s="232"/>
      <c r="D32" s="232"/>
      <c r="E32" s="645"/>
      <c r="F32" s="651" t="s">
        <v>536</v>
      </c>
      <c r="G32" s="618"/>
      <c r="H32" s="2353"/>
      <c r="I32" s="2352"/>
      <c r="J32" s="2352"/>
      <c r="K32" s="2352"/>
    </row>
    <row r="33" spans="1:11" ht="1.5" customHeight="1" x14ac:dyDescent="0.2">
      <c r="A33" s="652" t="s">
        <v>1158</v>
      </c>
      <c r="B33" s="341"/>
      <c r="C33" s="341"/>
      <c r="D33" s="341"/>
      <c r="E33" s="341"/>
      <c r="F33" s="341"/>
      <c r="G33" s="653"/>
      <c r="H33" s="2353"/>
      <c r="I33" s="2352"/>
      <c r="J33" s="2352"/>
      <c r="K33" s="2352"/>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9" t="s">
        <v>537</v>
      </c>
      <c r="B41" s="2320"/>
      <c r="C41" s="2320"/>
      <c r="D41" s="2320"/>
      <c r="E41" s="2320"/>
      <c r="F41" s="232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16" sqref="T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135605</v>
      </c>
      <c r="D5" s="1770"/>
      <c r="E5" s="1770"/>
      <c r="F5" s="1765">
        <f>(C5+D5)-E5</f>
        <v>135605</v>
      </c>
      <c r="G5" s="676"/>
      <c r="H5" s="680"/>
      <c r="I5" s="680"/>
      <c r="J5" s="680"/>
      <c r="K5" s="637"/>
      <c r="L5" s="1442">
        <f>F5-K5</f>
        <v>135605</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5989548</v>
      </c>
      <c r="D8" s="1771"/>
      <c r="E8" s="1771"/>
      <c r="F8" s="1765">
        <f>(C8+D8)-E8</f>
        <v>5989548</v>
      </c>
      <c r="G8" s="681">
        <v>50</v>
      </c>
      <c r="H8" s="619">
        <v>5585416</v>
      </c>
      <c r="I8" s="619">
        <v>11655</v>
      </c>
      <c r="J8" s="619"/>
      <c r="K8" s="1442">
        <f>(H8+I8)-J8</f>
        <v>5597071</v>
      </c>
      <c r="L8" s="1442">
        <f>F8-K8</f>
        <v>392477</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3382006</v>
      </c>
      <c r="D10" s="1772">
        <v>1659878</v>
      </c>
      <c r="E10" s="1772"/>
      <c r="F10" s="1773">
        <f>(C10+D10)-E10</f>
        <v>5041884</v>
      </c>
      <c r="G10" s="681">
        <v>20</v>
      </c>
      <c r="H10" s="683">
        <v>1841753</v>
      </c>
      <c r="I10" s="683">
        <v>215519</v>
      </c>
      <c r="J10" s="683"/>
      <c r="K10" s="1442">
        <f>(H10+I10)-J10</f>
        <v>2057272</v>
      </c>
      <c r="L10" s="1442">
        <f>F10-K10</f>
        <v>2984612</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1348846</v>
      </c>
      <c r="D12" s="1771">
        <v>196136</v>
      </c>
      <c r="E12" s="1771">
        <v>158419</v>
      </c>
      <c r="F12" s="1765">
        <f>(C12+D12)-E12</f>
        <v>1386563</v>
      </c>
      <c r="G12" s="681">
        <v>10</v>
      </c>
      <c r="H12" s="619">
        <v>731500</v>
      </c>
      <c r="I12" s="619">
        <v>138659</v>
      </c>
      <c r="J12" s="619">
        <v>158419</v>
      </c>
      <c r="K12" s="1442">
        <f>(H12+I12)-J12</f>
        <v>711740</v>
      </c>
      <c r="L12" s="1442">
        <f>F12-K12</f>
        <v>674823</v>
      </c>
    </row>
    <row r="13" spans="1:14" ht="14.25" thickTop="1" thickBot="1" x14ac:dyDescent="0.25">
      <c r="A13" s="684" t="s">
        <v>1111</v>
      </c>
      <c r="B13" s="679">
        <v>252</v>
      </c>
      <c r="C13" s="1771">
        <v>480828</v>
      </c>
      <c r="D13" s="1771">
        <v>12945</v>
      </c>
      <c r="E13" s="1771">
        <v>81358</v>
      </c>
      <c r="F13" s="1765">
        <f>(C13+D13)-E13</f>
        <v>412415</v>
      </c>
      <c r="G13" s="681">
        <v>5</v>
      </c>
      <c r="H13" s="619">
        <v>351913</v>
      </c>
      <c r="I13" s="619">
        <v>44935</v>
      </c>
      <c r="J13" s="619">
        <v>81358</v>
      </c>
      <c r="K13" s="1442">
        <f>(H13+I13)-J13</f>
        <v>315490</v>
      </c>
      <c r="L13" s="1442">
        <f>F13-K13</f>
        <v>96925</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11336833</v>
      </c>
      <c r="D16" s="1765">
        <f>SUM(D3,D5:D6,D8:D10,D12:D15)</f>
        <v>1868959</v>
      </c>
      <c r="E16" s="1765">
        <f>SUM(E3,E5:E6,E8:E10,E12:E15)</f>
        <v>239777</v>
      </c>
      <c r="F16" s="1765">
        <f>SUM(F3,F5:F6,F8:F10,F12:F15)</f>
        <v>12966015</v>
      </c>
      <c r="G16" s="681"/>
      <c r="H16" s="1435">
        <f>SUM(H3,H6,H8:H10,H12:H14,)</f>
        <v>8510582</v>
      </c>
      <c r="I16" s="1435">
        <f>SUM(I3,I6,I8:I10,I12:I14,)</f>
        <v>410768</v>
      </c>
      <c r="J16" s="1435">
        <f>SUM(J3,J6,J8:J10,J12:J14,)</f>
        <v>239777</v>
      </c>
      <c r="K16" s="1435">
        <f>(H16+I16)-J16</f>
        <v>8681573</v>
      </c>
      <c r="L16" s="1435">
        <f>F16-K16</f>
        <v>4284442</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410768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T16" sqref="T1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6293736</v>
      </c>
      <c r="G8" s="701"/>
    </row>
    <row r="9" spans="1:9" x14ac:dyDescent="0.2">
      <c r="A9" s="705" t="s">
        <v>456</v>
      </c>
      <c r="B9" s="706" t="s">
        <v>1847</v>
      </c>
      <c r="C9" s="707"/>
      <c r="D9" s="705" t="s">
        <v>497</v>
      </c>
      <c r="E9" s="704"/>
      <c r="F9" s="1775">
        <f>'Expenditures 15-22'!K151</f>
        <v>483634</v>
      </c>
      <c r="G9" s="708"/>
    </row>
    <row r="10" spans="1:9" x14ac:dyDescent="0.2">
      <c r="A10" s="705" t="s">
        <v>495</v>
      </c>
      <c r="B10" s="706" t="s">
        <v>1848</v>
      </c>
      <c r="C10" s="707"/>
      <c r="D10" s="705" t="s">
        <v>497</v>
      </c>
      <c r="E10" s="704"/>
      <c r="F10" s="1775">
        <f>'Expenditures 15-22'!K174</f>
        <v>392356</v>
      </c>
      <c r="G10" s="708"/>
    </row>
    <row r="11" spans="1:9" x14ac:dyDescent="0.2">
      <c r="A11" s="705" t="s">
        <v>457</v>
      </c>
      <c r="B11" s="706" t="s">
        <v>1849</v>
      </c>
      <c r="C11" s="707"/>
      <c r="D11" s="705" t="s">
        <v>497</v>
      </c>
      <c r="E11" s="704"/>
      <c r="F11" s="1775">
        <f>'Expenditures 15-22'!K210</f>
        <v>329633</v>
      </c>
      <c r="G11" s="708"/>
    </row>
    <row r="12" spans="1:9" x14ac:dyDescent="0.2">
      <c r="A12" s="705" t="s">
        <v>458</v>
      </c>
      <c r="B12" s="706" t="s">
        <v>1850</v>
      </c>
      <c r="C12" s="707"/>
      <c r="D12" s="705" t="s">
        <v>497</v>
      </c>
      <c r="E12" s="704"/>
      <c r="F12" s="1775">
        <f>'Expenditures 15-22'!K295</f>
        <v>253723.84</v>
      </c>
      <c r="G12" s="708"/>
    </row>
    <row r="13" spans="1:9" x14ac:dyDescent="0.2">
      <c r="A13" s="705" t="s">
        <v>106</v>
      </c>
      <c r="B13" s="706" t="s">
        <v>1851</v>
      </c>
      <c r="C13" s="707"/>
      <c r="D13" s="705" t="s">
        <v>497</v>
      </c>
      <c r="E13" s="704"/>
      <c r="F13" s="1775">
        <f>'Expenditures 15-22'!K342</f>
        <v>332436</v>
      </c>
      <c r="G13" s="709"/>
    </row>
    <row r="14" spans="1:9" ht="12" customHeight="1" thickBot="1" x14ac:dyDescent="0.25">
      <c r="A14" s="1443"/>
      <c r="B14" s="1444"/>
      <c r="C14" s="1445"/>
      <c r="D14" s="1446" t="s">
        <v>497</v>
      </c>
      <c r="E14" s="1447" t="s">
        <v>951</v>
      </c>
      <c r="F14" s="1776">
        <f>SUM(F8:F13)</f>
        <v>8085518.8399999999</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119409</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44186</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3590</v>
      </c>
      <c r="G52" s="701"/>
    </row>
    <row r="53" spans="1:7" x14ac:dyDescent="0.2">
      <c r="A53" s="705" t="s">
        <v>455</v>
      </c>
      <c r="B53" s="705" t="s">
        <v>1457</v>
      </c>
      <c r="C53" s="724">
        <f>'Expenditures 15-22'!B102</f>
        <v>4000</v>
      </c>
      <c r="D53" s="723" t="str">
        <f>'Expenditures 15-22'!A102</f>
        <v>Total Payments to Other Govt Units</v>
      </c>
      <c r="E53" s="704"/>
      <c r="F53" s="1782">
        <f>'Expenditures 15-22'!K102</f>
        <v>611554</v>
      </c>
      <c r="G53" s="701"/>
    </row>
    <row r="54" spans="1:7" x14ac:dyDescent="0.2">
      <c r="A54" s="705" t="s">
        <v>455</v>
      </c>
      <c r="B54" s="705" t="s">
        <v>1458</v>
      </c>
      <c r="C54" s="724" t="s">
        <v>974</v>
      </c>
      <c r="D54" s="720" t="s">
        <v>1085</v>
      </c>
      <c r="E54" s="704"/>
      <c r="F54" s="1782">
        <f>'Expenditures 15-22'!G114</f>
        <v>76751</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0</v>
      </c>
      <c r="G57" s="701"/>
    </row>
    <row r="58" spans="1:7" x14ac:dyDescent="0.2">
      <c r="A58" s="705" t="s">
        <v>456</v>
      </c>
      <c r="B58" s="705" t="s">
        <v>1853</v>
      </c>
      <c r="C58" s="721" t="s">
        <v>974</v>
      </c>
      <c r="D58" s="720" t="s">
        <v>1085</v>
      </c>
      <c r="E58" s="704"/>
      <c r="F58" s="1784">
        <f>'Expenditures 15-22'!G151</f>
        <v>119385</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311800</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12945</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5295</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1304915</v>
      </c>
      <c r="G77" s="701"/>
    </row>
    <row r="78" spans="1:9" s="728" customFormat="1" ht="12" customHeight="1" thickTop="1" thickBot="1" x14ac:dyDescent="0.25">
      <c r="A78" s="1450"/>
      <c r="B78" s="1448"/>
      <c r="C78" s="1445"/>
      <c r="D78" s="1449" t="s">
        <v>2011</v>
      </c>
      <c r="E78" s="1447"/>
      <c r="F78" s="1788">
        <f>(F14-F77)</f>
        <v>6780603.8399999999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598.29</v>
      </c>
      <c r="G79" s="733"/>
      <c r="H79" s="705"/>
      <c r="I79" s="705"/>
    </row>
    <row r="80" spans="1:9" s="728" customFormat="1" ht="12" customHeight="1" thickBot="1" x14ac:dyDescent="0.25">
      <c r="A80" s="1452"/>
      <c r="B80" s="1448"/>
      <c r="C80" s="1445"/>
      <c r="D80" s="1449" t="s">
        <v>2012</v>
      </c>
      <c r="E80" s="1447" t="s">
        <v>951</v>
      </c>
      <c r="F80" s="1790">
        <f>IF(F79&gt;0,F78/F79," Complete Line 79")</f>
        <v>11333.30632302061</v>
      </c>
      <c r="G80" s="705"/>
    </row>
    <row r="81" spans="1:7" s="728" customFormat="1" ht="8.25" customHeight="1" thickTop="1" x14ac:dyDescent="0.2">
      <c r="A81" s="734"/>
      <c r="B81" s="705"/>
      <c r="C81" s="707"/>
      <c r="D81" s="735"/>
      <c r="E81" s="704"/>
      <c r="F81" s="1791"/>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44546</v>
      </c>
      <c r="G95" s="745"/>
    </row>
    <row r="96" spans="1:7" x14ac:dyDescent="0.2">
      <c r="A96" s="741" t="s">
        <v>139</v>
      </c>
      <c r="B96" s="741" t="s">
        <v>174</v>
      </c>
      <c r="C96" s="743">
        <v>1700</v>
      </c>
      <c r="D96" s="751" t="str">
        <f>'Revenues 9-14'!A82</f>
        <v>Total District/School Activity Income</v>
      </c>
      <c r="E96" s="739"/>
      <c r="F96" s="1793">
        <f>SUM('Revenues 9-14'!C82,'Revenues 9-14'!D82)</f>
        <v>35827</v>
      </c>
      <c r="G96" s="745"/>
    </row>
    <row r="97" spans="1:7" x14ac:dyDescent="0.2">
      <c r="A97" s="741" t="s">
        <v>455</v>
      </c>
      <c r="B97" s="741" t="s">
        <v>175</v>
      </c>
      <c r="C97" s="743">
        <f>'Revenues 9-14'!B84</f>
        <v>1811</v>
      </c>
      <c r="D97" s="744" t="str">
        <f>'Revenues 9-14'!A84</f>
        <v>Rentals - Regular Textbooks</v>
      </c>
      <c r="E97" s="739"/>
      <c r="F97" s="1793">
        <f>'Revenues 9-14'!C84</f>
        <v>19097</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7</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1785</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8469</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10090</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13593</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2115</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5391</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178333</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0</v>
      </c>
      <c r="G121" s="763"/>
    </row>
    <row r="122" spans="1:7" x14ac:dyDescent="0.2">
      <c r="A122" s="760" t="s">
        <v>496</v>
      </c>
      <c r="B122" s="760" t="s">
        <v>1925</v>
      </c>
      <c r="C122" s="761">
        <f>'Revenues 9-14'!B168</f>
        <v>3999</v>
      </c>
      <c r="D122" s="762" t="s">
        <v>539</v>
      </c>
      <c r="E122" s="764"/>
      <c r="F122" s="1793">
        <f>SUM('Revenues 9-14'!C168:G168,'Revenues 9-14'!J168)</f>
        <v>5214</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1928</v>
      </c>
      <c r="C125" s="765">
        <v>4100</v>
      </c>
      <c r="D125" s="766" t="str">
        <f>'Revenues 9-14'!A188</f>
        <v>Total Title V</v>
      </c>
      <c r="E125" s="739"/>
      <c r="F125" s="1793">
        <f>SUM('Revenues 9-14'!C188,'Revenues 9-14'!D188,'Revenues 9-14'!F188,'Revenues 9-14'!G188)</f>
        <v>4251</v>
      </c>
      <c r="G125" s="763"/>
    </row>
    <row r="126" spans="1:7" x14ac:dyDescent="0.2">
      <c r="A126" s="760" t="s">
        <v>658</v>
      </c>
      <c r="B126" s="760" t="s">
        <v>1929</v>
      </c>
      <c r="C126" s="765">
        <v>4200</v>
      </c>
      <c r="D126" s="762" t="str">
        <f>'Revenues 9-14'!A198</f>
        <v>Total Food Service</v>
      </c>
      <c r="E126" s="739"/>
      <c r="F126" s="1793">
        <f>SUM('Revenues 9-14'!C198,'Revenues 9-14'!G198)</f>
        <v>194575</v>
      </c>
      <c r="G126" s="763"/>
    </row>
    <row r="127" spans="1:7" x14ac:dyDescent="0.2">
      <c r="A127" s="760" t="s">
        <v>662</v>
      </c>
      <c r="B127" s="760" t="s">
        <v>1930</v>
      </c>
      <c r="C127" s="765">
        <v>4300</v>
      </c>
      <c r="D127" s="766" t="str">
        <f>'Revenues 9-14'!A204</f>
        <v>Total Title I</v>
      </c>
      <c r="E127" s="739"/>
      <c r="F127" s="1793">
        <f>SUM('Revenues 9-14'!C204,'Revenues 9-14'!D204,'Revenues 9-14'!F204,'Revenues 9-14'!G204)</f>
        <v>473561</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12227</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46803</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41274</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12926</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19830</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312941.44</v>
      </c>
      <c r="G172" s="760"/>
    </row>
    <row r="173" spans="1:7" x14ac:dyDescent="0.2">
      <c r="A173" s="1529" t="s">
        <v>658</v>
      </c>
      <c r="B173" s="1530" t="s">
        <v>1884</v>
      </c>
      <c r="C173" s="1531">
        <v>3300</v>
      </c>
      <c r="D173" s="1532" t="s">
        <v>1887</v>
      </c>
      <c r="E173" s="739"/>
      <c r="F173" s="1794">
        <v>64</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1442919.44</v>
      </c>
    </row>
    <row r="176" spans="1:7" ht="12" customHeight="1" x14ac:dyDescent="0.2">
      <c r="A176" s="1443"/>
      <c r="B176" s="1453"/>
      <c r="C176" s="1454"/>
      <c r="D176" s="1455" t="s">
        <v>2013</v>
      </c>
      <c r="E176" s="1456"/>
      <c r="F176" s="1793">
        <f>'PCTC-OEPP 27-28'!F78-F175</f>
        <v>5337684.4000000004</v>
      </c>
    </row>
    <row r="177" spans="1:9" ht="12" customHeight="1" x14ac:dyDescent="0.2">
      <c r="A177" s="1443"/>
      <c r="B177" s="1453"/>
      <c r="C177" s="1454"/>
      <c r="D177" s="1455" t="s">
        <v>1793</v>
      </c>
      <c r="E177" s="1456"/>
      <c r="F177" s="1793">
        <f>'Cap Outlay Deprec 26'!I18</f>
        <v>410768</v>
      </c>
    </row>
    <row r="178" spans="1:9" ht="12" customHeight="1" x14ac:dyDescent="0.2">
      <c r="A178" s="1443"/>
      <c r="B178" s="1453"/>
      <c r="C178" s="1454"/>
      <c r="D178" s="1455" t="s">
        <v>2014</v>
      </c>
      <c r="E178" s="1456"/>
      <c r="F178" s="1793">
        <f>F176+F177</f>
        <v>5748452.4000000004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598.29</v>
      </c>
      <c r="G179" s="763"/>
      <c r="I179" s="701"/>
    </row>
    <row r="180" spans="1:9" ht="12" customHeight="1" thickBot="1" x14ac:dyDescent="0.25">
      <c r="A180" s="1443"/>
      <c r="B180" s="1457"/>
      <c r="C180" s="1454"/>
      <c r="D180" s="1455" t="s">
        <v>2016</v>
      </c>
      <c r="E180" s="1456" t="s">
        <v>1527</v>
      </c>
      <c r="F180" s="1798">
        <f>F178/F179</f>
        <v>9608.1371909943355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4294967295" verticalDpi="4294967295"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8"/>
  <sheetViews>
    <sheetView showGridLines="0" topLeftCell="A7" zoomScaleNormal="100" workbookViewId="0">
      <selection activeCell="T16" sqref="T16"/>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2"/>
  </cols>
  <sheetData>
    <row r="1" spans="1:6" ht="15" customHeight="1" x14ac:dyDescent="0.25">
      <c r="A1" s="1859" t="s">
        <v>1806</v>
      </c>
      <c r="B1" s="1860"/>
      <c r="C1" s="1861"/>
      <c r="D1" s="1861"/>
      <c r="E1" s="1861"/>
      <c r="F1" s="1861"/>
    </row>
    <row r="2" spans="1:6" x14ac:dyDescent="0.25">
      <c r="A2" s="1863"/>
      <c r="B2" s="1864"/>
      <c r="C2" s="1911"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0" t="s">
        <v>1986</v>
      </c>
      <c r="B8" s="1901"/>
      <c r="C8" s="1901"/>
      <c r="D8" s="1901"/>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5" t="s">
        <v>1798</v>
      </c>
      <c r="C17" s="1881" t="s">
        <v>1796</v>
      </c>
      <c r="D17" s="1882">
        <v>500000</v>
      </c>
      <c r="E17" s="1882" t="str">
        <f>IF(D17&lt;25000,D17,"25,000")</f>
        <v>25,000</v>
      </c>
      <c r="F17" s="1883">
        <f>IF(D17&gt;=25000,(D17-E17),"0")</f>
        <v>475000</v>
      </c>
    </row>
    <row r="18" spans="1:7" x14ac:dyDescent="0.25">
      <c r="A18" s="2034" t="s">
        <v>2085</v>
      </c>
      <c r="B18" s="1906">
        <v>102200300</v>
      </c>
      <c r="C18" s="2035" t="s">
        <v>2086</v>
      </c>
      <c r="D18" s="1884">
        <v>122640</v>
      </c>
      <c r="E18" s="1904" t="str">
        <f t="shared" ref="E18" si="0">IF(D18&lt;25000,D18,"25,000")</f>
        <v>25,000</v>
      </c>
      <c r="F18" s="1904">
        <f t="shared" ref="F18" si="1">IF(D18&gt;=25000,(D18-E18),"0")</f>
        <v>97640</v>
      </c>
      <c r="G18" s="1885"/>
    </row>
    <row r="19" spans="1:7" x14ac:dyDescent="0.25">
      <c r="A19" s="1886"/>
      <c r="B19" s="1907"/>
      <c r="C19" s="1887"/>
      <c r="D19" s="1884"/>
      <c r="E19" s="1904"/>
      <c r="F19" s="1904"/>
    </row>
    <row r="20" spans="1:7" x14ac:dyDescent="0.25">
      <c r="A20" s="1886"/>
      <c r="B20" s="1907"/>
      <c r="C20" s="1887"/>
      <c r="D20" s="1884"/>
      <c r="E20" s="1904"/>
      <c r="F20" s="1904"/>
    </row>
    <row r="21" spans="1:7" x14ac:dyDescent="0.25">
      <c r="A21" s="1886"/>
      <c r="B21" s="1907"/>
      <c r="C21" s="1887"/>
      <c r="D21" s="1884"/>
      <c r="E21" s="1904"/>
      <c r="F21" s="1904"/>
    </row>
    <row r="22" spans="1:7" x14ac:dyDescent="0.25">
      <c r="A22" s="1886"/>
      <c r="B22" s="1907"/>
      <c r="C22" s="1887"/>
      <c r="D22" s="1884"/>
      <c r="E22" s="1904"/>
      <c r="F22" s="1904"/>
    </row>
    <row r="23" spans="1:7" x14ac:dyDescent="0.25">
      <c r="A23" s="1886"/>
      <c r="B23" s="1907"/>
      <c r="C23" s="1887"/>
      <c r="D23" s="1884"/>
      <c r="E23" s="1904"/>
      <c r="F23" s="1904"/>
    </row>
    <row r="24" spans="1:7" x14ac:dyDescent="0.25">
      <c r="A24" s="1886"/>
      <c r="B24" s="1907"/>
      <c r="C24" s="1887"/>
      <c r="D24" s="1884"/>
      <c r="E24" s="1904">
        <f t="shared" ref="E24:E27" si="2">IF(D24&lt;25000,D24,"25,000")</f>
        <v>0</v>
      </c>
      <c r="F24" s="1904" t="str">
        <f t="shared" ref="F24:F27" si="3">IF(D24&gt;=25000,(D24-E24),"0")</f>
        <v>0</v>
      </c>
    </row>
    <row r="25" spans="1:7" x14ac:dyDescent="0.25">
      <c r="A25" s="1886"/>
      <c r="B25" s="1907"/>
      <c r="C25" s="1887"/>
      <c r="D25" s="1884"/>
      <c r="E25" s="1904">
        <f t="shared" si="2"/>
        <v>0</v>
      </c>
      <c r="F25" s="1904" t="str">
        <f t="shared" si="3"/>
        <v>0</v>
      </c>
    </row>
    <row r="26" spans="1:7" x14ac:dyDescent="0.25">
      <c r="A26" s="1886"/>
      <c r="B26" s="1907"/>
      <c r="C26" s="1887"/>
      <c r="D26" s="1884"/>
      <c r="E26" s="1904">
        <f t="shared" si="2"/>
        <v>0</v>
      </c>
      <c r="F26" s="1904" t="str">
        <f t="shared" si="3"/>
        <v>0</v>
      </c>
    </row>
    <row r="27" spans="1:7" x14ac:dyDescent="0.25">
      <c r="A27" s="1886"/>
      <c r="B27" s="1908"/>
      <c r="C27" s="1887"/>
      <c r="D27" s="1884"/>
      <c r="E27" s="1904">
        <f t="shared" si="2"/>
        <v>0</v>
      </c>
      <c r="F27" s="1904" t="str">
        <f t="shared" si="3"/>
        <v>0</v>
      </c>
    </row>
    <row r="28" spans="1:7" x14ac:dyDescent="0.25">
      <c r="A28" s="1888" t="s">
        <v>155</v>
      </c>
      <c r="B28" s="1909"/>
      <c r="C28" s="1889"/>
      <c r="D28" s="1890">
        <f>SUM(D18:D27)</f>
        <v>122640</v>
      </c>
      <c r="E28" s="1891">
        <f>SUM(E18:E27)</f>
        <v>0</v>
      </c>
      <c r="F28" s="1892">
        <f>SUM(F18:F27)</f>
        <v>97640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T16" sqref="T1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25930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4024989.35</v>
      </c>
      <c r="F19" s="1802"/>
      <c r="G19" s="1804">
        <f>'Expenditures 15-22'!K33-SUM('Expenditures 15-22'!G33,'Expenditures 15-22'!I33)+'Expenditures 15-22'!D229</f>
        <v>4024989.35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206536.71</v>
      </c>
      <c r="F21" s="1805"/>
      <c r="G21" s="1808">
        <f>'Expenditures 15-22'!K42-SUM('Expenditures 15-22'!G42,'Expenditures 15-22'!I42)+'Expenditures 15-22'!K120-SUM('Expenditures 15-22'!G120,'Expenditures 15-22'!I120)+'Expenditures 15-22'!K180-SUM('Expenditures 15-22'!G180,'Expenditures 15-22'!I180)+'Expenditures 15-22'!D238</f>
        <v>206536.71</v>
      </c>
      <c r="H21" s="817"/>
      <c r="I21" s="157"/>
    </row>
    <row r="22" spans="1:9" s="542" customFormat="1" ht="12" customHeight="1" x14ac:dyDescent="0.2">
      <c r="A22" s="824" t="s">
        <v>559</v>
      </c>
      <c r="B22" s="825"/>
      <c r="C22" s="823">
        <v>2200</v>
      </c>
      <c r="D22" s="1805"/>
      <c r="E22" s="1807">
        <f>'Expenditures 15-22'!K47-SUM('Expenditures 15-22'!G47,'Expenditures 15-22'!I47)+'Expenditures 15-22'!D243</f>
        <v>319610.77</v>
      </c>
      <c r="F22" s="1805"/>
      <c r="G22" s="1808">
        <f>'Expenditures 15-22'!K47-SUM('Expenditures 15-22'!G47,'Expenditures 15-22'!I47)+'Expenditures 15-22'!D243</f>
        <v>319610.77</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632164.44999999995</v>
      </c>
      <c r="F23" s="1805"/>
      <c r="G23" s="1807">
        <f>'Expenditures 15-22'!K53-SUM('Expenditures 15-22'!G53,'Expenditures 15-22'!I53)+'Expenditures 15-22'!D257+'Expenditures 15-22'!K330-SUM('Expenditures 15-22'!G330,'Expenditures 15-22'!I330)</f>
        <v>632164.44999999995</v>
      </c>
      <c r="H23" s="817"/>
      <c r="I23" s="157"/>
    </row>
    <row r="24" spans="1:9" s="542" customFormat="1" ht="12" customHeight="1" x14ac:dyDescent="0.2">
      <c r="A24" s="824" t="s">
        <v>561</v>
      </c>
      <c r="B24" s="825"/>
      <c r="C24" s="823">
        <v>2400</v>
      </c>
      <c r="D24" s="1805"/>
      <c r="E24" s="1807">
        <f>'Expenditures 15-22'!K57-SUM('Expenditures 15-22'!G57,'Expenditures 15-22'!I57)+'Expenditures 15-22'!D261</f>
        <v>386237.99</v>
      </c>
      <c r="F24" s="1805"/>
      <c r="G24" s="1808">
        <f>'Expenditures 15-22'!K57-SUM('Expenditures 15-22'!G57,'Expenditures 15-22'!I57)+'Expenditures 15-22'!D261</f>
        <v>386237.99</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51487.17</v>
      </c>
      <c r="E27" s="1807">
        <f>E8</f>
        <v>0</v>
      </c>
      <c r="F27" s="1807">
        <f>'Expenditures 15-22'!K60-SUM('Expenditures 15-22'!G60,'Expenditures 15-22'!I60)+'Expenditures 15-22'!D264-E8</f>
        <v>51487.17</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574337.96</v>
      </c>
      <c r="F28" s="1809">
        <f>'Expenditures 15-22'!K61-SUM('Expenditures 15-22'!G61,'Expenditures 15-22'!I61)+'Expenditures 15-22'!K124-SUM('Expenditures 15-22'!G124,'Expenditures 15-22'!I124)+'Expenditures 15-22'!D266-E9</f>
        <v>574337.96</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349532.18</v>
      </c>
      <c r="F29" s="1805"/>
      <c r="G29" s="1808">
        <f>'Expenditures 15-22'!K62-SUM('Expenditures 15-22'!G62,'Expenditures 15-22'!I62)+'Expenditures 15-22'!K125-SUM('Expenditures 15-22'!G125,'Expenditures 15-22'!I125)+'Expenditures 15-22'!K182-SUM('Expenditures 15-22'!G182,'Expenditures 15-22'!I182)+'Expenditures 15-22'!D267</f>
        <v>349532.18</v>
      </c>
      <c r="H29" s="815"/>
    </row>
    <row r="30" spans="1:9" ht="12" customHeight="1" x14ac:dyDescent="0.2">
      <c r="A30" s="824" t="s">
        <v>100</v>
      </c>
      <c r="B30" s="827"/>
      <c r="C30" s="823">
        <v>2560</v>
      </c>
      <c r="D30" s="1805"/>
      <c r="E30" s="1807">
        <f>'Expenditures 15-22'!K63-SUM('Expenditures 15-22'!G63,'Expenditures 15-22'!I63)+'Expenditures 15-22'!D268-E10</f>
        <v>309959.26</v>
      </c>
      <c r="F30" s="1805"/>
      <c r="G30" s="1807">
        <f>'Expenditures 15-22'!K63-SUM('Expenditures 15-22'!G63,'Expenditures 15-22'!I63)+'Expenditures 15-22'!D268-E10</f>
        <v>309959.26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7487</v>
      </c>
      <c r="E37" s="1807">
        <f>E14</f>
        <v>0</v>
      </c>
      <c r="F37" s="1807">
        <f>'Expenditures 15-22'!K71-SUM('Expenditures 15-22'!G71,'Expenditures 15-22'!I71)+'Expenditures 15-22'!D276-E14</f>
        <v>7487</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1300</v>
      </c>
      <c r="F38" s="1805"/>
      <c r="G38" s="1807">
        <f>'Expenditures 15-22'!K73-SUM('Expenditures 15-22'!G73,'Expenditures 15-22'!I73)+'Expenditures 15-22'!K128-SUM('Expenditures 15-22'!G128,'Expenditures 15-22'!I128)+'Expenditures 15-22'!K183-SUM('Expenditures 15-22'!G183,'Expenditures 15-22'!I183)+'Expenditures 15-22'!D278</f>
        <v>1300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3590</v>
      </c>
      <c r="F39" s="1805"/>
      <c r="G39" s="1807">
        <f>'Expenditures 15-22'!K75-SUM('Expenditures 15-22'!G75,'Expenditures 15-22'!I75)+'Expenditures 15-22'!K130-SUM('Expenditures 15-22'!G130,'Expenditures 15-22'!I130)+'Expenditures 15-22'!K185-SUM('Expenditures 15-22'!G185,'Expenditures 15-22'!I185)+'Expenditures 15-22'!D280</f>
        <v>3590</v>
      </c>
    </row>
    <row r="40" spans="1:7" ht="12" customHeight="1" x14ac:dyDescent="0.2">
      <c r="A40" s="820" t="s">
        <v>1797</v>
      </c>
      <c r="B40" s="821"/>
      <c r="C40" s="823"/>
      <c r="D40" s="1805"/>
      <c r="E40" s="1809">
        <f>-'Contracts Paid in CY 29'!F28</f>
        <v>-97640</v>
      </c>
      <c r="F40" s="1805"/>
      <c r="G40" s="1809">
        <f>-'Contracts Paid in CY 29'!F28</f>
        <v>-97640</v>
      </c>
    </row>
    <row r="41" spans="1:7" ht="12" customHeight="1" x14ac:dyDescent="0.2">
      <c r="A41" s="828" t="s">
        <v>155</v>
      </c>
      <c r="B41" s="829"/>
      <c r="C41" s="830"/>
      <c r="D41" s="1809">
        <f>SUM(D19:D39)</f>
        <v>58974.17</v>
      </c>
      <c r="E41" s="1809">
        <f>SUM(E19:E40)</f>
        <v>6710618.6699999999</v>
      </c>
      <c r="F41" s="1809">
        <f>SUM(F19:F39)</f>
        <v>633312.13</v>
      </c>
      <c r="G41" s="1809">
        <f>SUM(G19:G40)</f>
        <v>6136280.71</v>
      </c>
    </row>
    <row r="42" spans="1:7" x14ac:dyDescent="0.2">
      <c r="A42" s="817"/>
      <c r="B42" s="157"/>
      <c r="C42" s="831"/>
      <c r="D42" s="2392" t="s">
        <v>518</v>
      </c>
      <c r="E42" s="2393"/>
      <c r="F42" s="832" t="s">
        <v>519</v>
      </c>
      <c r="G42" s="833"/>
    </row>
    <row r="43" spans="1:7" ht="12" customHeight="1" x14ac:dyDescent="0.2">
      <c r="A43" s="817"/>
      <c r="B43" s="157"/>
      <c r="C43" s="831"/>
      <c r="D43" s="1458" t="s">
        <v>469</v>
      </c>
      <c r="E43" s="1810">
        <f>D41</f>
        <v>58974.17</v>
      </c>
      <c r="F43" s="1458" t="s">
        <v>469</v>
      </c>
      <c r="G43" s="1810">
        <f>F41</f>
        <v>633312.13</v>
      </c>
    </row>
    <row r="44" spans="1:7" ht="12" customHeight="1" x14ac:dyDescent="0.2">
      <c r="A44" s="817"/>
      <c r="B44" s="157"/>
      <c r="C44" s="831"/>
      <c r="D44" s="1458" t="s">
        <v>470</v>
      </c>
      <c r="E44" s="1810">
        <f>E41</f>
        <v>6710618.6699999999</v>
      </c>
      <c r="F44" s="1458" t="s">
        <v>470</v>
      </c>
      <c r="G44" s="1810">
        <f>G41</f>
        <v>6136280.71</v>
      </c>
    </row>
    <row r="45" spans="1:7" ht="12" customHeight="1" x14ac:dyDescent="0.2">
      <c r="A45" s="817"/>
      <c r="B45" s="157"/>
      <c r="C45" s="157"/>
      <c r="D45" s="1459" t="s">
        <v>998</v>
      </c>
      <c r="E45" s="1811">
        <f>(E43/E44)</f>
        <v>8.7881867380790978E-3</v>
      </c>
      <c r="F45" s="1459" t="s">
        <v>998</v>
      </c>
      <c r="G45" s="1811">
        <f>(G43/G44)</f>
        <v>0.10320781592796462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3" zoomScale="110" zoomScaleNormal="110" workbookViewId="0">
      <selection activeCell="T16" sqref="T1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1362</v>
      </c>
      <c r="B1" s="2400"/>
      <c r="C1" s="2400"/>
      <c r="D1" s="2400"/>
      <c r="E1" s="2400"/>
      <c r="F1" s="240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1528</v>
      </c>
      <c r="B5" s="2402"/>
      <c r="C5" s="2403"/>
      <c r="D5" s="2403"/>
      <c r="E5" s="2403"/>
      <c r="F5" s="2403"/>
      <c r="G5" s="1507"/>
      <c r="L5" s="1507"/>
      <c r="M5" s="1855"/>
      <c r="N5" s="1855"/>
      <c r="O5" s="1855"/>
    </row>
    <row r="6" spans="1:15" ht="12" customHeight="1" x14ac:dyDescent="0.25">
      <c r="A6" s="1480"/>
      <c r="B6" s="1481"/>
      <c r="C6" s="2404" t="str">
        <f>COVER!A17</f>
        <v xml:space="preserve">  Bushnell Prarie City 170</v>
      </c>
      <c r="D6" s="2404"/>
      <c r="E6" s="2404"/>
      <c r="F6" s="1482"/>
      <c r="G6" s="1507"/>
      <c r="L6" s="1507"/>
      <c r="M6" s="1855"/>
      <c r="N6" s="1855"/>
      <c r="O6" s="1855"/>
    </row>
    <row r="7" spans="1:15" ht="11.25" customHeight="1" thickBot="1" x14ac:dyDescent="0.3">
      <c r="A7" s="1480"/>
      <c r="B7" s="1481"/>
      <c r="C7" s="2405">
        <f>COVER!A13</f>
        <v>26062170026</v>
      </c>
      <c r="D7" s="2405"/>
      <c r="E7" s="2405"/>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2050</v>
      </c>
      <c r="D26" s="1495" t="s">
        <v>2050</v>
      </c>
      <c r="E26" s="1498"/>
      <c r="F26" s="1497" t="s">
        <v>2071</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t="s">
        <v>2050</v>
      </c>
      <c r="D28" s="1495" t="s">
        <v>2050</v>
      </c>
      <c r="E28" s="1498"/>
      <c r="F28" s="1497" t="s">
        <v>2072</v>
      </c>
      <c r="G28" s="1507"/>
      <c r="H28" s="1507">
        <f t="shared" si="0"/>
        <v>5</v>
      </c>
      <c r="I28" s="1507">
        <f t="shared" si="1"/>
        <v>5</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2050</v>
      </c>
      <c r="D31" s="1495" t="s">
        <v>2050</v>
      </c>
      <c r="E31" s="1498"/>
      <c r="F31" s="1497" t="s">
        <v>2073</v>
      </c>
      <c r="G31" s="1507"/>
      <c r="H31" s="1507">
        <f t="shared" si="0"/>
        <v>5</v>
      </c>
      <c r="I31" s="1507">
        <f t="shared" si="1"/>
        <v>5</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1375</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1374</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4294967295" verticalDpi="4294967295"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T16" sqref="T1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401</v>
      </c>
      <c r="H1" s="1994"/>
      <c r="I1" s="1978"/>
      <c r="J1" s="1978"/>
      <c r="K1" s="1978"/>
      <c r="L1" s="1978"/>
      <c r="M1" s="1978"/>
      <c r="N1" s="1979"/>
    </row>
    <row r="2" spans="1:14" x14ac:dyDescent="0.2">
      <c r="A2" s="1995"/>
      <c r="B2" s="838"/>
      <c r="C2" s="838"/>
      <c r="D2" s="838"/>
      <c r="E2" s="838"/>
      <c r="F2" s="838"/>
      <c r="G2" s="1921" t="s">
        <v>2001</v>
      </c>
      <c r="H2" s="1918"/>
      <c r="I2" s="838"/>
      <c r="J2" s="838"/>
      <c r="K2" s="838"/>
      <c r="L2" s="838"/>
      <c r="M2" s="838"/>
      <c r="N2" s="1996"/>
    </row>
    <row r="3" spans="1:14" x14ac:dyDescent="0.2">
      <c r="A3" s="1995"/>
      <c r="B3" s="838"/>
      <c r="C3" s="838"/>
      <c r="D3" s="838"/>
      <c r="E3" s="838"/>
      <c r="F3" s="838"/>
      <c r="G3" s="1921" t="s">
        <v>402</v>
      </c>
      <c r="H3" s="838"/>
      <c r="I3" s="838"/>
      <c r="J3" s="838"/>
      <c r="K3" s="838"/>
      <c r="L3" s="838"/>
      <c r="M3" s="838"/>
      <c r="N3" s="1996"/>
    </row>
    <row r="4" spans="1:14" x14ac:dyDescent="0.2">
      <c r="A4" s="1995"/>
      <c r="B4" s="838"/>
      <c r="C4" s="838"/>
      <c r="D4" s="838"/>
      <c r="E4" s="838"/>
      <c r="F4" s="838"/>
      <c r="G4" s="1921" t="s">
        <v>862</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666</v>
      </c>
      <c r="B6" s="1377"/>
      <c r="C6" s="1377"/>
      <c r="D6" s="1377"/>
      <c r="E6" s="1378"/>
      <c r="F6" s="1920"/>
      <c r="G6" s="1921"/>
      <c r="H6" s="838"/>
      <c r="I6" s="1922" t="s">
        <v>1020</v>
      </c>
      <c r="J6" s="2420" t="str">
        <f>COVER!A17</f>
        <v xml:space="preserve">  Bushnell Prarie City 170</v>
      </c>
      <c r="K6" s="2420"/>
      <c r="L6" s="2421"/>
      <c r="M6" s="838"/>
      <c r="N6" s="1996"/>
    </row>
    <row r="7" spans="1:14" x14ac:dyDescent="0.2">
      <c r="A7" s="2422" t="s">
        <v>863</v>
      </c>
      <c r="B7" s="2423"/>
      <c r="C7" s="2423"/>
      <c r="D7" s="2423"/>
      <c r="E7" s="2424"/>
      <c r="F7" s="839"/>
      <c r="G7" s="838"/>
      <c r="H7" s="838"/>
      <c r="I7" s="1922" t="s">
        <v>368</v>
      </c>
      <c r="J7" s="2425">
        <f>COVER!A13</f>
        <v>26062170026</v>
      </c>
      <c r="K7" s="2425"/>
      <c r="L7" s="2425"/>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2017</v>
      </c>
      <c r="F9" s="1857"/>
      <c r="G9" s="1857"/>
      <c r="H9" s="1857"/>
      <c r="I9" s="1927" t="s">
        <v>2018</v>
      </c>
      <c r="J9" s="1857"/>
      <c r="K9" s="1857"/>
      <c r="L9" s="1858"/>
      <c r="M9" s="838"/>
      <c r="N9" s="1996"/>
    </row>
    <row r="10" spans="1:14" x14ac:dyDescent="0.2">
      <c r="A10" s="2000"/>
      <c r="B10" s="1928"/>
      <c r="C10" s="1929"/>
      <c r="D10" s="1930"/>
      <c r="E10" s="1931" t="s">
        <v>421</v>
      </c>
      <c r="F10" s="1932" t="s">
        <v>422</v>
      </c>
      <c r="G10" s="1933" t="s">
        <v>428</v>
      </c>
      <c r="H10" s="1934"/>
      <c r="I10" s="1932" t="s">
        <v>421</v>
      </c>
      <c r="J10" s="1932" t="s">
        <v>422</v>
      </c>
      <c r="K10" s="1933" t="s">
        <v>428</v>
      </c>
      <c r="L10" s="1932"/>
      <c r="M10" s="838"/>
      <c r="N10" s="1996"/>
    </row>
    <row r="11" spans="1:14" ht="51" x14ac:dyDescent="0.2">
      <c r="A11" s="2426" t="s">
        <v>477</v>
      </c>
      <c r="B11" s="2427"/>
      <c r="C11" s="2428"/>
      <c r="D11" s="1935" t="s">
        <v>865</v>
      </c>
      <c r="E11" s="1935" t="s">
        <v>64</v>
      </c>
      <c r="F11" s="1935" t="s">
        <v>6</v>
      </c>
      <c r="G11" s="1936" t="s">
        <v>2019</v>
      </c>
      <c r="H11" s="1937" t="s">
        <v>155</v>
      </c>
      <c r="I11" s="1935" t="s">
        <v>64</v>
      </c>
      <c r="J11" s="1935" t="s">
        <v>6</v>
      </c>
      <c r="K11" s="1936" t="s">
        <v>2000</v>
      </c>
      <c r="L11" s="1937" t="s">
        <v>155</v>
      </c>
      <c r="M11" s="838"/>
      <c r="N11" s="1996"/>
    </row>
    <row r="12" spans="1:14" x14ac:dyDescent="0.2">
      <c r="A12" s="2001">
        <v>1</v>
      </c>
      <c r="B12" s="1938" t="s">
        <v>812</v>
      </c>
      <c r="C12" s="842"/>
      <c r="D12" s="1939">
        <v>2320</v>
      </c>
      <c r="E12" s="1942">
        <f>'Expenditures 15-22'!K50</f>
        <v>231694</v>
      </c>
      <c r="F12" s="1940"/>
      <c r="G12" s="1966">
        <f>G68</f>
        <v>51272</v>
      </c>
      <c r="H12" s="1942">
        <f t="shared" ref="H12:H18" si="0">SUM(E12:G12)</f>
        <v>282966</v>
      </c>
      <c r="I12" s="1941">
        <v>243164</v>
      </c>
      <c r="J12" s="1940"/>
      <c r="K12" s="1941">
        <v>54092</v>
      </c>
      <c r="L12" s="1942">
        <f t="shared" ref="L12:L18" si="1">SUM(I12:K12)</f>
        <v>297256</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1058</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1050</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29" t="s">
        <v>7</v>
      </c>
      <c r="C18" s="2430"/>
      <c r="D18" s="2431"/>
      <c r="E18" s="1944"/>
      <c r="F18" s="1944"/>
      <c r="G18" s="1941"/>
      <c r="H18" s="1945">
        <f t="shared" si="0"/>
        <v>0</v>
      </c>
      <c r="I18" s="1941"/>
      <c r="J18" s="1941"/>
      <c r="K18" s="1941"/>
      <c r="L18" s="1942">
        <f t="shared" si="1"/>
        <v>0</v>
      </c>
      <c r="M18" s="838"/>
      <c r="N18" s="1996"/>
    </row>
    <row r="19" spans="1:14" ht="13.5" thickBot="1" x14ac:dyDescent="0.25">
      <c r="A19" s="2001">
        <v>8</v>
      </c>
      <c r="B19" s="1946" t="s">
        <v>1150</v>
      </c>
      <c r="C19" s="838"/>
      <c r="D19" s="1947"/>
      <c r="E19" s="1948">
        <f t="shared" ref="E19:L19" si="2">SUM(E12:E17)-E18</f>
        <v>231694</v>
      </c>
      <c r="F19" s="1948">
        <f t="shared" si="2"/>
        <v>0</v>
      </c>
      <c r="G19" s="1948">
        <f t="shared" ref="G19" si="3">SUM(G12:G17)-G18</f>
        <v>51272</v>
      </c>
      <c r="H19" s="1948">
        <f t="shared" si="2"/>
        <v>282966</v>
      </c>
      <c r="I19" s="1948">
        <f t="shared" si="2"/>
        <v>243164</v>
      </c>
      <c r="J19" s="1948">
        <f t="shared" si="2"/>
        <v>0</v>
      </c>
      <c r="K19" s="1948">
        <f t="shared" si="2"/>
        <v>54092</v>
      </c>
      <c r="L19" s="1948">
        <f t="shared" si="2"/>
        <v>297256</v>
      </c>
      <c r="M19" s="838"/>
      <c r="N19" s="1996"/>
    </row>
    <row r="20" spans="1:14" ht="13.5" thickTop="1" x14ac:dyDescent="0.2">
      <c r="A20" s="2001">
        <v>9</v>
      </c>
      <c r="B20" s="2432" t="s">
        <v>2020</v>
      </c>
      <c r="C20" s="2432"/>
      <c r="D20" s="2433"/>
      <c r="E20" s="1949"/>
      <c r="F20" s="1949"/>
      <c r="G20" s="1949"/>
      <c r="H20" s="1949"/>
      <c r="I20" s="1949"/>
      <c r="J20" s="1949"/>
      <c r="K20" s="1949"/>
      <c r="L20" s="1950">
        <f>IF(AND(H19&gt;0,L19&gt;0),(((L19-H19)/H19)),"Enter Budget Data")</f>
        <v>5.0500766876585883E-2</v>
      </c>
      <c r="M20" s="838"/>
      <c r="N20" s="1996"/>
    </row>
    <row r="21" spans="1:14" x14ac:dyDescent="0.2">
      <c r="A21" s="2003" t="s">
        <v>194</v>
      </c>
      <c r="B21" s="2004" t="s">
        <v>2045</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2021</v>
      </c>
      <c r="B24" s="2008"/>
      <c r="C24" s="2009"/>
      <c r="D24" s="2009"/>
      <c r="E24" s="2009"/>
      <c r="F24" s="2009"/>
      <c r="G24" s="2009"/>
      <c r="H24" s="2009"/>
      <c r="I24" s="2009"/>
      <c r="J24" s="2009"/>
      <c r="K24" s="2009"/>
      <c r="L24" s="838"/>
      <c r="M24" s="838"/>
      <c r="N24" s="1996"/>
    </row>
    <row r="25" spans="1:14" x14ac:dyDescent="0.2">
      <c r="A25" s="2007" t="s">
        <v>2022</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4"/>
      <c r="D27" s="2434"/>
      <c r="E27" s="843"/>
      <c r="F27" s="2435"/>
      <c r="G27" s="2435"/>
      <c r="H27" s="2435"/>
      <c r="I27" s="838"/>
      <c r="J27" s="838"/>
      <c r="K27" s="838"/>
      <c r="L27" s="838"/>
      <c r="M27" s="838"/>
      <c r="N27" s="1996"/>
    </row>
    <row r="28" spans="1:14" x14ac:dyDescent="0.2">
      <c r="A28" s="1995"/>
      <c r="B28" s="2005"/>
      <c r="C28" s="1955" t="s">
        <v>1025</v>
      </c>
      <c r="D28" s="844"/>
      <c r="E28" s="1956"/>
      <c r="F28" s="2436" t="s">
        <v>1491</v>
      </c>
      <c r="G28" s="2436"/>
      <c r="H28" s="2436"/>
      <c r="I28" s="838"/>
      <c r="J28" s="838"/>
      <c r="K28" s="838"/>
      <c r="L28" s="838"/>
      <c r="M28" s="838"/>
      <c r="N28" s="1996"/>
    </row>
    <row r="29" spans="1:14" x14ac:dyDescent="0.2">
      <c r="A29" s="1995"/>
      <c r="B29" s="2005"/>
      <c r="C29" s="2437"/>
      <c r="D29" s="2437"/>
      <c r="E29" s="845"/>
      <c r="F29" s="2437"/>
      <c r="G29" s="2437"/>
      <c r="H29" s="2437"/>
      <c r="I29" s="838"/>
      <c r="J29" s="838"/>
      <c r="K29" s="838"/>
      <c r="L29" s="838"/>
      <c r="M29" s="838"/>
      <c r="N29" s="1996"/>
    </row>
    <row r="30" spans="1:14" x14ac:dyDescent="0.2">
      <c r="A30" s="1995"/>
      <c r="B30" s="2005"/>
      <c r="C30" s="1958" t="s">
        <v>1543</v>
      </c>
      <c r="D30" s="838"/>
      <c r="E30" s="1957"/>
      <c r="F30" s="2419" t="s">
        <v>1492</v>
      </c>
      <c r="G30" s="2419"/>
      <c r="H30" s="241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1026</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40" t="s">
        <v>2023</v>
      </c>
      <c r="D34" s="2441"/>
      <c r="E34" s="2441"/>
      <c r="F34" s="2441"/>
      <c r="G34" s="2441"/>
      <c r="H34" s="2441"/>
      <c r="I34" s="2441"/>
      <c r="J34" s="2441"/>
      <c r="K34" s="2014"/>
      <c r="L34" s="838"/>
      <c r="M34" s="838"/>
      <c r="N34" s="1996"/>
    </row>
    <row r="35" spans="1:14" x14ac:dyDescent="0.2">
      <c r="A35" s="1995"/>
      <c r="B35" s="838"/>
      <c r="C35" s="2441"/>
      <c r="D35" s="2441"/>
      <c r="E35" s="2441"/>
      <c r="F35" s="2441"/>
      <c r="G35" s="2441"/>
      <c r="H35" s="2441"/>
      <c r="I35" s="2441"/>
      <c r="J35" s="2441"/>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40" t="s">
        <v>2024</v>
      </c>
      <c r="D37" s="2441"/>
      <c r="E37" s="2441"/>
      <c r="F37" s="2441"/>
      <c r="G37" s="2441"/>
      <c r="H37" s="2441"/>
      <c r="I37" s="2441"/>
      <c r="J37" s="2441"/>
      <c r="K37" s="2014"/>
      <c r="L37" s="2016"/>
      <c r="M37" s="838"/>
      <c r="N37" s="1996"/>
    </row>
    <row r="38" spans="1:14" x14ac:dyDescent="0.2">
      <c r="A38" s="1995"/>
      <c r="B38" s="838"/>
      <c r="C38" s="2441"/>
      <c r="D38" s="2441"/>
      <c r="E38" s="2441"/>
      <c r="F38" s="2441"/>
      <c r="G38" s="2441"/>
      <c r="H38" s="2441"/>
      <c r="I38" s="2441"/>
      <c r="J38" s="2441"/>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2" t="s">
        <v>2025</v>
      </c>
      <c r="D40" s="2443"/>
      <c r="E40" s="2443"/>
      <c r="F40" s="2443"/>
      <c r="G40" s="2443"/>
      <c r="H40" s="2443"/>
      <c r="I40" s="2443"/>
      <c r="J40" s="2443"/>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80"/>
      <c r="B44" s="1981"/>
      <c r="C44" s="1981"/>
      <c r="D44" s="1981"/>
      <c r="E44" s="1981"/>
      <c r="F44" s="1981"/>
      <c r="G44" s="1981"/>
      <c r="H44" s="1981"/>
      <c r="I44" s="1981"/>
      <c r="J44" s="1981"/>
      <c r="K44" s="1981"/>
      <c r="L44" s="1981"/>
      <c r="M44" s="1981"/>
      <c r="N44" s="1982"/>
    </row>
    <row r="45" spans="1:14" x14ac:dyDescent="0.2">
      <c r="A45" s="1980" t="s">
        <v>2027</v>
      </c>
      <c r="B45" s="1981"/>
      <c r="C45" s="1981"/>
      <c r="D45" s="1981"/>
      <c r="E45" s="1981"/>
      <c r="F45" s="1981"/>
      <c r="G45" s="1981"/>
      <c r="H45" s="1981"/>
      <c r="I45" s="1981"/>
      <c r="J45" s="1981"/>
      <c r="K45" s="1981"/>
      <c r="L45" s="1981"/>
      <c r="M45" s="1981"/>
      <c r="N45" s="1982"/>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2044</v>
      </c>
      <c r="B49" s="2022"/>
      <c r="C49" s="2022"/>
      <c r="D49" s="2023"/>
      <c r="E49" s="2023"/>
      <c r="F49" s="2023"/>
      <c r="G49" s="2023"/>
      <c r="H49" s="2023"/>
      <c r="I49" s="2023"/>
      <c r="J49" s="2023"/>
      <c r="K49" s="2023"/>
      <c r="L49" s="2023"/>
      <c r="M49" s="2023"/>
      <c r="N49" s="2024"/>
    </row>
    <row r="50" spans="1:14" ht="15" x14ac:dyDescent="0.25">
      <c r="A50" s="2026" t="s">
        <v>2043</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1020</v>
      </c>
      <c r="L52" s="2420" t="str">
        <f>J6</f>
        <v xml:space="preserve">  Bushnell Prarie City 170</v>
      </c>
      <c r="M52" s="2420"/>
      <c r="N52" s="2450"/>
    </row>
    <row r="53" spans="1:14" x14ac:dyDescent="0.2">
      <c r="A53" s="1980"/>
      <c r="B53" s="1981"/>
      <c r="C53" s="1981"/>
      <c r="D53" s="1981"/>
      <c r="E53" s="1981"/>
      <c r="F53" s="1981"/>
      <c r="G53" s="1981"/>
      <c r="H53" s="1981"/>
      <c r="I53" s="1981"/>
      <c r="J53" s="1981"/>
      <c r="K53" s="1922" t="s">
        <v>368</v>
      </c>
      <c r="L53" s="2425">
        <f>J7</f>
        <v>26062170026</v>
      </c>
      <c r="M53" s="2425"/>
      <c r="N53" s="2451"/>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2"/>
      <c r="B55" s="2453"/>
      <c r="C55" s="2453"/>
      <c r="D55" s="1968"/>
      <c r="E55" s="1968"/>
      <c r="F55" s="1968"/>
      <c r="G55" s="2454" t="s">
        <v>2029</v>
      </c>
      <c r="H55" s="2454"/>
      <c r="I55" s="2454"/>
      <c r="J55" s="2454"/>
      <c r="K55" s="2454"/>
      <c r="L55" s="2454"/>
      <c r="M55" s="2454"/>
      <c r="N55" s="2455"/>
    </row>
    <row r="56" spans="1:14" ht="63.75" x14ac:dyDescent="0.2">
      <c r="A56" s="2456" t="s">
        <v>2030</v>
      </c>
      <c r="B56" s="2457"/>
      <c r="C56" s="2458"/>
      <c r="D56" s="1962" t="s">
        <v>2031</v>
      </c>
      <c r="E56" s="1962" t="s">
        <v>2032</v>
      </c>
      <c r="F56" s="1969"/>
      <c r="G56" s="1962" t="s">
        <v>2033</v>
      </c>
      <c r="H56" s="1962" t="s">
        <v>2034</v>
      </c>
      <c r="I56" s="1962" t="s">
        <v>2035</v>
      </c>
      <c r="J56" s="1962" t="s">
        <v>2036</v>
      </c>
      <c r="K56" s="1962" t="s">
        <v>2037</v>
      </c>
      <c r="L56" s="1962" t="s">
        <v>2038</v>
      </c>
      <c r="M56" s="1962" t="s">
        <v>2039</v>
      </c>
      <c r="N56" s="1963" t="s">
        <v>2046</v>
      </c>
    </row>
    <row r="57" spans="1:14" ht="24.75" customHeight="1" x14ac:dyDescent="0.2">
      <c r="A57" s="2459" t="s">
        <v>295</v>
      </c>
      <c r="B57" s="2460"/>
      <c r="C57" s="2460"/>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8" t="s">
        <v>2040</v>
      </c>
      <c r="B58" s="2439"/>
      <c r="C58" s="2439"/>
      <c r="D58" s="1965">
        <v>2362</v>
      </c>
      <c r="E58" s="1975">
        <f>'Expenditures 15-22'!K320</f>
        <v>40042</v>
      </c>
      <c r="F58" s="1970"/>
      <c r="G58" s="2029"/>
      <c r="H58" s="2030"/>
      <c r="I58" s="2030"/>
      <c r="J58" s="2030"/>
      <c r="K58" s="2030"/>
      <c r="L58" s="2030"/>
      <c r="M58" s="2030">
        <v>40042</v>
      </c>
      <c r="N58" s="1973">
        <f>IF((SUM(G58:M58))=E58,SUM(G58:M58),"Column N does not agree with Column E")</f>
        <v>40042</v>
      </c>
    </row>
    <row r="59" spans="1:14" ht="24.75" customHeight="1" x14ac:dyDescent="0.2">
      <c r="A59" s="2461" t="s">
        <v>296</v>
      </c>
      <c r="B59" s="2462"/>
      <c r="C59" s="2462"/>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1" t="s">
        <v>236</v>
      </c>
      <c r="B60" s="2462"/>
      <c r="C60" s="2462"/>
      <c r="D60" s="1965">
        <v>2364</v>
      </c>
      <c r="E60" s="1975">
        <f>'Expenditures 15-22'!K322</f>
        <v>51537</v>
      </c>
      <c r="F60" s="1970"/>
      <c r="G60" s="2029"/>
      <c r="H60" s="2030"/>
      <c r="I60" s="2030"/>
      <c r="J60" s="2030"/>
      <c r="K60" s="2030"/>
      <c r="L60" s="2030"/>
      <c r="M60" s="2030">
        <v>51537</v>
      </c>
      <c r="N60" s="1973">
        <f t="shared" ref="N60:N67" si="4">IF((SUM(G60:M60))=E60,SUM(G60:M60),"Column N does not agree with Column E")</f>
        <v>51537</v>
      </c>
    </row>
    <row r="61" spans="1:14" ht="24.75" customHeight="1" x14ac:dyDescent="0.2">
      <c r="A61" s="2461" t="s">
        <v>696</v>
      </c>
      <c r="B61" s="2462"/>
      <c r="C61" s="2462"/>
      <c r="D61" s="1965">
        <v>2365</v>
      </c>
      <c r="E61" s="1975">
        <f>'Expenditures 15-22'!K323</f>
        <v>4924</v>
      </c>
      <c r="F61" s="1970"/>
      <c r="G61" s="2029"/>
      <c r="H61" s="2030"/>
      <c r="I61" s="2030"/>
      <c r="J61" s="2030"/>
      <c r="K61" s="2030"/>
      <c r="L61" s="2030"/>
      <c r="M61" s="2030">
        <v>4924</v>
      </c>
      <c r="N61" s="1973">
        <f t="shared" si="4"/>
        <v>4924</v>
      </c>
    </row>
    <row r="62" spans="1:14" ht="24" customHeight="1" x14ac:dyDescent="0.2">
      <c r="A62" s="2461" t="s">
        <v>237</v>
      </c>
      <c r="B62" s="2462"/>
      <c r="C62" s="2462"/>
      <c r="D62" s="1965">
        <v>2366</v>
      </c>
      <c r="E62" s="1975">
        <f>'Expenditures 15-22'!K324</f>
        <v>0</v>
      </c>
      <c r="F62" s="1970"/>
      <c r="G62" s="2029"/>
      <c r="H62" s="2030"/>
      <c r="I62" s="2030"/>
      <c r="J62" s="2030"/>
      <c r="K62" s="2030"/>
      <c r="L62" s="2030"/>
      <c r="M62" s="2030"/>
      <c r="N62" s="1973">
        <f t="shared" si="4"/>
        <v>0</v>
      </c>
    </row>
    <row r="63" spans="1:14" ht="24" customHeight="1" x14ac:dyDescent="0.2">
      <c r="A63" s="2438" t="s">
        <v>1021</v>
      </c>
      <c r="B63" s="2439"/>
      <c r="C63" s="2439"/>
      <c r="D63" s="1965">
        <v>2367</v>
      </c>
      <c r="E63" s="1975">
        <f>'Expenditures 15-22'!K325</f>
        <v>218974</v>
      </c>
      <c r="F63" s="1970"/>
      <c r="G63" s="2029">
        <v>51272</v>
      </c>
      <c r="H63" s="2030"/>
      <c r="I63" s="2030"/>
      <c r="J63" s="2030"/>
      <c r="K63" s="2030"/>
      <c r="L63" s="2030"/>
      <c r="M63" s="2030">
        <v>167702</v>
      </c>
      <c r="N63" s="1973">
        <f t="shared" si="4"/>
        <v>218974</v>
      </c>
    </row>
    <row r="64" spans="1:14" ht="24" customHeight="1" x14ac:dyDescent="0.2">
      <c r="A64" s="2461" t="s">
        <v>1022</v>
      </c>
      <c r="B64" s="2462"/>
      <c r="C64" s="2462"/>
      <c r="D64" s="1965">
        <v>2368</v>
      </c>
      <c r="E64" s="1975">
        <f>'Expenditures 15-22'!K326</f>
        <v>0</v>
      </c>
      <c r="F64" s="1970"/>
      <c r="G64" s="2029"/>
      <c r="H64" s="2030"/>
      <c r="I64" s="2030"/>
      <c r="J64" s="2030"/>
      <c r="K64" s="2030"/>
      <c r="L64" s="2030"/>
      <c r="M64" s="2030"/>
      <c r="N64" s="1973">
        <f t="shared" si="4"/>
        <v>0</v>
      </c>
    </row>
    <row r="65" spans="1:14" ht="24" customHeight="1" x14ac:dyDescent="0.2">
      <c r="A65" s="2461" t="s">
        <v>964</v>
      </c>
      <c r="B65" s="2462"/>
      <c r="C65" s="2462"/>
      <c r="D65" s="1965">
        <v>2369</v>
      </c>
      <c r="E65" s="1975">
        <f>'Expenditures 15-22'!K327</f>
        <v>3837</v>
      </c>
      <c r="F65" s="1970"/>
      <c r="G65" s="2029"/>
      <c r="H65" s="2030"/>
      <c r="I65" s="2030"/>
      <c r="J65" s="2030"/>
      <c r="K65" s="2030"/>
      <c r="L65" s="2030"/>
      <c r="M65" s="2030">
        <v>3837</v>
      </c>
      <c r="N65" s="1973">
        <f t="shared" si="4"/>
        <v>3837</v>
      </c>
    </row>
    <row r="66" spans="1:14" ht="24" customHeight="1" x14ac:dyDescent="0.2">
      <c r="A66" s="2461" t="s">
        <v>468</v>
      </c>
      <c r="B66" s="2462"/>
      <c r="C66" s="2462"/>
      <c r="D66" s="1965">
        <v>2371</v>
      </c>
      <c r="E66" s="1975">
        <f>'Expenditures 15-22'!K328</f>
        <v>0</v>
      </c>
      <c r="F66" s="1970"/>
      <c r="G66" s="2029"/>
      <c r="H66" s="2030"/>
      <c r="I66" s="2030"/>
      <c r="J66" s="2030"/>
      <c r="K66" s="2030"/>
      <c r="L66" s="2030"/>
      <c r="M66" s="2030"/>
      <c r="N66" s="1973">
        <f t="shared" si="4"/>
        <v>0</v>
      </c>
    </row>
    <row r="67" spans="1:14" ht="24.75" customHeight="1" x14ac:dyDescent="0.2">
      <c r="A67" s="2463" t="s">
        <v>2041</v>
      </c>
      <c r="B67" s="2464"/>
      <c r="C67" s="2464"/>
      <c r="D67" s="1967">
        <v>2372</v>
      </c>
      <c r="E67" s="1976">
        <f>'Expenditures 15-22'!K329</f>
        <v>13122</v>
      </c>
      <c r="F67" s="1970"/>
      <c r="G67" s="2031"/>
      <c r="H67" s="2032"/>
      <c r="I67" s="2032"/>
      <c r="J67" s="2032"/>
      <c r="K67" s="2032"/>
      <c r="L67" s="2032"/>
      <c r="M67" s="2032">
        <v>13122</v>
      </c>
      <c r="N67" s="1973">
        <f t="shared" si="4"/>
        <v>13122</v>
      </c>
    </row>
    <row r="68" spans="1:14" x14ac:dyDescent="0.2">
      <c r="A68" s="2465" t="s">
        <v>1150</v>
      </c>
      <c r="B68" s="2466"/>
      <c r="C68" s="2466"/>
      <c r="D68" s="1968"/>
      <c r="E68" s="1972">
        <f>SUM(E57:E67)</f>
        <v>332436</v>
      </c>
      <c r="F68" s="1971"/>
      <c r="G68" s="1972">
        <f t="shared" ref="G68:N68" si="5">SUM(G57:G67)</f>
        <v>51272</v>
      </c>
      <c r="H68" s="1972">
        <f t="shared" si="5"/>
        <v>0</v>
      </c>
      <c r="I68" s="1972">
        <f t="shared" si="5"/>
        <v>0</v>
      </c>
      <c r="J68" s="1972">
        <f t="shared" si="5"/>
        <v>0</v>
      </c>
      <c r="K68" s="1972">
        <f t="shared" si="5"/>
        <v>0</v>
      </c>
      <c r="L68" s="1972">
        <f t="shared" si="5"/>
        <v>0</v>
      </c>
      <c r="M68" s="1972">
        <f t="shared" si="5"/>
        <v>281164</v>
      </c>
      <c r="N68" s="1986">
        <f t="shared" si="5"/>
        <v>332436</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2042</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4294967295" verticalDpi="4294967295"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5"/>
  <sheetViews>
    <sheetView showGridLines="0" topLeftCell="A22" zoomScale="110" zoomScaleNormal="110" workbookViewId="0">
      <selection activeCell="T16" sqref="T1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4" spans="1:1" x14ac:dyDescent="0.2">
      <c r="A4" s="366" t="s">
        <v>2087</v>
      </c>
    </row>
    <row r="5" spans="1:1" x14ac:dyDescent="0.2">
      <c r="A5" s="847" t="s">
        <v>2088</v>
      </c>
    </row>
    <row r="6" spans="1:1" x14ac:dyDescent="0.2">
      <c r="A6" s="847" t="s">
        <v>2089</v>
      </c>
    </row>
    <row r="7" spans="1:1" x14ac:dyDescent="0.2">
      <c r="A7" s="847"/>
    </row>
    <row r="8" spans="1:1" x14ac:dyDescent="0.2">
      <c r="A8" s="847" t="s">
        <v>2090</v>
      </c>
    </row>
    <row r="9" spans="1:1" x14ac:dyDescent="0.2">
      <c r="A9" s="848" t="s">
        <v>2107</v>
      </c>
    </row>
    <row r="10" spans="1:1" x14ac:dyDescent="0.2">
      <c r="A10" s="848"/>
    </row>
    <row r="11" spans="1:1" x14ac:dyDescent="0.2">
      <c r="A11" s="848" t="s">
        <v>2091</v>
      </c>
    </row>
    <row r="12" spans="1:1" x14ac:dyDescent="0.2">
      <c r="A12" s="848" t="s">
        <v>2092</v>
      </c>
    </row>
    <row r="13" spans="1:1" x14ac:dyDescent="0.2">
      <c r="A13" s="848"/>
    </row>
    <row r="14" spans="1:1" x14ac:dyDescent="0.2">
      <c r="A14" s="848" t="s">
        <v>2094</v>
      </c>
    </row>
    <row r="15" spans="1:1" x14ac:dyDescent="0.2">
      <c r="A15" s="848" t="s">
        <v>2093</v>
      </c>
    </row>
    <row r="16" spans="1:1" x14ac:dyDescent="0.2">
      <c r="A16" s="848"/>
    </row>
    <row r="17" spans="1:1" x14ac:dyDescent="0.2">
      <c r="A17" s="848" t="s">
        <v>2108</v>
      </c>
    </row>
    <row r="18" spans="1:1" x14ac:dyDescent="0.2">
      <c r="A18" s="848" t="s">
        <v>2109</v>
      </c>
    </row>
    <row r="19" spans="1:1" x14ac:dyDescent="0.2">
      <c r="A19" s="848" t="s">
        <v>2110</v>
      </c>
    </row>
    <row r="20" spans="1:1" x14ac:dyDescent="0.2">
      <c r="A20" s="848" t="s">
        <v>2111</v>
      </c>
    </row>
    <row r="21" spans="1:1" x14ac:dyDescent="0.2">
      <c r="A21" s="848" t="s">
        <v>2118</v>
      </c>
    </row>
    <row r="22" spans="1:1" x14ac:dyDescent="0.2">
      <c r="A22" s="848"/>
    </row>
    <row r="23" spans="1:1" x14ac:dyDescent="0.2">
      <c r="A23" s="2036" t="s">
        <v>2095</v>
      </c>
    </row>
    <row r="24" spans="1:1" x14ac:dyDescent="0.2">
      <c r="A24" s="848" t="s">
        <v>2090</v>
      </c>
    </row>
    <row r="25" spans="1:1" x14ac:dyDescent="0.2">
      <c r="A25" s="848" t="s">
        <v>2096</v>
      </c>
    </row>
    <row r="26" spans="1:1" x14ac:dyDescent="0.2">
      <c r="A26" s="848" t="s">
        <v>2112</v>
      </c>
    </row>
    <row r="27" spans="1:1" x14ac:dyDescent="0.2">
      <c r="A27" s="848"/>
    </row>
    <row r="28" spans="1:1" x14ac:dyDescent="0.2">
      <c r="A28" s="848" t="s">
        <v>2091</v>
      </c>
    </row>
    <row r="29" spans="1:1" x14ac:dyDescent="0.2">
      <c r="A29" s="848" t="s">
        <v>2097</v>
      </c>
    </row>
    <row r="30" spans="1:1" x14ac:dyDescent="0.2">
      <c r="A30" s="848"/>
    </row>
    <row r="31" spans="1:1" x14ac:dyDescent="0.2">
      <c r="A31" s="2036" t="s">
        <v>2098</v>
      </c>
    </row>
    <row r="32" spans="1:1" x14ac:dyDescent="0.2">
      <c r="A32" s="848" t="s">
        <v>2099</v>
      </c>
    </row>
    <row r="33" spans="1:1" x14ac:dyDescent="0.2">
      <c r="A33" s="848" t="s">
        <v>2100</v>
      </c>
    </row>
    <row r="34" spans="1:1" x14ac:dyDescent="0.2">
      <c r="A34" s="848"/>
    </row>
    <row r="35" spans="1:1" x14ac:dyDescent="0.2">
      <c r="A35" s="2036" t="s">
        <v>337</v>
      </c>
    </row>
    <row r="36" spans="1:1" x14ac:dyDescent="0.2">
      <c r="A36" s="848" t="s">
        <v>2090</v>
      </c>
    </row>
    <row r="37" spans="1:1" x14ac:dyDescent="0.2">
      <c r="A37" s="848" t="s">
        <v>2101</v>
      </c>
    </row>
    <row r="38" spans="1:1" x14ac:dyDescent="0.2">
      <c r="A38" s="848"/>
    </row>
    <row r="39" spans="1:1" x14ac:dyDescent="0.2">
      <c r="A39" s="2036" t="s">
        <v>2102</v>
      </c>
    </row>
    <row r="40" spans="1:1" x14ac:dyDescent="0.2">
      <c r="A40" s="848" t="s">
        <v>2119</v>
      </c>
    </row>
    <row r="41" spans="1:1" x14ac:dyDescent="0.2">
      <c r="A41" s="848" t="s">
        <v>2120</v>
      </c>
    </row>
    <row r="42" spans="1:1" x14ac:dyDescent="0.2">
      <c r="A42" s="2036"/>
    </row>
    <row r="43" spans="1:1" x14ac:dyDescent="0.2">
      <c r="A43" s="848" t="s">
        <v>2103</v>
      </c>
    </row>
    <row r="44" spans="1:1" x14ac:dyDescent="0.2">
      <c r="A44" s="848" t="s">
        <v>2104</v>
      </c>
    </row>
    <row r="45" spans="1:1" x14ac:dyDescent="0.2">
      <c r="A45" s="848"/>
    </row>
    <row r="46" spans="1:1" x14ac:dyDescent="0.2">
      <c r="A46" s="848" t="s">
        <v>2105</v>
      </c>
    </row>
    <row r="47" spans="1:1" x14ac:dyDescent="0.2">
      <c r="A47" s="848" t="s">
        <v>2106</v>
      </c>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c r="B74" s="253" t="str">
        <f>COVER!A17</f>
        <v xml:space="preserve">  Bushnell Prarie City 170</v>
      </c>
    </row>
    <row r="75" spans="1:2" x14ac:dyDescent="0.2">
      <c r="B75" s="849">
        <f>COVER!A13</f>
        <v>26062170026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16" sqref="T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7" t="s">
        <v>1664</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114300</xdr:colOff>
                <xdr:row>4</xdr:row>
                <xdr:rowOff>152400</xdr:rowOff>
              </from>
              <to>
                <xdr:col>1</xdr:col>
                <xdr:colOff>904875</xdr:colOff>
                <xdr:row>9</xdr:row>
                <xdr:rowOff>28575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1524000</xdr:colOff>
                <xdr:row>4</xdr:row>
                <xdr:rowOff>76200</xdr:rowOff>
              </from>
              <to>
                <xdr:col>1</xdr:col>
                <xdr:colOff>2438400</xdr:colOff>
                <xdr:row>8</xdr:row>
                <xdr:rowOff>114300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16" sqref="T1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6636884</v>
      </c>
      <c r="C8" s="1813">
        <f>'Acct Summary 7-8'!D8</f>
        <v>515582</v>
      </c>
      <c r="D8" s="1813">
        <f>'Acct Summary 7-8'!F8</f>
        <v>312353</v>
      </c>
      <c r="E8" s="1813">
        <f>'Acct Summary 7-8'!I8</f>
        <v>33326.39</v>
      </c>
      <c r="F8" s="1813">
        <f>SUM(B8:E8)</f>
        <v>7498145.3899999997</v>
      </c>
    </row>
    <row r="9" spans="1:8" s="858" customFormat="1" ht="14.25" customHeight="1" thickBot="1" x14ac:dyDescent="0.25">
      <c r="A9" s="857" t="s">
        <v>1352</v>
      </c>
      <c r="B9" s="1814">
        <f>'Acct Summary 7-8'!C17</f>
        <v>6293736</v>
      </c>
      <c r="C9" s="1814">
        <f>'Acct Summary 7-8'!D17</f>
        <v>483634</v>
      </c>
      <c r="D9" s="1814">
        <f>'Acct Summary 7-8'!F17</f>
        <v>329633</v>
      </c>
      <c r="E9" s="1813"/>
      <c r="F9" s="1813">
        <f>SUM(B9:E9)</f>
        <v>7107003</v>
      </c>
    </row>
    <row r="10" spans="1:8" s="858" customFormat="1" ht="14.25" thickTop="1" thickBot="1" x14ac:dyDescent="0.25">
      <c r="A10" s="859" t="s">
        <v>1353</v>
      </c>
      <c r="B10" s="1815">
        <f>(B8-B9)</f>
        <v>343148</v>
      </c>
      <c r="C10" s="1815">
        <f>(C8-C9)</f>
        <v>31948</v>
      </c>
      <c r="D10" s="1815">
        <f>(D8-D9)</f>
        <v>-17280</v>
      </c>
      <c r="E10" s="1814">
        <f>(E8-E9)</f>
        <v>33326.39</v>
      </c>
      <c r="F10" s="1816">
        <f>SUM(F8-F9)</f>
        <v>391142.38999999966</v>
      </c>
    </row>
    <row r="11" spans="1:8" s="858" customFormat="1" ht="14.25" thickTop="1" thickBot="1" x14ac:dyDescent="0.25">
      <c r="A11" s="860" t="s">
        <v>1902</v>
      </c>
      <c r="B11" s="1817">
        <f>'Acct Summary 7-8'!C81</f>
        <v>4629493</v>
      </c>
      <c r="C11" s="1817">
        <f>'Acct Summary 7-8'!D81</f>
        <v>306511</v>
      </c>
      <c r="D11" s="1817">
        <f>'Acct Summary 7-8'!F81</f>
        <v>72837</v>
      </c>
      <c r="E11" s="1817">
        <f>'Acct Summary 7-8'!I81</f>
        <v>567083.39</v>
      </c>
      <c r="F11" s="1818">
        <f>SUM(B11:E11)</f>
        <v>5575924.3899999997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61" sqref="D6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ERROR!</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ERROR!</v>
      </c>
    </row>
    <row r="64" spans="1:4" x14ac:dyDescent="0.2">
      <c r="A64" s="879"/>
      <c r="B64" s="889"/>
      <c r="C64" s="897" t="s">
        <v>1341</v>
      </c>
      <c r="D64" s="903" t="str">
        <f>IF((('Assets-Liab 5-6'!J38 + 'Assets-Liab 5-6'!J39) ='Acct Summary 7-8'!J81), "OK", "ERROR!" )</f>
        <v>ERROR!</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99" t="str">
        <f>IF('Contracts Paid in CY 29'!$D$28&gt;0,"OK","PLEASE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horizontalDpi="4294967295" verticalDpi="4294967295"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1966</v>
      </c>
      <c r="F1" s="1543" t="s">
        <v>1967</v>
      </c>
      <c r="G1" s="1898" t="s">
        <v>1977</v>
      </c>
    </row>
    <row r="2" spans="1:7" ht="15.75" x14ac:dyDescent="0.25">
      <c r="A2" t="s">
        <v>259</v>
      </c>
      <c r="B2" s="135">
        <f>COVER!A13</f>
        <v>26062170026</v>
      </c>
      <c r="E2" s="1542">
        <v>2020</v>
      </c>
      <c r="F2" s="1542">
        <v>1</v>
      </c>
      <c r="G2" s="1897">
        <v>101000300</v>
      </c>
    </row>
    <row r="3" spans="1:7" ht="15" x14ac:dyDescent="0.25">
      <c r="A3" t="s">
        <v>949</v>
      </c>
      <c r="B3" s="135" t="str">
        <f>COVER!A15</f>
        <v>McDonough</v>
      </c>
      <c r="E3" s="1830" t="s">
        <v>1970</v>
      </c>
      <c r="F3" s="1830" t="s">
        <v>1969</v>
      </c>
      <c r="G3" s="1897">
        <v>101000400</v>
      </c>
    </row>
    <row r="4" spans="1:7" ht="15" x14ac:dyDescent="0.25">
      <c r="A4" t="s">
        <v>999</v>
      </c>
      <c r="B4" s="135" t="str">
        <f>COVER!A17</f>
        <v xml:space="preserve">  Bushnell Prarie City 170</v>
      </c>
      <c r="E4" s="1828">
        <v>44119</v>
      </c>
      <c r="F4" s="1829">
        <v>44151</v>
      </c>
      <c r="G4" s="1897">
        <v>101000600</v>
      </c>
    </row>
    <row r="5" spans="1:7" ht="15" x14ac:dyDescent="0.25">
      <c r="A5" t="s">
        <v>698</v>
      </c>
      <c r="B5" s="135" t="str">
        <f>COVER!A38</f>
        <v>Kathy Dinger</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t="str">
        <f>COVER!T38</f>
        <v>John Meixner</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1525</v>
      </c>
      <c r="B12" s="135" t="str">
        <f>IF(COVER!J29="x","Yes",IF(COVER!L29="X","No",0))</f>
        <v>No</v>
      </c>
      <c r="G12" s="1897">
        <v>202100600</v>
      </c>
    </row>
    <row r="13" spans="1:7" ht="15" x14ac:dyDescent="0.25">
      <c r="A13" s="1" t="s">
        <v>1526</v>
      </c>
      <c r="B13" s="135" t="str">
        <f>IF(COVER!J30="x","Yes",IF(COVER!L30="x","No",0))</f>
        <v>No</v>
      </c>
      <c r="G13" s="1897">
        <v>202100800</v>
      </c>
    </row>
    <row r="14" spans="1:7" ht="15" x14ac:dyDescent="0.25">
      <c r="A14" t="s">
        <v>472</v>
      </c>
      <c r="B14" s="135" t="str">
        <f>IF(COVER!J31="x","Yes",IF(COVER!L31="x","No",0))</f>
        <v>No</v>
      </c>
      <c r="G14" s="1897">
        <v>402100300</v>
      </c>
    </row>
    <row r="15" spans="1:7" ht="15" x14ac:dyDescent="0.25">
      <c r="A15" t="s">
        <v>572</v>
      </c>
      <c r="B15" s="135">
        <f>COVER!T23</f>
        <v>60.008476000000002</v>
      </c>
      <c r="G15" s="1897">
        <v>402100400</v>
      </c>
    </row>
    <row r="16" spans="1:7" ht="15" x14ac:dyDescent="0.25">
      <c r="A16" t="s">
        <v>418</v>
      </c>
      <c r="B16" s="135" t="str">
        <f>COVER!T13</f>
        <v>Cavanaugh, Davies, Blackman &amp; Cramblet, CPA's</v>
      </c>
      <c r="G16" s="1897">
        <v>402100600</v>
      </c>
    </row>
    <row r="17" spans="1:7" ht="15" x14ac:dyDescent="0.25">
      <c r="A17" t="s">
        <v>877</v>
      </c>
      <c r="B17" s="135" t="str">
        <f>COVER!T15</f>
        <v>Rod Davies</v>
      </c>
      <c r="G17" s="1897">
        <v>402100800</v>
      </c>
    </row>
    <row r="18" spans="1:7" ht="15" x14ac:dyDescent="0.25">
      <c r="A18" t="s">
        <v>1139</v>
      </c>
      <c r="B18" s="135" t="str">
        <f>COVER!T17</f>
        <v>1021 N. Main St., PO Box 318</v>
      </c>
      <c r="G18" s="1897">
        <v>102200300</v>
      </c>
    </row>
    <row r="19" spans="1:7" ht="15" x14ac:dyDescent="0.25">
      <c r="A19" t="s">
        <v>879</v>
      </c>
      <c r="B19" s="135" t="str">
        <f>COVER!T25</f>
        <v>cdbccpas@monmouthcpa.com</v>
      </c>
      <c r="G19" s="1897">
        <v>102200400</v>
      </c>
    </row>
    <row r="20" spans="1:7" ht="15" x14ac:dyDescent="0.25">
      <c r="A20" t="s">
        <v>880</v>
      </c>
      <c r="B20" s="135" t="str">
        <f>COVER!T19</f>
        <v>Monmouth</v>
      </c>
      <c r="G20" s="1897">
        <v>102200600</v>
      </c>
    </row>
    <row r="21" spans="1:7" ht="15" x14ac:dyDescent="0.25">
      <c r="A21" t="s">
        <v>475</v>
      </c>
      <c r="B21" s="135" t="str">
        <f>COVER!X19</f>
        <v>IL</v>
      </c>
      <c r="G21" s="1897">
        <v>102200800</v>
      </c>
    </row>
    <row r="22" spans="1:7" ht="15" x14ac:dyDescent="0.25">
      <c r="A22" t="s">
        <v>881</v>
      </c>
      <c r="B22" s="135">
        <f>COVER!Z19</f>
        <v>61462</v>
      </c>
      <c r="G22" s="1897">
        <v>102300300</v>
      </c>
    </row>
    <row r="23" spans="1:7" ht="15" x14ac:dyDescent="0.25">
      <c r="A23" t="s">
        <v>1141</v>
      </c>
      <c r="B23" s="135" t="str">
        <f>COVER!T21</f>
        <v>309-734-2330</v>
      </c>
      <c r="G23" s="1897">
        <v>102300400</v>
      </c>
    </row>
    <row r="24" spans="1:7" ht="15" x14ac:dyDescent="0.25">
      <c r="A24" t="s">
        <v>1140</v>
      </c>
      <c r="B24" s="135">
        <f>COVER!Y21</f>
        <v>0</v>
      </c>
      <c r="G24" s="1897">
        <v>102300600</v>
      </c>
    </row>
    <row r="25" spans="1:7" ht="15" x14ac:dyDescent="0.25">
      <c r="A25" t="s">
        <v>755</v>
      </c>
      <c r="B25" s="135">
        <f>COVER!B34</f>
        <v>0</v>
      </c>
      <c r="G25" s="1897">
        <v>102300800</v>
      </c>
    </row>
    <row r="26" spans="1:7" ht="15" x14ac:dyDescent="0.25">
      <c r="A26" t="s">
        <v>1142</v>
      </c>
      <c r="B26" s="135">
        <f>COVER!L34</f>
        <v>0</v>
      </c>
      <c r="G26" s="1897">
        <v>802300300</v>
      </c>
    </row>
    <row r="27" spans="1:7" ht="15" x14ac:dyDescent="0.25">
      <c r="A27" t="s">
        <v>265</v>
      </c>
      <c r="B27" s="135" t="str">
        <f>COVER!U34</f>
        <v>x</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Yes</v>
      </c>
      <c r="G47" s="1897">
        <v>102540400</v>
      </c>
    </row>
    <row r="48" spans="1:7" ht="15" x14ac:dyDescent="0.25">
      <c r="A48" t="s">
        <v>479</v>
      </c>
      <c r="B48" s="135" t="str">
        <f>IF('Aud Quest 2'!B51="x","Yes",IF('Aud Quest 2'!B51&lt;&gt;"x","0"))</f>
        <v>0</v>
      </c>
      <c r="G48" s="1897">
        <v>102540600</v>
      </c>
    </row>
    <row r="49" spans="1:7" ht="15" x14ac:dyDescent="0.25">
      <c r="A49" s="1" t="s">
        <v>1463</v>
      </c>
      <c r="B49" s="135" t="str">
        <f>IF('Aud Quest 2'!B53="x","Yes",IF('Aud Quest 2'!B53&lt;&gt;"x","0"))</f>
        <v>0</v>
      </c>
      <c r="G49" s="1897">
        <v>102540800</v>
      </c>
    </row>
    <row r="50" spans="1:7" ht="15" x14ac:dyDescent="0.25">
      <c r="A50" s="1" t="s">
        <v>1462</v>
      </c>
      <c r="B50" s="146">
        <f>'Aud Quest 2'!H53</f>
        <v>0</v>
      </c>
      <c r="G50" s="1897">
        <v>202540300</v>
      </c>
    </row>
    <row r="51" spans="1:7" ht="15" x14ac:dyDescent="0.25">
      <c r="A51" s="1" t="s">
        <v>1464</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2"/>
      <c r="D62" s="2" t="str">
        <f>IF(ISBLANK(B62),"OK",IF(A62-B62=0,"OK","Error?"))</f>
        <v>OK</v>
      </c>
      <c r="G62" s="1897">
        <v>202550300</v>
      </c>
    </row>
    <row r="63" spans="1:7" ht="15" x14ac:dyDescent="0.25">
      <c r="A63" s="10">
        <v>2</v>
      </c>
      <c r="B63" s="1832"/>
      <c r="D63" s="2" t="str">
        <f t="shared" ref="D63:D126" si="0">IF(ISBLANK(B63),"OK",IF(A63-B63=0,"OK","Error?"))</f>
        <v>OK</v>
      </c>
      <c r="G63" s="1897">
        <v>202550400</v>
      </c>
    </row>
    <row r="64" spans="1:7" ht="15" x14ac:dyDescent="0.25">
      <c r="A64" s="10">
        <v>3</v>
      </c>
      <c r="B64" s="1832"/>
      <c r="D64" s="2" t="str">
        <f t="shared" si="0"/>
        <v>OK</v>
      </c>
      <c r="G64" s="1897">
        <v>202550600</v>
      </c>
    </row>
    <row r="65" spans="1:7" ht="15" x14ac:dyDescent="0.25">
      <c r="A65" s="5">
        <v>4</v>
      </c>
      <c r="B65" s="1832">
        <f>'Assets-Liab 5-6'!C6</f>
        <v>0</v>
      </c>
      <c r="D65" s="2" t="str">
        <f t="shared" si="0"/>
        <v>Error?</v>
      </c>
      <c r="G65" s="1897">
        <v>202550800</v>
      </c>
    </row>
    <row r="66" spans="1:7" ht="15" x14ac:dyDescent="0.25">
      <c r="A66" s="10">
        <v>5</v>
      </c>
      <c r="B66" s="1832"/>
      <c r="D66" s="2" t="str">
        <f t="shared" si="0"/>
        <v>OK</v>
      </c>
      <c r="G66" s="1897">
        <v>402550300</v>
      </c>
    </row>
    <row r="67" spans="1:7" ht="15" x14ac:dyDescent="0.25">
      <c r="A67" s="10">
        <v>6</v>
      </c>
      <c r="B67" s="1832"/>
      <c r="D67" s="2" t="str">
        <f t="shared" si="0"/>
        <v>OK</v>
      </c>
      <c r="G67" s="1897">
        <v>402550400</v>
      </c>
    </row>
    <row r="68" spans="1:7" ht="15" x14ac:dyDescent="0.25">
      <c r="A68" s="10">
        <v>7</v>
      </c>
      <c r="B68" s="1832"/>
      <c r="D68" s="2" t="str">
        <f t="shared" si="0"/>
        <v>OK</v>
      </c>
      <c r="G68" s="1897">
        <v>402550600</v>
      </c>
    </row>
    <row r="69" spans="1:7" ht="15" x14ac:dyDescent="0.25">
      <c r="A69" s="10">
        <v>8</v>
      </c>
      <c r="B69" s="1832"/>
      <c r="D69" s="2" t="str">
        <f t="shared" si="0"/>
        <v>OK</v>
      </c>
      <c r="G69" s="1897">
        <v>402550800</v>
      </c>
    </row>
    <row r="70" spans="1:7" ht="15" x14ac:dyDescent="0.25">
      <c r="A70" s="10">
        <v>9</v>
      </c>
      <c r="B70" s="1832"/>
      <c r="D70" s="2" t="str">
        <f t="shared" si="0"/>
        <v>OK</v>
      </c>
      <c r="G70" s="1897">
        <v>102560300</v>
      </c>
    </row>
    <row r="71" spans="1:7" ht="15" x14ac:dyDescent="0.25">
      <c r="A71" s="10">
        <v>10</v>
      </c>
      <c r="B71" s="1832"/>
      <c r="D71" s="2" t="str">
        <f t="shared" si="0"/>
        <v>OK</v>
      </c>
      <c r="G71" s="1897">
        <v>102560400</v>
      </c>
    </row>
    <row r="72" spans="1:7" ht="15" x14ac:dyDescent="0.25">
      <c r="A72" s="5">
        <v>11</v>
      </c>
      <c r="B72" s="1832">
        <f>'Assets-Liab 5-6'!C10</f>
        <v>0</v>
      </c>
      <c r="D72" s="2" t="str">
        <f t="shared" si="0"/>
        <v>Error?</v>
      </c>
      <c r="G72" s="1897">
        <v>102560600</v>
      </c>
    </row>
    <row r="73" spans="1:7" ht="15" x14ac:dyDescent="0.25">
      <c r="A73" s="5">
        <v>12</v>
      </c>
      <c r="B73" s="1832">
        <f>'Assets-Liab 5-6'!C5</f>
        <v>1908152</v>
      </c>
      <c r="D73" s="2" t="str">
        <f t="shared" si="0"/>
        <v>Error?</v>
      </c>
      <c r="G73" s="1897">
        <v>102560800</v>
      </c>
    </row>
    <row r="74" spans="1:7" ht="15" x14ac:dyDescent="0.25">
      <c r="A74" s="10">
        <v>13</v>
      </c>
      <c r="B74" s="1832"/>
      <c r="D74" s="2" t="str">
        <f t="shared" si="0"/>
        <v>OK</v>
      </c>
      <c r="G74" s="1897">
        <v>102570300</v>
      </c>
    </row>
    <row r="75" spans="1:7" ht="15" x14ac:dyDescent="0.25">
      <c r="A75" s="10">
        <v>14</v>
      </c>
      <c r="B75" s="1832"/>
      <c r="D75" s="2" t="str">
        <f t="shared" si="0"/>
        <v>OK</v>
      </c>
      <c r="G75" s="1897">
        <v>102570400</v>
      </c>
    </row>
    <row r="76" spans="1:7" ht="15" x14ac:dyDescent="0.25">
      <c r="A76" s="5">
        <v>15</v>
      </c>
      <c r="B76" s="1832">
        <f>'Assets-Liab 5-6'!C12</f>
        <v>0</v>
      </c>
      <c r="D76" s="2" t="str">
        <f t="shared" si="0"/>
        <v>Error?</v>
      </c>
      <c r="G76" s="1897">
        <v>102570600</v>
      </c>
    </row>
    <row r="77" spans="1:7" ht="15" x14ac:dyDescent="0.25">
      <c r="A77" s="5">
        <v>16</v>
      </c>
      <c r="B77" s="1832">
        <f>'Assets-Liab 5-6'!C13</f>
        <v>4629493</v>
      </c>
      <c r="C77" s="2" t="s">
        <v>568</v>
      </c>
      <c r="D77" s="2" t="str">
        <f t="shared" si="0"/>
        <v>Error?</v>
      </c>
      <c r="G77" s="1897">
        <v>102570800</v>
      </c>
    </row>
    <row r="78" spans="1:7" ht="15" x14ac:dyDescent="0.25">
      <c r="A78" s="10">
        <v>17</v>
      </c>
      <c r="B78" s="1832"/>
      <c r="D78" s="2" t="str">
        <f t="shared" si="0"/>
        <v>OK</v>
      </c>
      <c r="G78" s="1897">
        <v>102610300</v>
      </c>
    </row>
    <row r="79" spans="1:7" ht="15" x14ac:dyDescent="0.25">
      <c r="A79" s="10">
        <v>18</v>
      </c>
      <c r="B79" s="1832"/>
      <c r="D79" s="2" t="str">
        <f t="shared" si="0"/>
        <v>OK</v>
      </c>
      <c r="G79" s="1897">
        <v>102610400</v>
      </c>
    </row>
    <row r="80" spans="1:7" ht="15" x14ac:dyDescent="0.25">
      <c r="A80" s="10">
        <v>19</v>
      </c>
      <c r="B80" s="1832"/>
      <c r="D80" s="2" t="str">
        <f t="shared" si="0"/>
        <v>OK</v>
      </c>
      <c r="G80" s="1897">
        <v>102610600</v>
      </c>
    </row>
    <row r="81" spans="1:7" ht="15" x14ac:dyDescent="0.25">
      <c r="A81" s="10">
        <v>20</v>
      </c>
      <c r="B81" s="1832"/>
      <c r="D81" s="2" t="str">
        <f t="shared" si="0"/>
        <v>OK</v>
      </c>
      <c r="G81" s="1897">
        <v>102610800</v>
      </c>
    </row>
    <row r="82" spans="1:7" ht="15" x14ac:dyDescent="0.25">
      <c r="A82" s="10">
        <v>21</v>
      </c>
      <c r="B82" s="1832"/>
      <c r="D82" s="2" t="str">
        <f t="shared" si="0"/>
        <v>OK</v>
      </c>
      <c r="G82" s="1897">
        <v>102620300</v>
      </c>
    </row>
    <row r="83" spans="1:7" ht="15" x14ac:dyDescent="0.25">
      <c r="A83" s="10">
        <v>22</v>
      </c>
      <c r="B83" s="1832"/>
      <c r="D83" s="2" t="str">
        <f t="shared" si="0"/>
        <v>OK</v>
      </c>
      <c r="G83" s="1897">
        <v>102620400</v>
      </c>
    </row>
    <row r="84" spans="1:7" ht="15" x14ac:dyDescent="0.25">
      <c r="A84" s="10">
        <v>23</v>
      </c>
      <c r="B84" s="1832"/>
      <c r="D84" s="2" t="str">
        <f t="shared" si="0"/>
        <v>OK</v>
      </c>
      <c r="G84" s="1897">
        <v>102620600</v>
      </c>
    </row>
    <row r="85" spans="1:7" ht="15" x14ac:dyDescent="0.25">
      <c r="A85" s="10">
        <v>24</v>
      </c>
      <c r="B85" s="1832"/>
      <c r="D85" s="2" t="str">
        <f t="shared" si="0"/>
        <v>OK</v>
      </c>
      <c r="G85" s="1897">
        <v>102620800</v>
      </c>
    </row>
    <row r="86" spans="1:7" ht="15" x14ac:dyDescent="0.25">
      <c r="A86" s="12">
        <v>25</v>
      </c>
      <c r="B86" s="1832">
        <f>'Assets-Liab 5-6'!C31</f>
        <v>0</v>
      </c>
      <c r="D86" s="2" t="str">
        <f t="shared" si="0"/>
        <v>Error?</v>
      </c>
      <c r="G86" s="1897">
        <v>102630300</v>
      </c>
    </row>
    <row r="87" spans="1:7" ht="15" x14ac:dyDescent="0.25">
      <c r="A87" s="10">
        <v>26</v>
      </c>
      <c r="B87" s="1832"/>
      <c r="D87" s="2" t="str">
        <f t="shared" si="0"/>
        <v>OK</v>
      </c>
      <c r="G87" s="1897">
        <v>102630400</v>
      </c>
    </row>
    <row r="88" spans="1:7" ht="15" x14ac:dyDescent="0.25">
      <c r="A88" s="5">
        <v>27</v>
      </c>
      <c r="B88" s="1832">
        <f>'Assets-Liab 5-6'!C32</f>
        <v>0</v>
      </c>
      <c r="D88" s="2" t="str">
        <f t="shared" si="0"/>
        <v>Error?</v>
      </c>
      <c r="G88" s="1897">
        <v>102630600</v>
      </c>
    </row>
    <row r="89" spans="1:7" ht="15" x14ac:dyDescent="0.25">
      <c r="A89" s="10">
        <v>28</v>
      </c>
      <c r="B89" s="1832"/>
      <c r="D89" s="2" t="str">
        <f t="shared" si="0"/>
        <v>OK</v>
      </c>
      <c r="G89" s="1897">
        <v>102630800</v>
      </c>
    </row>
    <row r="90" spans="1:7" ht="15" x14ac:dyDescent="0.25">
      <c r="A90" s="10">
        <v>29</v>
      </c>
      <c r="B90" s="1832"/>
      <c r="D90" s="2" t="str">
        <f t="shared" si="0"/>
        <v>OK</v>
      </c>
      <c r="G90" s="1897">
        <v>102640300</v>
      </c>
    </row>
    <row r="91" spans="1:7" ht="15" x14ac:dyDescent="0.25">
      <c r="A91" s="5">
        <v>30</v>
      </c>
      <c r="B91" s="1832">
        <f>'Assets-Liab 5-6'!C34</f>
        <v>0</v>
      </c>
      <c r="C91" s="2" t="s">
        <v>568</v>
      </c>
      <c r="D91" s="2" t="str">
        <f t="shared" si="0"/>
        <v>Error?</v>
      </c>
      <c r="G91" s="1897">
        <v>102640400</v>
      </c>
    </row>
    <row r="92" spans="1:7" ht="15" x14ac:dyDescent="0.25">
      <c r="A92" s="5">
        <v>31</v>
      </c>
      <c r="B92" s="1832">
        <f>'Assets-Liab 5-6'!C39</f>
        <v>4592327</v>
      </c>
      <c r="D92" s="2" t="str">
        <f t="shared" si="0"/>
        <v>Error?</v>
      </c>
      <c r="G92" s="1897">
        <v>102640600</v>
      </c>
    </row>
    <row r="93" spans="1:7" ht="15" x14ac:dyDescent="0.25">
      <c r="A93" s="5">
        <v>32</v>
      </c>
      <c r="B93" s="1832">
        <f>'Assets-Liab 5-6'!C41</f>
        <v>4629493</v>
      </c>
      <c r="C93" s="2" t="s">
        <v>568</v>
      </c>
      <c r="D93" s="2" t="str">
        <f t="shared" si="0"/>
        <v>Error?</v>
      </c>
      <c r="G93" s="1897">
        <v>102640800</v>
      </c>
    </row>
    <row r="94" spans="1:7" ht="15" x14ac:dyDescent="0.25">
      <c r="A94" s="10">
        <v>33</v>
      </c>
      <c r="B94" s="1832"/>
      <c r="D94" s="2" t="str">
        <f t="shared" si="0"/>
        <v>OK</v>
      </c>
      <c r="G94" s="1897">
        <v>102660300</v>
      </c>
    </row>
    <row r="95" spans="1:7" ht="15" x14ac:dyDescent="0.25">
      <c r="A95" s="10">
        <v>34</v>
      </c>
      <c r="B95" s="1832"/>
      <c r="D95" s="2" t="str">
        <f t="shared" si="0"/>
        <v>OK</v>
      </c>
      <c r="G95" s="1897">
        <v>102660400</v>
      </c>
    </row>
    <row r="96" spans="1:7" ht="15" x14ac:dyDescent="0.25">
      <c r="A96" s="10">
        <v>35</v>
      </c>
      <c r="B96" s="1832"/>
      <c r="D96" s="2" t="str">
        <f t="shared" si="0"/>
        <v>OK</v>
      </c>
      <c r="G96" s="1897">
        <v>102660600</v>
      </c>
    </row>
    <row r="97" spans="1:7" ht="15" x14ac:dyDescent="0.25">
      <c r="A97" s="5">
        <v>36</v>
      </c>
      <c r="B97" s="1832">
        <f>'Assets-Liab 5-6'!D6</f>
        <v>0</v>
      </c>
      <c r="D97" s="2" t="str">
        <f t="shared" si="0"/>
        <v>Error?</v>
      </c>
      <c r="G97" s="1897">
        <v>102660800</v>
      </c>
    </row>
    <row r="98" spans="1:7" ht="15" x14ac:dyDescent="0.25">
      <c r="A98" s="10">
        <v>37</v>
      </c>
      <c r="B98" s="1832"/>
      <c r="D98" s="2" t="str">
        <f t="shared" si="0"/>
        <v>OK</v>
      </c>
      <c r="G98" s="1897">
        <v>102900300</v>
      </c>
    </row>
    <row r="99" spans="1:7" ht="15" x14ac:dyDescent="0.25">
      <c r="A99" s="10">
        <v>38</v>
      </c>
      <c r="B99" s="1832"/>
      <c r="D99" s="2" t="str">
        <f t="shared" si="0"/>
        <v>OK</v>
      </c>
      <c r="G99" s="1897">
        <v>102900400</v>
      </c>
    </row>
    <row r="100" spans="1:7" ht="15" x14ac:dyDescent="0.25">
      <c r="A100" s="10">
        <v>39</v>
      </c>
      <c r="B100" s="1832"/>
      <c r="D100" s="2" t="str">
        <f t="shared" si="0"/>
        <v>OK</v>
      </c>
      <c r="G100" s="1897">
        <v>102900600</v>
      </c>
    </row>
    <row r="101" spans="1:7" ht="15" x14ac:dyDescent="0.25">
      <c r="A101" s="10">
        <v>40</v>
      </c>
      <c r="B101" s="1832"/>
      <c r="D101" s="2" t="str">
        <f t="shared" si="0"/>
        <v>OK</v>
      </c>
      <c r="G101" s="1897">
        <v>102900800</v>
      </c>
    </row>
    <row r="102" spans="1:7" ht="15" x14ac:dyDescent="0.25">
      <c r="A102" s="10">
        <v>41</v>
      </c>
      <c r="B102" s="1832"/>
      <c r="D102" s="2" t="str">
        <f t="shared" si="0"/>
        <v>OK</v>
      </c>
      <c r="G102" s="1897">
        <v>202900300</v>
      </c>
    </row>
    <row r="103" spans="1:7" ht="15" x14ac:dyDescent="0.25">
      <c r="A103" s="10">
        <v>42</v>
      </c>
      <c r="B103" s="1832"/>
      <c r="D103" s="2" t="str">
        <f t="shared" si="0"/>
        <v>OK</v>
      </c>
      <c r="G103" s="1897">
        <v>202900400</v>
      </c>
    </row>
    <row r="104" spans="1:7" ht="15" x14ac:dyDescent="0.25">
      <c r="A104" s="5">
        <v>43</v>
      </c>
      <c r="B104" s="1832">
        <f>'Assets-Liab 5-6'!D10</f>
        <v>0</v>
      </c>
      <c r="D104" s="2" t="str">
        <f t="shared" si="0"/>
        <v>Error?</v>
      </c>
      <c r="G104" s="1897">
        <v>202900600</v>
      </c>
    </row>
    <row r="105" spans="1:7" ht="15" x14ac:dyDescent="0.25">
      <c r="A105" s="5">
        <v>44</v>
      </c>
      <c r="B105" s="1832">
        <f>'Assets-Liab 5-6'!D5</f>
        <v>0</v>
      </c>
      <c r="D105" s="2" t="str">
        <f t="shared" si="0"/>
        <v>Error?</v>
      </c>
      <c r="G105" s="1897">
        <v>202900800</v>
      </c>
    </row>
    <row r="106" spans="1:7" ht="15" x14ac:dyDescent="0.25">
      <c r="A106" s="10">
        <v>45</v>
      </c>
      <c r="B106" s="1832"/>
      <c r="D106" s="2" t="str">
        <f t="shared" si="0"/>
        <v>OK</v>
      </c>
      <c r="G106" s="1897">
        <v>402900300</v>
      </c>
    </row>
    <row r="107" spans="1:7" ht="15" x14ac:dyDescent="0.25">
      <c r="A107" s="10">
        <v>46</v>
      </c>
      <c r="B107" s="1832"/>
      <c r="D107" s="2" t="str">
        <f t="shared" si="0"/>
        <v>OK</v>
      </c>
      <c r="G107" s="1897">
        <v>402900400</v>
      </c>
    </row>
    <row r="108" spans="1:7" ht="15" x14ac:dyDescent="0.25">
      <c r="A108" s="5">
        <v>47</v>
      </c>
      <c r="B108" s="1832">
        <f>'Assets-Liab 5-6'!D12</f>
        <v>0</v>
      </c>
      <c r="D108" s="2" t="str">
        <f t="shared" si="0"/>
        <v>Error?</v>
      </c>
      <c r="G108" s="1897">
        <v>402900600</v>
      </c>
    </row>
    <row r="109" spans="1:7" ht="15" x14ac:dyDescent="0.25">
      <c r="A109" s="5">
        <v>48</v>
      </c>
      <c r="B109" s="1832">
        <f>'Assets-Liab 5-6'!D13</f>
        <v>306511</v>
      </c>
      <c r="C109" s="2" t="s">
        <v>568</v>
      </c>
      <c r="D109" s="2" t="str">
        <f t="shared" si="0"/>
        <v>Error?</v>
      </c>
      <c r="G109" s="1897">
        <v>402900800</v>
      </c>
    </row>
    <row r="110" spans="1:7" ht="15" x14ac:dyDescent="0.25">
      <c r="A110" s="10">
        <v>49</v>
      </c>
      <c r="B110" s="1832"/>
      <c r="D110" s="2" t="str">
        <f t="shared" si="0"/>
        <v>OK</v>
      </c>
      <c r="G110" s="1897">
        <v>602900300</v>
      </c>
    </row>
    <row r="111" spans="1:7" ht="15" x14ac:dyDescent="0.25">
      <c r="A111" s="10">
        <v>50</v>
      </c>
      <c r="B111" s="1832"/>
      <c r="D111" s="2" t="str">
        <f t="shared" si="0"/>
        <v>OK</v>
      </c>
      <c r="G111" s="1897">
        <v>602900400</v>
      </c>
    </row>
    <row r="112" spans="1:7" ht="15" x14ac:dyDescent="0.25">
      <c r="A112" s="10">
        <v>51</v>
      </c>
      <c r="B112" s="1832"/>
      <c r="D112" s="2" t="str">
        <f t="shared" si="0"/>
        <v>OK</v>
      </c>
      <c r="G112" s="1897">
        <v>602900600</v>
      </c>
    </row>
    <row r="113" spans="1:7" ht="15" x14ac:dyDescent="0.25">
      <c r="A113" s="10">
        <v>52</v>
      </c>
      <c r="B113" s="1832"/>
      <c r="D113" s="2" t="str">
        <f t="shared" si="0"/>
        <v>OK</v>
      </c>
      <c r="G113" s="1897">
        <v>602900800</v>
      </c>
    </row>
    <row r="114" spans="1:7" ht="15" x14ac:dyDescent="0.25">
      <c r="A114" s="10">
        <v>53</v>
      </c>
      <c r="B114" s="1832"/>
      <c r="D114" s="2" t="str">
        <f t="shared" si="0"/>
        <v>OK</v>
      </c>
      <c r="G114" s="1897">
        <v>902900300</v>
      </c>
    </row>
    <row r="115" spans="1:7" ht="15" x14ac:dyDescent="0.25">
      <c r="A115" s="10">
        <v>54</v>
      </c>
      <c r="B115" s="1832"/>
      <c r="D115" s="2" t="str">
        <f t="shared" si="0"/>
        <v>OK</v>
      </c>
      <c r="G115" s="1897">
        <v>902900400</v>
      </c>
    </row>
    <row r="116" spans="1:7" ht="15" x14ac:dyDescent="0.25">
      <c r="A116" s="10">
        <v>55</v>
      </c>
      <c r="B116" s="1832"/>
      <c r="D116" s="2" t="str">
        <f t="shared" si="0"/>
        <v>OK</v>
      </c>
      <c r="G116" s="1897">
        <v>902900600</v>
      </c>
    </row>
    <row r="117" spans="1:7" ht="15" x14ac:dyDescent="0.25">
      <c r="A117" s="5">
        <v>56</v>
      </c>
      <c r="B117" s="1832">
        <f>'Assets-Liab 5-6'!D31</f>
        <v>0</v>
      </c>
      <c r="D117" s="2" t="str">
        <f t="shared" si="0"/>
        <v>Error?</v>
      </c>
      <c r="G117" s="1897">
        <v>902900800</v>
      </c>
    </row>
    <row r="118" spans="1:7" ht="15" x14ac:dyDescent="0.25">
      <c r="A118" s="10">
        <v>57</v>
      </c>
      <c r="B118" s="1832"/>
      <c r="D118" s="2" t="str">
        <f t="shared" si="0"/>
        <v>OK</v>
      </c>
      <c r="G118" s="1897">
        <v>103000300</v>
      </c>
    </row>
    <row r="119" spans="1:7" ht="15" x14ac:dyDescent="0.25">
      <c r="A119" s="5">
        <v>58</v>
      </c>
      <c r="B119" s="1832">
        <f>'Assets-Liab 5-6'!D32</f>
        <v>0</v>
      </c>
      <c r="D119" s="2" t="str">
        <f t="shared" si="0"/>
        <v>Error?</v>
      </c>
      <c r="G119" s="1897">
        <v>103000400</v>
      </c>
    </row>
    <row r="120" spans="1:7" ht="15" x14ac:dyDescent="0.25">
      <c r="A120" s="10">
        <v>59</v>
      </c>
      <c r="B120" s="1832"/>
      <c r="D120" s="2" t="str">
        <f t="shared" si="0"/>
        <v>OK</v>
      </c>
      <c r="G120" s="1897">
        <v>103000600</v>
      </c>
    </row>
    <row r="121" spans="1:7" ht="15" x14ac:dyDescent="0.25">
      <c r="A121" s="10">
        <v>60</v>
      </c>
      <c r="B121" s="1832"/>
      <c r="D121" s="2" t="str">
        <f t="shared" si="0"/>
        <v>OK</v>
      </c>
      <c r="G121" s="1897">
        <v>103000800</v>
      </c>
    </row>
    <row r="122" spans="1:7" ht="15" x14ac:dyDescent="0.25">
      <c r="A122" s="5">
        <v>61</v>
      </c>
      <c r="B122" s="1832">
        <f>'Assets-Liab 5-6'!D34</f>
        <v>0</v>
      </c>
      <c r="C122" s="2" t="s">
        <v>568</v>
      </c>
      <c r="D122" s="2" t="str">
        <f t="shared" si="0"/>
        <v>Error?</v>
      </c>
      <c r="G122" s="1897">
        <v>203000300</v>
      </c>
    </row>
    <row r="123" spans="1:7" ht="15" x14ac:dyDescent="0.25">
      <c r="A123" s="5">
        <v>62</v>
      </c>
      <c r="B123" s="1832">
        <f>'Assets-Liab 5-6'!D39</f>
        <v>306511</v>
      </c>
      <c r="D123" s="2" t="str">
        <f t="shared" si="0"/>
        <v>Error?</v>
      </c>
      <c r="G123" s="1897">
        <v>203000400</v>
      </c>
    </row>
    <row r="124" spans="1:7" ht="15" x14ac:dyDescent="0.25">
      <c r="A124" s="5">
        <v>63</v>
      </c>
      <c r="B124" s="1832">
        <f>'Assets-Liab 5-6'!D41</f>
        <v>306511</v>
      </c>
      <c r="C124" s="2" t="s">
        <v>568</v>
      </c>
      <c r="D124" s="2" t="str">
        <f t="shared" si="0"/>
        <v>Error?</v>
      </c>
      <c r="G124" s="1897">
        <v>203000600</v>
      </c>
    </row>
    <row r="125" spans="1:7" ht="15" x14ac:dyDescent="0.25">
      <c r="A125" s="10">
        <v>64</v>
      </c>
      <c r="B125" s="1832"/>
      <c r="D125" s="2" t="str">
        <f t="shared" si="0"/>
        <v>OK</v>
      </c>
      <c r="G125" s="1897">
        <v>203000800</v>
      </c>
    </row>
    <row r="126" spans="1:7" ht="15" x14ac:dyDescent="0.25">
      <c r="A126" s="5">
        <v>65</v>
      </c>
      <c r="B126" s="1832">
        <f>'Assets-Liab 5-6'!E6</f>
        <v>0</v>
      </c>
      <c r="D126" s="2" t="str">
        <f t="shared" si="0"/>
        <v>Error?</v>
      </c>
      <c r="G126" s="1897">
        <v>403000300</v>
      </c>
    </row>
    <row r="127" spans="1:7" ht="15" x14ac:dyDescent="0.25">
      <c r="A127" s="10">
        <v>66</v>
      </c>
      <c r="B127" s="1832"/>
      <c r="D127" s="2" t="str">
        <f t="shared" ref="D127:D190" si="1">IF(ISBLANK(B127),"OK",IF(A127-B127=0,"OK","Error?"))</f>
        <v>OK</v>
      </c>
      <c r="G127" s="1897">
        <v>403000400</v>
      </c>
    </row>
    <row r="128" spans="1:7" ht="15" x14ac:dyDescent="0.25">
      <c r="A128" s="10">
        <v>67</v>
      </c>
      <c r="B128" s="1832"/>
      <c r="D128" s="2" t="str">
        <f t="shared" si="1"/>
        <v>OK</v>
      </c>
      <c r="G128" s="1897">
        <v>403000600</v>
      </c>
    </row>
    <row r="129" spans="1:7" ht="15" x14ac:dyDescent="0.25">
      <c r="A129" s="5">
        <v>68</v>
      </c>
      <c r="B129" s="1832">
        <f>'Assets-Liab 5-6'!E5</f>
        <v>0</v>
      </c>
      <c r="D129" s="2" t="str">
        <f t="shared" si="1"/>
        <v>Error?</v>
      </c>
      <c r="G129" s="1897">
        <v>403000800</v>
      </c>
    </row>
    <row r="130" spans="1:7" x14ac:dyDescent="0.2">
      <c r="A130" s="5">
        <v>69</v>
      </c>
      <c r="B130" s="1832">
        <f>'Assets-Liab 5-6'!E12</f>
        <v>0</v>
      </c>
      <c r="D130" s="2" t="str">
        <f t="shared" si="1"/>
        <v>Error?</v>
      </c>
    </row>
    <row r="131" spans="1:7" x14ac:dyDescent="0.2">
      <c r="A131" s="5">
        <v>70</v>
      </c>
      <c r="B131" s="1832">
        <f>'Assets-Liab 5-6'!E13</f>
        <v>207899</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207899</v>
      </c>
      <c r="D140" s="2" t="str">
        <f t="shared" si="1"/>
        <v>Error?</v>
      </c>
    </row>
    <row r="141" spans="1:7" x14ac:dyDescent="0.2">
      <c r="A141" s="5">
        <v>80</v>
      </c>
      <c r="B141" s="1832">
        <f>'Assets-Liab 5-6'!E41</f>
        <v>207899</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172837</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100000</v>
      </c>
      <c r="C169" s="2" t="s">
        <v>568</v>
      </c>
      <c r="D169" s="2" t="str">
        <f t="shared" si="1"/>
        <v>Error?</v>
      </c>
    </row>
    <row r="170" spans="1:4" x14ac:dyDescent="0.2">
      <c r="A170" s="5">
        <v>109</v>
      </c>
      <c r="B170" s="1832">
        <f>'Assets-Liab 5-6'!F39</f>
        <v>72837</v>
      </c>
      <c r="D170" s="2" t="str">
        <f t="shared" si="1"/>
        <v>Error?</v>
      </c>
    </row>
    <row r="171" spans="1:4" x14ac:dyDescent="0.2">
      <c r="A171" s="5">
        <v>110</v>
      </c>
      <c r="B171" s="1832">
        <f>'Assets-Liab 5-6'!F41</f>
        <v>172837</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228445</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71000</v>
      </c>
      <c r="C188" s="2" t="s">
        <v>568</v>
      </c>
      <c r="D188" s="2" t="str">
        <f t="shared" si="1"/>
        <v>Error?</v>
      </c>
    </row>
    <row r="189" spans="1:4" x14ac:dyDescent="0.2">
      <c r="A189" s="5">
        <v>128</v>
      </c>
      <c r="B189" s="1832">
        <f>'Assets-Liab 5-6'!G39</f>
        <v>157445</v>
      </c>
      <c r="D189" s="2" t="str">
        <f t="shared" si="1"/>
        <v>Error?</v>
      </c>
    </row>
    <row r="190" spans="1:4" x14ac:dyDescent="0.2">
      <c r="A190" s="5">
        <v>129</v>
      </c>
      <c r="B190" s="1832">
        <f>'Assets-Liab 5-6'!G41</f>
        <v>228445</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413301</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413301</v>
      </c>
      <c r="D212" s="2" t="str">
        <f t="shared" si="2"/>
        <v>Error?</v>
      </c>
    </row>
    <row r="213" spans="1:4" x14ac:dyDescent="0.2">
      <c r="A213" s="12">
        <v>152</v>
      </c>
      <c r="B213" s="1832">
        <f>'Assets-Liab 5-6'!H41</f>
        <v>413301</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135605</v>
      </c>
      <c r="D273" s="2" t="str">
        <f t="shared" si="3"/>
        <v>Error?</v>
      </c>
    </row>
    <row r="274" spans="1:4" x14ac:dyDescent="0.2">
      <c r="A274" s="5">
        <v>213</v>
      </c>
      <c r="B274" s="1832">
        <f>'Assets-Liab 5-6'!M17</f>
        <v>5989548</v>
      </c>
      <c r="D274" s="2" t="str">
        <f t="shared" si="3"/>
        <v>Error?</v>
      </c>
    </row>
    <row r="275" spans="1:4" x14ac:dyDescent="0.2">
      <c r="A275" s="5">
        <v>214</v>
      </c>
      <c r="B275" s="1832">
        <f>'Assets-Liab 5-6'!M18</f>
        <v>5041884</v>
      </c>
      <c r="D275" s="2" t="str">
        <f t="shared" si="3"/>
        <v>Error?</v>
      </c>
    </row>
    <row r="276" spans="1:4" x14ac:dyDescent="0.2">
      <c r="A276" s="5">
        <v>215</v>
      </c>
      <c r="B276" s="1832">
        <f>'Assets-Liab 5-6'!M19</f>
        <v>1758805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12925842</v>
      </c>
      <c r="C279" s="2" t="s">
        <v>568</v>
      </c>
      <c r="D279" s="2" t="str">
        <f t="shared" si="3"/>
        <v>Error?</v>
      </c>
    </row>
    <row r="280" spans="1:4" x14ac:dyDescent="0.2">
      <c r="A280" s="5">
        <v>219</v>
      </c>
      <c r="B280" s="1832">
        <f>'Assets-Liab 5-6'!M40</f>
        <v>12925842</v>
      </c>
      <c r="D280" s="2" t="str">
        <f t="shared" si="3"/>
        <v>Error?</v>
      </c>
    </row>
    <row r="281" spans="1:4" x14ac:dyDescent="0.2">
      <c r="A281" s="5">
        <v>220</v>
      </c>
      <c r="B281" s="1832">
        <f>'Assets-Liab 5-6'!M41</f>
        <v>12925842</v>
      </c>
      <c r="C281" s="2" t="s">
        <v>568</v>
      </c>
      <c r="D281" s="2" t="str">
        <f t="shared" si="3"/>
        <v>Error?</v>
      </c>
    </row>
    <row r="282" spans="1:4" x14ac:dyDescent="0.2">
      <c r="A282" s="5">
        <v>221</v>
      </c>
      <c r="B282" s="1832">
        <f>'Assets-Liab 5-6'!N21</f>
        <v>207899</v>
      </c>
      <c r="D282" s="2" t="str">
        <f t="shared" si="3"/>
        <v>Error?</v>
      </c>
    </row>
    <row r="283" spans="1:4" x14ac:dyDescent="0.2">
      <c r="A283" s="5">
        <v>222</v>
      </c>
      <c r="B283" s="1832">
        <f>'Assets-Liab 5-6'!N22</f>
        <v>1196301</v>
      </c>
      <c r="D283" s="2" t="str">
        <f t="shared" si="3"/>
        <v>Error?</v>
      </c>
    </row>
    <row r="284" spans="1:4" x14ac:dyDescent="0.2">
      <c r="A284" s="5">
        <v>223</v>
      </c>
      <c r="B284" s="1832">
        <f>'Assets-Liab 5-6'!N23</f>
        <v>1404200</v>
      </c>
      <c r="C284" s="2" t="s">
        <v>568</v>
      </c>
      <c r="D284" s="2" t="str">
        <f t="shared" si="3"/>
        <v>Error?</v>
      </c>
    </row>
    <row r="285" spans="1:4" x14ac:dyDescent="0.2">
      <c r="A285" s="5">
        <v>224</v>
      </c>
      <c r="B285" s="1832">
        <f>'Assets-Liab 5-6'!N36</f>
        <v>1404200</v>
      </c>
      <c r="D285" s="2" t="str">
        <f t="shared" si="3"/>
        <v>Error?</v>
      </c>
    </row>
    <row r="286" spans="1:4" x14ac:dyDescent="0.2">
      <c r="A286" s="10">
        <v>225</v>
      </c>
      <c r="B286" s="1832"/>
      <c r="D286" s="2" t="str">
        <f t="shared" si="3"/>
        <v>OK</v>
      </c>
    </row>
    <row r="287" spans="1:4" x14ac:dyDescent="0.2">
      <c r="A287" s="5">
        <v>226</v>
      </c>
      <c r="B287" s="1832">
        <f>'Assets-Liab 5-6'!N37</f>
        <v>1404200</v>
      </c>
      <c r="C287" s="2" t="s">
        <v>568</v>
      </c>
      <c r="D287" s="2" t="str">
        <f t="shared" si="3"/>
        <v>Error?</v>
      </c>
    </row>
    <row r="288" spans="1:4" x14ac:dyDescent="0.2">
      <c r="A288" s="5">
        <v>227</v>
      </c>
      <c r="B288" s="1832">
        <f>'Assets-Liab 5-6'!N41</f>
        <v>1404200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2062554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101027</v>
      </c>
      <c r="D717" s="2" t="str">
        <f t="shared" si="10"/>
        <v>Error?</v>
      </c>
    </row>
    <row r="718" spans="1:4" x14ac:dyDescent="0.2">
      <c r="A718" s="5">
        <v>657</v>
      </c>
      <c r="B718" s="1832">
        <f>'Expenditures 15-22'!C14</f>
        <v>76374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3048734</v>
      </c>
      <c r="C720" s="2" t="s">
        <v>568</v>
      </c>
      <c r="D720" s="2" t="str">
        <f t="shared" si="10"/>
        <v>Error?</v>
      </c>
    </row>
    <row r="721" spans="1:4" x14ac:dyDescent="0.2">
      <c r="A721" s="5">
        <v>660</v>
      </c>
      <c r="B721" s="1832">
        <f>'Expenditures 15-22'!C36</f>
        <v>9705</v>
      </c>
      <c r="D721" s="2" t="str">
        <f t="shared" si="10"/>
        <v>Error?</v>
      </c>
    </row>
    <row r="722" spans="1:4" x14ac:dyDescent="0.2">
      <c r="A722" s="5">
        <v>661</v>
      </c>
      <c r="B722" s="1832">
        <f>'Expenditures 15-22'!C37</f>
        <v>23636</v>
      </c>
      <c r="D722" s="2" t="str">
        <f t="shared" si="10"/>
        <v>Error?</v>
      </c>
    </row>
    <row r="723" spans="1:4" x14ac:dyDescent="0.2">
      <c r="A723" s="5">
        <v>662</v>
      </c>
      <c r="B723" s="1832">
        <f>'Expenditures 15-22'!C38</f>
        <v>12789</v>
      </c>
      <c r="D723" s="2" t="str">
        <f t="shared" si="10"/>
        <v>Error?</v>
      </c>
    </row>
    <row r="724" spans="1:4" x14ac:dyDescent="0.2">
      <c r="A724" s="5">
        <v>663</v>
      </c>
      <c r="B724" s="1832">
        <f>'Expenditures 15-22'!C39</f>
        <v>56449</v>
      </c>
      <c r="D724" s="2" t="str">
        <f t="shared" si="10"/>
        <v>Error?</v>
      </c>
    </row>
    <row r="725" spans="1:4" x14ac:dyDescent="0.2">
      <c r="A725" s="5">
        <v>664</v>
      </c>
      <c r="B725" s="1832">
        <f>'Expenditures 15-22'!C40</f>
        <v>64533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167112</v>
      </c>
      <c r="C727" s="2" t="s">
        <v>568</v>
      </c>
      <c r="D727" s="2" t="str">
        <f t="shared" si="10"/>
        <v>Error?</v>
      </c>
    </row>
    <row r="728" spans="1:4" x14ac:dyDescent="0.2">
      <c r="A728" s="5">
        <v>667</v>
      </c>
      <c r="B728" s="1832">
        <f>'Expenditures 15-22'!C44</f>
        <v>2250</v>
      </c>
      <c r="D728" s="2" t="str">
        <f t="shared" si="10"/>
        <v>Error?</v>
      </c>
    </row>
    <row r="729" spans="1:4" x14ac:dyDescent="0.2">
      <c r="A729" s="5">
        <v>668</v>
      </c>
      <c r="B729" s="1832">
        <f>'Expenditures 15-22'!C45</f>
        <v>111512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113762</v>
      </c>
      <c r="C731" s="2" t="s">
        <v>568</v>
      </c>
      <c r="D731" s="2" t="str">
        <f t="shared" si="10"/>
        <v>Error?</v>
      </c>
    </row>
    <row r="732" spans="1:4" x14ac:dyDescent="0.2">
      <c r="A732" s="5">
        <v>671</v>
      </c>
      <c r="B732" s="1832">
        <f>'Expenditures 15-22'!C49</f>
        <v>33211</v>
      </c>
      <c r="D732" s="2" t="str">
        <f t="shared" si="10"/>
        <v>Error?</v>
      </c>
    </row>
    <row r="733" spans="1:4" x14ac:dyDescent="0.2">
      <c r="A733" s="5">
        <v>672</v>
      </c>
      <c r="B733" s="1832">
        <f>'Expenditures 15-22'!C50</f>
        <v>157658</v>
      </c>
      <c r="D733" s="2" t="str">
        <f t="shared" si="10"/>
        <v>Error?</v>
      </c>
    </row>
    <row r="734" spans="1:4" x14ac:dyDescent="0.2">
      <c r="A734" s="5">
        <v>673</v>
      </c>
      <c r="B734" s="1832">
        <f>'Expenditures 15-22'!C53</f>
        <v>190869</v>
      </c>
      <c r="C734" s="2" t="s">
        <v>568</v>
      </c>
      <c r="D734" s="2" t="str">
        <f t="shared" si="10"/>
        <v>Error?</v>
      </c>
    </row>
    <row r="735" spans="1:4" x14ac:dyDescent="0.2">
      <c r="A735" s="5">
        <v>674</v>
      </c>
      <c r="B735" s="1832">
        <f>'Expenditures 15-22'!C55</f>
        <v>268462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268462</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38854</v>
      </c>
      <c r="D739" s="2" t="str">
        <f t="shared" si="10"/>
        <v>Error?</v>
      </c>
    </row>
    <row r="740" spans="1:4" x14ac:dyDescent="0.2">
      <c r="A740" s="5">
        <v>679</v>
      </c>
      <c r="B740" s="1832">
        <f>'Expenditures 15-22'!C61</f>
        <v>1300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97535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137689</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877894</v>
      </c>
      <c r="C755" s="2" t="s">
        <v>568</v>
      </c>
      <c r="D755" s="2" t="str">
        <f t="shared" si="10"/>
        <v>Error?</v>
      </c>
    </row>
    <row r="756" spans="1:4" x14ac:dyDescent="0.2">
      <c r="A756" s="5">
        <v>695</v>
      </c>
      <c r="B756" s="1832">
        <f>'Expenditures 15-22'!C75</f>
        <v>2500</v>
      </c>
      <c r="D756" s="2" t="str">
        <f t="shared" si="10"/>
        <v>Error?</v>
      </c>
    </row>
    <row r="757" spans="1:4" x14ac:dyDescent="0.2">
      <c r="A757" s="5">
        <v>696</v>
      </c>
      <c r="B757" s="1832">
        <f>'Expenditures 15-22'!C114</f>
        <v>3929128</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296119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11740</v>
      </c>
      <c r="D775" s="2" t="str">
        <f t="shared" si="11"/>
        <v>Error?</v>
      </c>
    </row>
    <row r="776" spans="1:4" x14ac:dyDescent="0.2">
      <c r="A776" s="5">
        <v>715</v>
      </c>
      <c r="B776" s="1832">
        <f>'Expenditures 15-22'!D14</f>
        <v>364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461687</v>
      </c>
      <c r="C778" s="2" t="s">
        <v>568</v>
      </c>
      <c r="D778" s="2" t="str">
        <f t="shared" si="11"/>
        <v>Error?</v>
      </c>
    </row>
    <row r="779" spans="1:4" x14ac:dyDescent="0.2">
      <c r="A779" s="5">
        <v>718</v>
      </c>
      <c r="B779" s="1832">
        <f>'Expenditures 15-22'!D36</f>
        <v>2476</v>
      </c>
      <c r="D779" s="2" t="str">
        <f t="shared" si="11"/>
        <v>Error?</v>
      </c>
    </row>
    <row r="780" spans="1:4" x14ac:dyDescent="0.2">
      <c r="A780" s="5">
        <v>719</v>
      </c>
      <c r="B780" s="1832">
        <f>'Expenditures 15-22'!D37</f>
        <v>5592</v>
      </c>
      <c r="D780" s="2" t="str">
        <f t="shared" si="11"/>
        <v>Error?</v>
      </c>
    </row>
    <row r="781" spans="1:4" x14ac:dyDescent="0.2">
      <c r="A781" s="5">
        <v>720</v>
      </c>
      <c r="B781" s="1832">
        <f>'Expenditures 15-22'!D38</f>
        <v>5810</v>
      </c>
      <c r="D781" s="2" t="str">
        <f t="shared" si="11"/>
        <v>Error?</v>
      </c>
    </row>
    <row r="782" spans="1:4" x14ac:dyDescent="0.2">
      <c r="A782" s="5">
        <v>721</v>
      </c>
      <c r="B782" s="1832">
        <f>'Expenditures 15-22'!D39</f>
        <v>1064</v>
      </c>
      <c r="D782" s="2" t="str">
        <f t="shared" si="11"/>
        <v>Error?</v>
      </c>
    </row>
    <row r="783" spans="1:4" x14ac:dyDescent="0.2">
      <c r="A783" s="5">
        <v>722</v>
      </c>
      <c r="B783" s="1832">
        <f>'Expenditures 15-22'!D40</f>
        <v>7333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22275</v>
      </c>
      <c r="C785" s="2" t="s">
        <v>568</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27732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27732</v>
      </c>
      <c r="C789" s="2" t="s">
        <v>568</v>
      </c>
      <c r="D789" s="2" t="str">
        <f t="shared" si="11"/>
        <v>Error?</v>
      </c>
    </row>
    <row r="790" spans="1:4" x14ac:dyDescent="0.2">
      <c r="A790" s="5">
        <v>729</v>
      </c>
      <c r="B790" s="1832">
        <f>'Expenditures 15-22'!D49</f>
        <v>457</v>
      </c>
      <c r="D790" s="2" t="str">
        <f t="shared" si="11"/>
        <v>Error?</v>
      </c>
    </row>
    <row r="791" spans="1:4" x14ac:dyDescent="0.2">
      <c r="A791" s="5">
        <v>730</v>
      </c>
      <c r="B791" s="1832">
        <f>'Expenditures 15-22'!D50</f>
        <v>41662</v>
      </c>
      <c r="D791" s="2" t="str">
        <f t="shared" si="11"/>
        <v>Error?</v>
      </c>
    </row>
    <row r="792" spans="1:4" x14ac:dyDescent="0.2">
      <c r="A792" s="5">
        <v>731</v>
      </c>
      <c r="B792" s="1832">
        <f>'Expenditures 15-22'!D53</f>
        <v>42119</v>
      </c>
      <c r="C792" s="2" t="s">
        <v>568</v>
      </c>
      <c r="D792" s="2" t="str">
        <f t="shared" si="11"/>
        <v>Error?</v>
      </c>
    </row>
    <row r="793" spans="1:4" x14ac:dyDescent="0.2">
      <c r="A793" s="5">
        <v>732</v>
      </c>
      <c r="B793" s="1832">
        <f>'Expenditures 15-22'!D55</f>
        <v>39106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39106</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6317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28536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34853</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166085</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627772</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79345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2629</v>
      </c>
      <c r="D833" s="2" t="str">
        <f t="shared" si="12"/>
        <v>Error?</v>
      </c>
    </row>
    <row r="834" spans="1:4" x14ac:dyDescent="0.2">
      <c r="A834" s="5">
        <v>773</v>
      </c>
      <c r="B834" s="1832">
        <f>'Expenditures 15-22'!E14</f>
        <v>28005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119678</v>
      </c>
      <c r="C836" s="2" t="s">
        <v>568</v>
      </c>
      <c r="D836" s="2" t="str">
        <f t="shared" si="12"/>
        <v>Error?</v>
      </c>
    </row>
    <row r="837" spans="1:4" x14ac:dyDescent="0.2">
      <c r="A837" s="5">
        <v>776</v>
      </c>
      <c r="B837" s="1832">
        <f>'Expenditures 15-22'!E36</f>
        <v>70</v>
      </c>
      <c r="D837" s="2" t="str">
        <f t="shared" si="12"/>
        <v>Error?</v>
      </c>
    </row>
    <row r="838" spans="1:4" x14ac:dyDescent="0.2">
      <c r="A838" s="5">
        <v>777</v>
      </c>
      <c r="B838" s="1832">
        <f>'Expenditures 15-22'!E37</f>
        <v>671</v>
      </c>
      <c r="D838" s="2" t="str">
        <f t="shared" si="12"/>
        <v>Error?</v>
      </c>
    </row>
    <row r="839" spans="1:4" x14ac:dyDescent="0.2">
      <c r="A839" s="5">
        <v>778</v>
      </c>
      <c r="B839" s="1832">
        <f>'Expenditures 15-22'!E38</f>
        <v>206</v>
      </c>
      <c r="D839" s="2" t="str">
        <f t="shared" si="12"/>
        <v>Error?</v>
      </c>
    </row>
    <row r="840" spans="1:4" x14ac:dyDescent="0.2">
      <c r="A840" s="5">
        <v>779</v>
      </c>
      <c r="B840" s="1832">
        <f>'Expenditures 15-22'!E39</f>
        <v>758</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1705</v>
      </c>
      <c r="C843" s="2" t="s">
        <v>568</v>
      </c>
      <c r="D843" s="2" t="str">
        <f t="shared" si="12"/>
        <v>Error?</v>
      </c>
    </row>
    <row r="844" spans="1:4" x14ac:dyDescent="0.2">
      <c r="A844" s="5">
        <v>783</v>
      </c>
      <c r="B844" s="1832">
        <f>'Expenditures 15-22'!E44</f>
        <v>146372</v>
      </c>
      <c r="D844" s="2" t="str">
        <f t="shared" si="12"/>
        <v>Error?</v>
      </c>
    </row>
    <row r="845" spans="1:4" x14ac:dyDescent="0.2">
      <c r="A845" s="5">
        <v>784</v>
      </c>
      <c r="B845" s="1832">
        <f>'Expenditures 15-22'!E45</f>
        <v>3062</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149434</v>
      </c>
      <c r="C847" s="2" t="s">
        <v>568</v>
      </c>
      <c r="D847" s="2" t="str">
        <f t="shared" si="12"/>
        <v>Error?</v>
      </c>
    </row>
    <row r="848" spans="1:4" x14ac:dyDescent="0.2">
      <c r="A848" s="5">
        <v>787</v>
      </c>
      <c r="B848" s="1832">
        <f>'Expenditures 15-22'!E49</f>
        <v>20597</v>
      </c>
      <c r="D848" s="2" t="str">
        <f t="shared" si="12"/>
        <v>Error?</v>
      </c>
    </row>
    <row r="849" spans="1:4" x14ac:dyDescent="0.2">
      <c r="A849" s="5">
        <v>788</v>
      </c>
      <c r="B849" s="1832">
        <f>'Expenditures 15-22'!E50</f>
        <v>12671</v>
      </c>
      <c r="D849" s="2" t="str">
        <f t="shared" si="12"/>
        <v>Error?</v>
      </c>
    </row>
    <row r="850" spans="1:4" x14ac:dyDescent="0.2">
      <c r="A850" s="5">
        <v>789</v>
      </c>
      <c r="B850" s="1832">
        <f>'Expenditures 15-22'!E53</f>
        <v>33268</v>
      </c>
      <c r="C850" s="2" t="s">
        <v>568</v>
      </c>
      <c r="D850" s="2" t="str">
        <f t="shared" si="12"/>
        <v>Error?</v>
      </c>
    </row>
    <row r="851" spans="1:4" x14ac:dyDescent="0.2">
      <c r="A851" s="5">
        <v>790</v>
      </c>
      <c r="B851" s="1832">
        <f>'Expenditures 15-22'!E55</f>
        <v>26049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26049</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19582</v>
      </c>
      <c r="D856" s="2" t="str">
        <f t="shared" si="12"/>
        <v>Error?</v>
      </c>
    </row>
    <row r="857" spans="1:4" x14ac:dyDescent="0.2">
      <c r="A857" s="5">
        <v>796</v>
      </c>
      <c r="B857" s="1832">
        <f>'Expenditures 15-22'!E62</f>
        <v>640</v>
      </c>
      <c r="D857" s="2" t="str">
        <f t="shared" si="12"/>
        <v>Error?</v>
      </c>
    </row>
    <row r="858" spans="1:4" x14ac:dyDescent="0.2">
      <c r="A858" s="5">
        <v>797</v>
      </c>
      <c r="B858" s="1832">
        <f>'Expenditures 15-22'!E63</f>
        <v>2081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22303</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6359</v>
      </c>
      <c r="D867" s="2" t="str">
        <f t="shared" si="12"/>
        <v>Error?</v>
      </c>
    </row>
    <row r="868" spans="1:4" x14ac:dyDescent="0.2">
      <c r="A868" s="10">
        <v>807</v>
      </c>
      <c r="B868" s="1832"/>
      <c r="D868" s="2" t="str">
        <f t="shared" si="12"/>
        <v>OK</v>
      </c>
    </row>
    <row r="869" spans="1:4" x14ac:dyDescent="0.2">
      <c r="A869" s="5">
        <v>808</v>
      </c>
      <c r="B869" s="1832">
        <f>'Expenditures 15-22'!E72</f>
        <v>6359</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239118</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834622</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145623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15897</v>
      </c>
      <c r="D891" s="2" t="str">
        <f t="shared" si="12"/>
        <v>Error?</v>
      </c>
    </row>
    <row r="892" spans="1:4" x14ac:dyDescent="0.2">
      <c r="A892" s="5">
        <v>831</v>
      </c>
      <c r="B892" s="1832">
        <f>'Expenditures 15-22'!F14</f>
        <v>20546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204225</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87</v>
      </c>
      <c r="D896" s="2" t="str">
        <f t="shared" si="13"/>
        <v>Error?</v>
      </c>
    </row>
    <row r="897" spans="1:4" x14ac:dyDescent="0.2">
      <c r="A897" s="5">
        <v>836</v>
      </c>
      <c r="B897" s="1832">
        <f>'Expenditures 15-22'!F38</f>
        <v>1802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535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2424</v>
      </c>
      <c r="C901" s="2" t="s">
        <v>568</v>
      </c>
      <c r="D901" s="2" t="str">
        <f t="shared" si="13"/>
        <v>Error?</v>
      </c>
    </row>
    <row r="902" spans="1:4" x14ac:dyDescent="0.2">
      <c r="A902" s="5">
        <v>841</v>
      </c>
      <c r="B902" s="1832">
        <f>'Expenditures 15-22'!F44</f>
        <v>3911</v>
      </c>
      <c r="D902" s="2" t="str">
        <f t="shared" si="13"/>
        <v>Error?</v>
      </c>
    </row>
    <row r="903" spans="1:4" x14ac:dyDescent="0.2">
      <c r="A903" s="5">
        <v>842</v>
      </c>
      <c r="B903" s="1832">
        <f>'Expenditures 15-22'!F45</f>
        <v>2765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6676</v>
      </c>
      <c r="C905" s="2" t="s">
        <v>568</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10123</v>
      </c>
      <c r="D907" s="2" t="str">
        <f t="shared" si="13"/>
        <v>Error?</v>
      </c>
    </row>
    <row r="908" spans="1:4" x14ac:dyDescent="0.2">
      <c r="A908" s="5">
        <v>847</v>
      </c>
      <c r="B908" s="1832">
        <f>'Expenditures 15-22'!F53</f>
        <v>10123</v>
      </c>
      <c r="C908" s="2" t="s">
        <v>568</v>
      </c>
      <c r="D908" s="2" t="str">
        <f t="shared" si="13"/>
        <v>Error?</v>
      </c>
    </row>
    <row r="909" spans="1:4" x14ac:dyDescent="0.2">
      <c r="A909" s="5">
        <v>848</v>
      </c>
      <c r="B909" s="1832">
        <f>'Expenditures 15-22'!F55</f>
        <v>22707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22707</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154207</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165537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319744</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1128</v>
      </c>
      <c r="D925" s="2" t="str">
        <f t="shared" si="13"/>
        <v>Error?</v>
      </c>
    </row>
    <row r="926" spans="1:4" x14ac:dyDescent="0.2">
      <c r="A926" s="10">
        <v>865</v>
      </c>
      <c r="B926" s="1832"/>
      <c r="D926" s="2" t="str">
        <f t="shared" si="13"/>
        <v>OK</v>
      </c>
    </row>
    <row r="927" spans="1:4" x14ac:dyDescent="0.2">
      <c r="A927" s="5">
        <v>866</v>
      </c>
      <c r="B927" s="1832">
        <f>'Expenditures 15-22'!F72</f>
        <v>1128</v>
      </c>
      <c r="C927" s="2" t="s">
        <v>568</v>
      </c>
      <c r="D927" s="2" t="str">
        <f t="shared" si="13"/>
        <v>Error?</v>
      </c>
    </row>
    <row r="928" spans="1:4" x14ac:dyDescent="0.2">
      <c r="A928" s="5">
        <v>867</v>
      </c>
      <c r="B928" s="1832">
        <f>'Expenditures 15-22'!F73</f>
        <v>1300</v>
      </c>
      <c r="D928" s="2" t="str">
        <f t="shared" si="13"/>
        <v>Error?</v>
      </c>
    </row>
    <row r="929" spans="1:4" x14ac:dyDescent="0.2">
      <c r="A929" s="5">
        <v>868</v>
      </c>
      <c r="B929" s="1832">
        <f>'Expenditures 15-22'!F74</f>
        <v>364102</v>
      </c>
      <c r="C929" s="2" t="s">
        <v>568</v>
      </c>
      <c r="D929" s="2" t="str">
        <f t="shared" si="13"/>
        <v>Error?</v>
      </c>
    </row>
    <row r="930" spans="1:4" x14ac:dyDescent="0.2">
      <c r="A930" s="5">
        <v>869</v>
      </c>
      <c r="B930" s="1832">
        <f>'Expenditures 15-22'!F75</f>
        <v>1090</v>
      </c>
      <c r="D930" s="2" t="str">
        <f t="shared" si="13"/>
        <v>Error?</v>
      </c>
    </row>
    <row r="931" spans="1:4" x14ac:dyDescent="0.2">
      <c r="A931" s="5">
        <v>870</v>
      </c>
      <c r="B931" s="1832">
        <f>'Expenditures 15-22'!F114</f>
        <v>569417</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33274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12074</v>
      </c>
      <c r="D949" s="2" t="str">
        <f t="shared" si="13"/>
        <v>Error?</v>
      </c>
    </row>
    <row r="950" spans="1:4" x14ac:dyDescent="0.2">
      <c r="A950" s="5">
        <v>889</v>
      </c>
      <c r="B950" s="1832">
        <f>'Expenditures 15-22'!G14</f>
        <v>12130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61827</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2098</v>
      </c>
      <c r="D965" s="2" t="str">
        <f t="shared" si="14"/>
        <v>Error?</v>
      </c>
    </row>
    <row r="966" spans="1:4" x14ac:dyDescent="0.2">
      <c r="A966" s="5">
        <v>905</v>
      </c>
      <c r="B966" s="1832">
        <f>'Expenditures 15-22'!G53</f>
        <v>2098</v>
      </c>
      <c r="C966" s="2" t="s">
        <v>568</v>
      </c>
      <c r="D966" s="2" t="str">
        <f t="shared" si="14"/>
        <v>Error?</v>
      </c>
    </row>
    <row r="967" spans="1:4" x14ac:dyDescent="0.2">
      <c r="A967" s="5">
        <v>906</v>
      </c>
      <c r="B967" s="1832">
        <f>'Expenditures 15-22'!G55</f>
        <v>8754</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8754</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4072</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4072</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14924</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76751</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4374</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607</v>
      </c>
      <c r="D1007" s="2" t="str">
        <f t="shared" si="14"/>
        <v>Error?</v>
      </c>
    </row>
    <row r="1008" spans="1:4" x14ac:dyDescent="0.2">
      <c r="A1008" s="5">
        <v>947</v>
      </c>
      <c r="B1008" s="1832">
        <f>'Expenditures 15-22'!H14</f>
        <v>3577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101673</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1100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1100</v>
      </c>
      <c r="C1021" s="2" t="s">
        <v>568</v>
      </c>
      <c r="D1021" s="2" t="str">
        <f t="shared" si="14"/>
        <v>Error?</v>
      </c>
    </row>
    <row r="1022" spans="1:4" x14ac:dyDescent="0.2">
      <c r="A1022" s="5">
        <v>961</v>
      </c>
      <c r="B1022" s="1832">
        <f>'Expenditures 15-22'!H49</f>
        <v>4752</v>
      </c>
      <c r="D1022" s="2" t="str">
        <f t="shared" si="14"/>
        <v>Error?</v>
      </c>
    </row>
    <row r="1023" spans="1:4" x14ac:dyDescent="0.2">
      <c r="A1023" s="5">
        <v>962</v>
      </c>
      <c r="B1023" s="1832">
        <f>'Expenditures 15-22'!H50</f>
        <v>7482</v>
      </c>
      <c r="D1023" s="2" t="str">
        <f t="shared" ref="D1023:D1086" si="15">IF(ISBLANK(B1023),"OK",IF(A1023-B1023=0,"OK","Error?"))</f>
        <v>Error?</v>
      </c>
    </row>
    <row r="1024" spans="1:4" x14ac:dyDescent="0.2">
      <c r="A1024" s="5">
        <v>963</v>
      </c>
      <c r="B1024" s="1832">
        <f>'Expenditures 15-22'!H53</f>
        <v>12234</v>
      </c>
      <c r="C1024" s="2" t="s">
        <v>568</v>
      </c>
      <c r="D1024" s="2" t="str">
        <f t="shared" si="15"/>
        <v>Error?</v>
      </c>
    </row>
    <row r="1025" spans="1:4" x14ac:dyDescent="0.2">
      <c r="A1025" s="5">
        <v>964</v>
      </c>
      <c r="B1025" s="1832">
        <f>'Expenditures 15-22'!H55</f>
        <v>3941</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3941</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1370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1370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18645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135728</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256046</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2621289</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143974</v>
      </c>
      <c r="C1105" s="2" t="s">
        <v>568</v>
      </c>
      <c r="D1105" s="2" t="str">
        <f t="shared" si="16"/>
        <v>Error?</v>
      </c>
    </row>
    <row r="1106" spans="1:4" x14ac:dyDescent="0.2">
      <c r="A1106" s="5">
        <v>1045</v>
      </c>
      <c r="B1106" s="1832">
        <f>'Expenditures 15-22'!K14</f>
        <v>140996</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3997824</v>
      </c>
      <c r="C1108" s="2" t="s">
        <v>568</v>
      </c>
      <c r="D1108" s="2" t="str">
        <f t="shared" si="16"/>
        <v>Error?</v>
      </c>
    </row>
    <row r="1109" spans="1:4" x14ac:dyDescent="0.2">
      <c r="A1109" s="5">
        <v>1048</v>
      </c>
      <c r="B1109" s="1832">
        <f>'Expenditures 15-22'!K36</f>
        <v>12251</v>
      </c>
      <c r="C1109" s="2" t="s">
        <v>568</v>
      </c>
      <c r="D1109" s="2" t="str">
        <f t="shared" si="16"/>
        <v>Error?</v>
      </c>
    </row>
    <row r="1110" spans="1:4" x14ac:dyDescent="0.2">
      <c r="A1110" s="5">
        <v>1049</v>
      </c>
      <c r="B1110" s="1832">
        <f>'Expenditures 15-22'!K37</f>
        <v>29986</v>
      </c>
      <c r="C1110" s="2" t="s">
        <v>568</v>
      </c>
      <c r="D1110" s="2" t="str">
        <f t="shared" si="16"/>
        <v>Error?</v>
      </c>
    </row>
    <row r="1111" spans="1:4" x14ac:dyDescent="0.2">
      <c r="A1111" s="5">
        <v>1050</v>
      </c>
      <c r="B1111" s="1832">
        <f>'Expenditures 15-22'!K38</f>
        <v>20607</v>
      </c>
      <c r="C1111" s="2" t="s">
        <v>568</v>
      </c>
      <c r="D1111" s="2" t="str">
        <f t="shared" si="16"/>
        <v>Error?</v>
      </c>
    </row>
    <row r="1112" spans="1:4" x14ac:dyDescent="0.2">
      <c r="A1112" s="5">
        <v>1051</v>
      </c>
      <c r="B1112" s="1832">
        <f>'Expenditures 15-22'!K39</f>
        <v>58271</v>
      </c>
      <c r="C1112" s="2" t="s">
        <v>568</v>
      </c>
      <c r="D1112" s="2" t="str">
        <f t="shared" si="16"/>
        <v>Error?</v>
      </c>
    </row>
    <row r="1113" spans="1:4" x14ac:dyDescent="0.2">
      <c r="A1113" s="5">
        <v>1052</v>
      </c>
      <c r="B1113" s="1832">
        <f>'Expenditures 15-22'!K40</f>
        <v>72401</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193516</v>
      </c>
      <c r="C1115" s="2" t="s">
        <v>568</v>
      </c>
      <c r="D1115" s="2" t="str">
        <f t="shared" si="16"/>
        <v>Error?</v>
      </c>
    </row>
    <row r="1116" spans="1:4" x14ac:dyDescent="0.2">
      <c r="A1116" s="5">
        <v>1055</v>
      </c>
      <c r="B1116" s="1832">
        <f>'Expenditures 15-22'!K44</f>
        <v>152533</v>
      </c>
      <c r="C1116" s="2" t="s">
        <v>568</v>
      </c>
      <c r="D1116" s="2" t="str">
        <f t="shared" si="16"/>
        <v>Error?</v>
      </c>
    </row>
    <row r="1117" spans="1:4" x14ac:dyDescent="0.2">
      <c r="A1117" s="5">
        <v>1056</v>
      </c>
      <c r="B1117" s="1832">
        <f>'Expenditures 15-22'!K45</f>
        <v>146171</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298704</v>
      </c>
      <c r="C1119" s="2" t="s">
        <v>568</v>
      </c>
      <c r="D1119" s="2" t="str">
        <f t="shared" si="16"/>
        <v>Error?</v>
      </c>
    </row>
    <row r="1120" spans="1:4" x14ac:dyDescent="0.2">
      <c r="A1120" s="5">
        <v>1059</v>
      </c>
      <c r="B1120" s="1832">
        <f>'Expenditures 15-22'!K49</f>
        <v>59017</v>
      </c>
      <c r="C1120" s="2" t="s">
        <v>568</v>
      </c>
      <c r="D1120" s="2" t="str">
        <f t="shared" si="16"/>
        <v>Error?</v>
      </c>
    </row>
    <row r="1121" spans="1:4" x14ac:dyDescent="0.2">
      <c r="A1121" s="5">
        <v>1060</v>
      </c>
      <c r="B1121" s="1832">
        <f>'Expenditures 15-22'!K50</f>
        <v>231694</v>
      </c>
      <c r="C1121" s="2" t="s">
        <v>568</v>
      </c>
      <c r="D1121" s="2" t="str">
        <f t="shared" si="16"/>
        <v>Error?</v>
      </c>
    </row>
    <row r="1122" spans="1:4" x14ac:dyDescent="0.2">
      <c r="A1122" s="5">
        <v>1061</v>
      </c>
      <c r="B1122" s="1832">
        <f>'Expenditures 15-22'!K53</f>
        <v>290711</v>
      </c>
      <c r="C1122" s="2" t="s">
        <v>568</v>
      </c>
      <c r="D1122" s="2" t="str">
        <f t="shared" si="16"/>
        <v>Error?</v>
      </c>
    </row>
    <row r="1123" spans="1:4" x14ac:dyDescent="0.2">
      <c r="A1123" s="5">
        <v>1062</v>
      </c>
      <c r="B1123" s="1832">
        <f>'Expenditures 15-22'!K55</f>
        <v>369019</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369019</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45171</v>
      </c>
      <c r="C1127" s="2" t="s">
        <v>568</v>
      </c>
      <c r="D1127" s="2" t="str">
        <f t="shared" si="16"/>
        <v>Error?</v>
      </c>
    </row>
    <row r="1128" spans="1:4" x14ac:dyDescent="0.2">
      <c r="A1128" s="5">
        <v>1067</v>
      </c>
      <c r="B1128" s="1832">
        <f>'Expenditures 15-22'!K61</f>
        <v>175089</v>
      </c>
      <c r="C1128" s="2" t="s">
        <v>568</v>
      </c>
      <c r="D1128" s="2" t="str">
        <f t="shared" si="16"/>
        <v>Error?</v>
      </c>
    </row>
    <row r="1129" spans="1:4" x14ac:dyDescent="0.2">
      <c r="A1129" s="5">
        <v>1068</v>
      </c>
      <c r="B1129" s="1832">
        <f>'Expenditures 15-22'!K62</f>
        <v>640</v>
      </c>
      <c r="C1129" s="2" t="s">
        <v>568</v>
      </c>
      <c r="D1129" s="2" t="str">
        <f t="shared" si="16"/>
        <v>Error?</v>
      </c>
    </row>
    <row r="1130" spans="1:4" x14ac:dyDescent="0.2">
      <c r="A1130" s="5">
        <v>1069</v>
      </c>
      <c r="B1130" s="1832">
        <f>'Expenditures 15-22'!K63</f>
        <v>299131</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520031</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7487</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7487</v>
      </c>
      <c r="C1141" s="2" t="s">
        <v>568</v>
      </c>
      <c r="D1141" s="2" t="str">
        <f t="shared" si="16"/>
        <v>Error?</v>
      </c>
    </row>
    <row r="1142" spans="1:4" x14ac:dyDescent="0.2">
      <c r="A1142" s="5">
        <v>1081</v>
      </c>
      <c r="B1142" s="1832">
        <f>'Expenditures 15-22'!K73</f>
        <v>1300</v>
      </c>
      <c r="C1142" s="2" t="s">
        <v>568</v>
      </c>
      <c r="D1142" s="2" t="str">
        <f t="shared" si="16"/>
        <v>Error?</v>
      </c>
    </row>
    <row r="1143" spans="1:4" x14ac:dyDescent="0.2">
      <c r="A1143" s="5">
        <v>1082</v>
      </c>
      <c r="B1143" s="1832">
        <f>'Expenditures 15-22'!K74</f>
        <v>1680768</v>
      </c>
      <c r="C1143" s="2" t="s">
        <v>568</v>
      </c>
      <c r="D1143" s="2" t="str">
        <f t="shared" si="16"/>
        <v>Error?</v>
      </c>
    </row>
    <row r="1144" spans="1:4" x14ac:dyDescent="0.2">
      <c r="A1144" s="5">
        <v>1083</v>
      </c>
      <c r="B1144" s="1832">
        <f>'Expenditures 15-22'!K75</f>
        <v>3590</v>
      </c>
      <c r="C1144" s="2" t="s">
        <v>568</v>
      </c>
      <c r="D1144" s="2" t="str">
        <f t="shared" si="16"/>
        <v>Error?</v>
      </c>
    </row>
    <row r="1145" spans="1:4" x14ac:dyDescent="0.2">
      <c r="A1145" s="5">
        <v>1084</v>
      </c>
      <c r="B1145" s="1832">
        <f>'Expenditures 15-22'!K102</f>
        <v>611554</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6293736</v>
      </c>
      <c r="C1152" s="2" t="s">
        <v>568</v>
      </c>
      <c r="D1152" s="2" t="str">
        <f t="shared" si="17"/>
        <v>Error?</v>
      </c>
    </row>
    <row r="1153" spans="1:4" x14ac:dyDescent="0.2">
      <c r="A1153" s="5">
        <v>1092</v>
      </c>
      <c r="B1153" s="1832">
        <f>'Expenditures 15-22'!K115</f>
        <v>343148</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221619</v>
      </c>
      <c r="D1221" s="2" t="str">
        <f t="shared" si="18"/>
        <v>Error?</v>
      </c>
    </row>
    <row r="1222" spans="1:4" x14ac:dyDescent="0.2">
      <c r="A1222" s="10">
        <v>1161</v>
      </c>
      <c r="B1222" s="1832"/>
      <c r="D1222" s="2" t="str">
        <f t="shared" si="18"/>
        <v>OK</v>
      </c>
    </row>
    <row r="1223" spans="1:4" x14ac:dyDescent="0.2">
      <c r="A1223" s="5">
        <v>1162</v>
      </c>
      <c r="B1223" s="1832">
        <f>'Expenditures 15-22'!C127</f>
        <v>221619</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221619</v>
      </c>
      <c r="C1225" s="2" t="s">
        <v>568</v>
      </c>
      <c r="D1225" s="2" t="str">
        <f t="shared" si="18"/>
        <v>Error?</v>
      </c>
    </row>
    <row r="1226" spans="1:4" x14ac:dyDescent="0.2">
      <c r="A1226" s="5">
        <v>1165</v>
      </c>
      <c r="B1226" s="1832">
        <f>'Expenditures 15-22'!C151</f>
        <v>221619</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40500</v>
      </c>
      <c r="D1229" s="2" t="str">
        <f t="shared" si="18"/>
        <v>Error?</v>
      </c>
    </row>
    <row r="1230" spans="1:4" x14ac:dyDescent="0.2">
      <c r="A1230" s="10">
        <v>1169</v>
      </c>
      <c r="B1230" s="1832"/>
      <c r="D1230" s="2" t="str">
        <f t="shared" si="18"/>
        <v>OK</v>
      </c>
    </row>
    <row r="1231" spans="1:4" x14ac:dyDescent="0.2">
      <c r="A1231" s="5">
        <v>1170</v>
      </c>
      <c r="B1231" s="1832">
        <f>'Expenditures 15-22'!D127</f>
        <v>40500</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40500</v>
      </c>
      <c r="C1233" s="2" t="s">
        <v>568</v>
      </c>
      <c r="D1233" s="2" t="str">
        <f t="shared" si="18"/>
        <v>Error?</v>
      </c>
    </row>
    <row r="1234" spans="1:4" x14ac:dyDescent="0.2">
      <c r="A1234" s="5">
        <v>1173</v>
      </c>
      <c r="B1234" s="1832">
        <f>'Expenditures 15-22'!D151</f>
        <v>40500</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41809</v>
      </c>
      <c r="D1237" s="2" t="str">
        <f t="shared" si="18"/>
        <v>Error?</v>
      </c>
    </row>
    <row r="1238" spans="1:4" x14ac:dyDescent="0.2">
      <c r="A1238" s="10">
        <v>1177</v>
      </c>
      <c r="B1238" s="1832"/>
      <c r="D1238" s="2" t="str">
        <f t="shared" si="18"/>
        <v>OK</v>
      </c>
    </row>
    <row r="1239" spans="1:4" x14ac:dyDescent="0.2">
      <c r="A1239" s="5">
        <v>1178</v>
      </c>
      <c r="B1239" s="1832">
        <f>'Expenditures 15-22'!E127</f>
        <v>41809</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41809</v>
      </c>
      <c r="C1241" s="2" t="s">
        <v>568</v>
      </c>
      <c r="D1241" s="2" t="str">
        <f t="shared" si="18"/>
        <v>Error?</v>
      </c>
    </row>
    <row r="1242" spans="1:4" x14ac:dyDescent="0.2">
      <c r="A1242" s="5">
        <v>1181</v>
      </c>
      <c r="B1242" s="1832">
        <f>'Expenditures 15-22'!E151</f>
        <v>41809</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59623</v>
      </c>
      <c r="D1245" s="2" t="str">
        <f t="shared" si="18"/>
        <v>Error?</v>
      </c>
    </row>
    <row r="1246" spans="1:4" x14ac:dyDescent="0.2">
      <c r="A1246" s="10">
        <v>1185</v>
      </c>
      <c r="B1246" s="1832"/>
      <c r="D1246" s="2" t="str">
        <f t="shared" si="18"/>
        <v>OK</v>
      </c>
    </row>
    <row r="1247" spans="1:4" x14ac:dyDescent="0.2">
      <c r="A1247" s="5">
        <v>1186</v>
      </c>
      <c r="B1247" s="1832">
        <f>'Expenditures 15-22'!F127</f>
        <v>59623</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59623</v>
      </c>
      <c r="C1249" s="2" t="s">
        <v>568</v>
      </c>
      <c r="D1249" s="2" t="str">
        <f t="shared" si="18"/>
        <v>Error?</v>
      </c>
    </row>
    <row r="1250" spans="1:4" x14ac:dyDescent="0.2">
      <c r="A1250" s="5">
        <v>1189</v>
      </c>
      <c r="B1250" s="1832">
        <f>'Expenditures 15-22'!F151</f>
        <v>59623</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44637</v>
      </c>
      <c r="D1252" s="2" t="str">
        <f t="shared" si="18"/>
        <v>Error?</v>
      </c>
    </row>
    <row r="1253" spans="1:4" x14ac:dyDescent="0.2">
      <c r="A1253" s="5">
        <v>1192</v>
      </c>
      <c r="B1253" s="1832">
        <f>'Expenditures 15-22'!G124</f>
        <v>74748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119385</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119385</v>
      </c>
      <c r="C1258" s="2" t="s">
        <v>568</v>
      </c>
      <c r="D1258" s="2" t="str">
        <f t="shared" si="18"/>
        <v>Error?</v>
      </c>
    </row>
    <row r="1259" spans="1:4" x14ac:dyDescent="0.2">
      <c r="A1259" s="5">
        <v>1198</v>
      </c>
      <c r="B1259" s="1832">
        <f>'Expenditures 15-22'!G151</f>
        <v>119385</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698</v>
      </c>
      <c r="D1262" s="2" t="str">
        <f t="shared" si="18"/>
        <v>Error?</v>
      </c>
    </row>
    <row r="1263" spans="1:4" x14ac:dyDescent="0.2">
      <c r="A1263" s="10">
        <v>1202</v>
      </c>
      <c r="B1263" s="1832"/>
      <c r="D1263" s="2" t="str">
        <f t="shared" si="18"/>
        <v>OK</v>
      </c>
    </row>
    <row r="1264" spans="1:4" x14ac:dyDescent="0.2">
      <c r="A1264" s="5">
        <v>1203</v>
      </c>
      <c r="B1264" s="1832">
        <f>'Expenditures 15-22'!H127</f>
        <v>698</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698</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698</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44637</v>
      </c>
      <c r="C1275" s="2" t="s">
        <v>568</v>
      </c>
      <c r="D1275" s="2" t="str">
        <f t="shared" si="18"/>
        <v>Error?</v>
      </c>
    </row>
    <row r="1276" spans="1:4" x14ac:dyDescent="0.2">
      <c r="A1276" s="5">
        <v>1215</v>
      </c>
      <c r="B1276" s="1832">
        <f>'Expenditures 15-22'!K124</f>
        <v>438997</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483634</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483634</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483634</v>
      </c>
      <c r="C1288" s="2" t="s">
        <v>568</v>
      </c>
      <c r="D1288" s="2" t="str">
        <f t="shared" si="19"/>
        <v>Error?</v>
      </c>
    </row>
    <row r="1289" spans="1:4" x14ac:dyDescent="0.2">
      <c r="A1289" s="5">
        <v>1228</v>
      </c>
      <c r="B1289" s="1832">
        <f>'Expenditures 15-22'!K152</f>
        <v>31948</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80056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311800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392356</v>
      </c>
      <c r="C1317" s="2" t="s">
        <v>568</v>
      </c>
      <c r="D1317" s="2" t="str">
        <f t="shared" si="19"/>
        <v>Error?</v>
      </c>
    </row>
    <row r="1318" spans="1:4" x14ac:dyDescent="0.2">
      <c r="A1318" s="5">
        <v>1257</v>
      </c>
      <c r="B1318" s="1832">
        <f>'Expenditures 15-22'!H174</f>
        <v>392356</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80056</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311800</v>
      </c>
      <c r="C1329" s="2" t="s">
        <v>568</v>
      </c>
      <c r="D1329" s="2" t="str">
        <f t="shared" si="19"/>
        <v>Error?</v>
      </c>
    </row>
    <row r="1330" spans="1:4" x14ac:dyDescent="0.2">
      <c r="A1330" s="5">
        <v>1269</v>
      </c>
      <c r="B1330" s="1832">
        <f>'Expenditures 15-22'!K171</f>
        <v>500</v>
      </c>
      <c r="C1330" s="2" t="s">
        <v>568</v>
      </c>
      <c r="D1330" s="2" t="str">
        <f t="shared" si="19"/>
        <v>Error?</v>
      </c>
    </row>
    <row r="1331" spans="1:4" x14ac:dyDescent="0.2">
      <c r="A1331" s="5">
        <v>1270</v>
      </c>
      <c r="B1331" s="1832">
        <f>'Expenditures 15-22'!K172</f>
        <v>392356</v>
      </c>
      <c r="C1331" s="2" t="s">
        <v>568</v>
      </c>
      <c r="D1331" s="2" t="str">
        <f t="shared" si="19"/>
        <v>Error?</v>
      </c>
    </row>
    <row r="1332" spans="1:4" x14ac:dyDescent="0.2">
      <c r="A1332" s="5">
        <v>1271</v>
      </c>
      <c r="B1332" s="1832">
        <f>'Expenditures 15-22'!K174</f>
        <v>392356</v>
      </c>
      <c r="C1332" s="2" t="s">
        <v>568</v>
      </c>
      <c r="D1332" s="2" t="str">
        <f t="shared" si="19"/>
        <v>Error?</v>
      </c>
    </row>
    <row r="1333" spans="1:4" x14ac:dyDescent="0.2">
      <c r="A1333" s="5">
        <v>1272</v>
      </c>
      <c r="B1333" s="1832">
        <f>'Expenditures 15-22'!K175</f>
        <v>14491</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199239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199239</v>
      </c>
      <c r="C1339" s="2" t="s">
        <v>568</v>
      </c>
      <c r="D1339" s="2" t="str">
        <f t="shared" si="19"/>
        <v>Error?</v>
      </c>
    </row>
    <row r="1340" spans="1:4" x14ac:dyDescent="0.2">
      <c r="A1340" s="5">
        <v>1279</v>
      </c>
      <c r="B1340" s="1832">
        <f>'Expenditures 15-22'!C210</f>
        <v>199239</v>
      </c>
      <c r="C1340" s="2" t="s">
        <v>568</v>
      </c>
      <c r="D1340" s="2" t="str">
        <f t="shared" si="19"/>
        <v>Error?</v>
      </c>
    </row>
    <row r="1341" spans="1:4" x14ac:dyDescent="0.2">
      <c r="A1341" s="5">
        <v>1280</v>
      </c>
      <c r="B1341" s="1832">
        <f>'Expenditures 15-22'!D182</f>
        <v>23323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23323</v>
      </c>
      <c r="C1345" s="2" t="s">
        <v>568</v>
      </c>
      <c r="D1345" s="2" t="str">
        <f t="shared" si="20"/>
        <v>Error?</v>
      </c>
    </row>
    <row r="1346" spans="1:4" x14ac:dyDescent="0.2">
      <c r="A1346" s="5">
        <v>1285</v>
      </c>
      <c r="B1346" s="1832">
        <f>'Expenditures 15-22'!D210</f>
        <v>23323</v>
      </c>
      <c r="C1346" s="2" t="s">
        <v>568</v>
      </c>
      <c r="D1346" s="2" t="str">
        <f t="shared" si="20"/>
        <v>Error?</v>
      </c>
    </row>
    <row r="1347" spans="1:4" x14ac:dyDescent="0.2">
      <c r="A1347" s="5">
        <v>1286</v>
      </c>
      <c r="B1347" s="1832">
        <f>'Expenditures 15-22'!E182</f>
        <v>18281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18281</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18281</v>
      </c>
      <c r="C1353" s="2" t="s">
        <v>568</v>
      </c>
      <c r="D1353" s="2" t="str">
        <f t="shared" si="20"/>
        <v>Error?</v>
      </c>
    </row>
    <row r="1354" spans="1:4" x14ac:dyDescent="0.2">
      <c r="A1354" s="5">
        <v>1293</v>
      </c>
      <c r="B1354" s="1832">
        <f>'Expenditures 15-22'!F182</f>
        <v>74353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74353</v>
      </c>
      <c r="C1358" s="2" t="s">
        <v>568</v>
      </c>
      <c r="D1358" s="2" t="str">
        <f t="shared" si="20"/>
        <v>Error?</v>
      </c>
    </row>
    <row r="1359" spans="1:4" x14ac:dyDescent="0.2">
      <c r="A1359" s="5">
        <v>1298</v>
      </c>
      <c r="B1359" s="1832">
        <f>'Expenditures 15-22'!F210</f>
        <v>74353</v>
      </c>
      <c r="C1359" s="2" t="s">
        <v>568</v>
      </c>
      <c r="D1359" s="2" t="str">
        <f t="shared" si="20"/>
        <v>Error?</v>
      </c>
    </row>
    <row r="1360" spans="1:4" x14ac:dyDescent="0.2">
      <c r="A1360" s="5">
        <v>1299</v>
      </c>
      <c r="B1360" s="1832">
        <f>'Expenditures 15-22'!G182</f>
        <v>12945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12945</v>
      </c>
      <c r="C1364" s="2" t="s">
        <v>568</v>
      </c>
      <c r="D1364" s="2" t="str">
        <f t="shared" si="20"/>
        <v>Error?</v>
      </c>
    </row>
    <row r="1365" spans="1:4" x14ac:dyDescent="0.2">
      <c r="A1365" s="5">
        <v>1304</v>
      </c>
      <c r="B1365" s="1832">
        <f>'Expenditures 15-22'!G210</f>
        <v>12945</v>
      </c>
      <c r="C1365" s="2" t="s">
        <v>568</v>
      </c>
      <c r="D1365" s="2" t="str">
        <f t="shared" si="20"/>
        <v>Error?</v>
      </c>
    </row>
    <row r="1366" spans="1:4" x14ac:dyDescent="0.2">
      <c r="A1366" s="5">
        <v>1305</v>
      </c>
      <c r="B1366" s="1832">
        <f>'Expenditures 15-22'!H182</f>
        <v>1492</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1492</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1492</v>
      </c>
      <c r="C1376" s="2" t="s">
        <v>568</v>
      </c>
      <c r="D1376" s="2" t="str">
        <f t="shared" si="20"/>
        <v>Error?</v>
      </c>
    </row>
    <row r="1377" spans="1:4" x14ac:dyDescent="0.2">
      <c r="A1377" s="5">
        <v>1316</v>
      </c>
      <c r="B1377" s="1832">
        <f>'Expenditures 15-22'!K182</f>
        <v>329633</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329633</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329633</v>
      </c>
      <c r="C1388" s="2" t="s">
        <v>568</v>
      </c>
      <c r="D1388" s="2" t="str">
        <f t="shared" si="20"/>
        <v>Error?</v>
      </c>
    </row>
    <row r="1389" spans="1:4" x14ac:dyDescent="0.2">
      <c r="A1389" s="5">
        <v>1328</v>
      </c>
      <c r="B1389" s="1832">
        <f>'Expenditures 15-22'!K211</f>
        <v>-17280</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1380.08</v>
      </c>
      <c r="D1407" s="2" t="str">
        <f t="shared" ref="D1407:D1470" si="21">IF(ISBLANK(B1407),"OK",IF(A1407-B1407=0,"OK","Error?"))</f>
        <v>Error?</v>
      </c>
    </row>
    <row r="1408" spans="1:4" x14ac:dyDescent="0.2">
      <c r="A1408" s="5">
        <v>1347</v>
      </c>
      <c r="B1408" s="1832">
        <f>'Expenditures 15-22'!D223</f>
        <v>2744.41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88992.35</v>
      </c>
      <c r="C1410" s="2" t="s">
        <v>568</v>
      </c>
      <c r="D1410" s="2" t="str">
        <f t="shared" si="21"/>
        <v>Error?</v>
      </c>
    </row>
    <row r="1411" spans="1:4" x14ac:dyDescent="0.2">
      <c r="A1411" s="5">
        <v>1350</v>
      </c>
      <c r="B1411" s="1832">
        <f>'Expenditures 15-22'!D232</f>
        <v>142.4</v>
      </c>
      <c r="D1411" s="2" t="str">
        <f t="shared" si="21"/>
        <v>Error?</v>
      </c>
    </row>
    <row r="1412" spans="1:4" x14ac:dyDescent="0.2">
      <c r="A1412" s="5">
        <v>1351</v>
      </c>
      <c r="B1412" s="1832">
        <f>'Expenditures 15-22'!D233</f>
        <v>6372.87</v>
      </c>
      <c r="D1412" s="2" t="str">
        <f t="shared" si="21"/>
        <v>Error?</v>
      </c>
    </row>
    <row r="1413" spans="1:4" x14ac:dyDescent="0.2">
      <c r="A1413" s="5">
        <v>1352</v>
      </c>
      <c r="B1413" s="1832">
        <f>'Expenditures 15-22'!D234</f>
        <v>4487.75</v>
      </c>
      <c r="D1413" s="2" t="str">
        <f t="shared" si="21"/>
        <v>Error?</v>
      </c>
    </row>
    <row r="1414" spans="1:4" x14ac:dyDescent="0.2">
      <c r="A1414" s="5">
        <v>1353</v>
      </c>
      <c r="B1414" s="1832">
        <f>'Expenditures 15-22'!D235</f>
        <v>1082.49</v>
      </c>
      <c r="D1414" s="2" t="str">
        <f t="shared" si="21"/>
        <v>Error?</v>
      </c>
    </row>
    <row r="1415" spans="1:4" x14ac:dyDescent="0.2">
      <c r="A1415" s="5">
        <v>1354</v>
      </c>
      <c r="B1415" s="1832">
        <f>'Expenditures 15-22'!D236</f>
        <v>935.2</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13020.710000000001</v>
      </c>
      <c r="C1417" s="2" t="s">
        <v>568</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20906.77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20906.77</v>
      </c>
      <c r="C1421" s="2" t="s">
        <v>568</v>
      </c>
      <c r="D1421" s="2" t="str">
        <f t="shared" si="21"/>
        <v>Error?</v>
      </c>
    </row>
    <row r="1422" spans="1:4" x14ac:dyDescent="0.2">
      <c r="A1422" s="5">
        <v>1361</v>
      </c>
      <c r="B1422" s="1832">
        <f>'Expenditures 15-22'!D245</f>
        <v>5007.01</v>
      </c>
      <c r="D1422" s="2" t="str">
        <f t="shared" si="21"/>
        <v>Error?</v>
      </c>
    </row>
    <row r="1423" spans="1:4" x14ac:dyDescent="0.2">
      <c r="A1423" s="5">
        <v>1362</v>
      </c>
      <c r="B1423" s="1832">
        <f>'Expenditures 15-22'!D246</f>
        <v>11403.44</v>
      </c>
      <c r="D1423" s="2" t="str">
        <f t="shared" si="21"/>
        <v>Error?</v>
      </c>
    </row>
    <row r="1424" spans="1:4" x14ac:dyDescent="0.2">
      <c r="A1424" s="5">
        <v>1363</v>
      </c>
      <c r="B1424" s="1832">
        <f>'Expenditures 15-22'!D257</f>
        <v>16410.45</v>
      </c>
      <c r="C1424" s="2" t="s">
        <v>568</v>
      </c>
      <c r="D1424" s="2" t="str">
        <f t="shared" si="21"/>
        <v>Error?</v>
      </c>
    </row>
    <row r="1425" spans="1:4" x14ac:dyDescent="0.2">
      <c r="A1425" s="5">
        <v>1364</v>
      </c>
      <c r="B1425" s="1832">
        <f>'Expenditures 15-22'!D259</f>
        <v>25972.99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25972.99</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6316.17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34999.96</v>
      </c>
      <c r="D1431" s="2" t="str">
        <f t="shared" si="21"/>
        <v>Error?</v>
      </c>
    </row>
    <row r="1432" spans="1:4" x14ac:dyDescent="0.2">
      <c r="A1432" s="5">
        <v>1371</v>
      </c>
      <c r="B1432" s="1832">
        <f>'Expenditures 15-22'!D267</f>
        <v>32204.18</v>
      </c>
      <c r="D1432" s="2" t="str">
        <f t="shared" si="21"/>
        <v>Error?</v>
      </c>
    </row>
    <row r="1433" spans="1:4" x14ac:dyDescent="0.2">
      <c r="A1433" s="5">
        <v>1372</v>
      </c>
      <c r="B1433" s="1832">
        <f>'Expenditures 15-22'!D268</f>
        <v>14900.26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88420.569999999992</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164731.49</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253723.84</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1380.08</v>
      </c>
      <c r="C1471" s="2" t="s">
        <v>568</v>
      </c>
      <c r="D1471" s="2" t="str">
        <f t="shared" ref="D1471:D1534" si="22">IF(ISBLANK(B1471),"OK",IF(A1471-B1471=0,"OK","Error?"))</f>
        <v>Error?</v>
      </c>
    </row>
    <row r="1472" spans="1:4" x14ac:dyDescent="0.2">
      <c r="A1472" s="5">
        <v>1411</v>
      </c>
      <c r="B1472" s="1832">
        <f>'Expenditures 15-22'!K223</f>
        <v>2744.41</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88992.35</v>
      </c>
      <c r="C1474" s="2" t="s">
        <v>568</v>
      </c>
      <c r="D1474" s="2" t="str">
        <f t="shared" si="22"/>
        <v>Error?</v>
      </c>
    </row>
    <row r="1475" spans="1:4" x14ac:dyDescent="0.2">
      <c r="A1475" s="5">
        <v>1414</v>
      </c>
      <c r="B1475" s="1832">
        <f>'Expenditures 15-22'!K232</f>
        <v>142.4</v>
      </c>
      <c r="C1475" s="2" t="s">
        <v>568</v>
      </c>
      <c r="D1475" s="2" t="str">
        <f t="shared" si="22"/>
        <v>Error?</v>
      </c>
    </row>
    <row r="1476" spans="1:4" x14ac:dyDescent="0.2">
      <c r="A1476" s="5">
        <v>1415</v>
      </c>
      <c r="B1476" s="1832">
        <f>'Expenditures 15-22'!K233</f>
        <v>6372.87</v>
      </c>
      <c r="C1476" s="2" t="s">
        <v>568</v>
      </c>
      <c r="D1476" s="2" t="str">
        <f t="shared" si="22"/>
        <v>Error?</v>
      </c>
    </row>
    <row r="1477" spans="1:4" x14ac:dyDescent="0.2">
      <c r="A1477" s="5">
        <v>1416</v>
      </c>
      <c r="B1477" s="1832">
        <f>'Expenditures 15-22'!K234</f>
        <v>4487.75</v>
      </c>
      <c r="C1477" s="2" t="s">
        <v>568</v>
      </c>
      <c r="D1477" s="2" t="str">
        <f t="shared" si="22"/>
        <v>Error?</v>
      </c>
    </row>
    <row r="1478" spans="1:4" x14ac:dyDescent="0.2">
      <c r="A1478" s="5">
        <v>1417</v>
      </c>
      <c r="B1478" s="1832">
        <f>'Expenditures 15-22'!K235</f>
        <v>1082.49</v>
      </c>
      <c r="C1478" s="2" t="s">
        <v>568</v>
      </c>
      <c r="D1478" s="2" t="str">
        <f t="shared" si="22"/>
        <v>Error?</v>
      </c>
    </row>
    <row r="1479" spans="1:4" x14ac:dyDescent="0.2">
      <c r="A1479" s="5">
        <v>1418</v>
      </c>
      <c r="B1479" s="1832">
        <f>'Expenditures 15-22'!K236</f>
        <v>935.2</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13020.710000000001</v>
      </c>
      <c r="C1481" s="2" t="s">
        <v>568</v>
      </c>
      <c r="D1481" s="2" t="str">
        <f t="shared" si="22"/>
        <v>Error?</v>
      </c>
    </row>
    <row r="1482" spans="1:4" x14ac:dyDescent="0.2">
      <c r="A1482" s="5">
        <v>1421</v>
      </c>
      <c r="B1482" s="1832">
        <f>'Expenditures 15-22'!K240</f>
        <v>0</v>
      </c>
      <c r="C1482" s="2" t="s">
        <v>568</v>
      </c>
      <c r="D1482" s="2" t="str">
        <f t="shared" si="22"/>
        <v>Error?</v>
      </c>
    </row>
    <row r="1483" spans="1:4" x14ac:dyDescent="0.2">
      <c r="A1483" s="5">
        <v>1422</v>
      </c>
      <c r="B1483" s="1832">
        <f>'Expenditures 15-22'!K241</f>
        <v>20906.77</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20906.77</v>
      </c>
      <c r="C1485" s="2" t="s">
        <v>568</v>
      </c>
      <c r="D1485" s="2" t="str">
        <f t="shared" si="22"/>
        <v>Error?</v>
      </c>
    </row>
    <row r="1486" spans="1:4" x14ac:dyDescent="0.2">
      <c r="A1486" s="5">
        <v>1425</v>
      </c>
      <c r="B1486" s="1832">
        <f>'Expenditures 15-22'!K245</f>
        <v>5007.01</v>
      </c>
      <c r="C1486" s="2" t="s">
        <v>568</v>
      </c>
      <c r="D1486" s="2" t="str">
        <f t="shared" si="22"/>
        <v>Error?</v>
      </c>
    </row>
    <row r="1487" spans="1:4" x14ac:dyDescent="0.2">
      <c r="A1487" s="5">
        <v>1426</v>
      </c>
      <c r="B1487" s="1832">
        <f>'Expenditures 15-22'!K246</f>
        <v>11403.44</v>
      </c>
      <c r="C1487" s="2" t="s">
        <v>568</v>
      </c>
      <c r="D1487" s="2" t="str">
        <f t="shared" si="22"/>
        <v>Error?</v>
      </c>
    </row>
    <row r="1488" spans="1:4" x14ac:dyDescent="0.2">
      <c r="A1488" s="5">
        <v>1427</v>
      </c>
      <c r="B1488" s="1832">
        <f>'Expenditures 15-22'!K257</f>
        <v>16410.45</v>
      </c>
      <c r="C1488" s="2" t="s">
        <v>568</v>
      </c>
      <c r="D1488" s="2" t="str">
        <f t="shared" si="22"/>
        <v>Error?</v>
      </c>
    </row>
    <row r="1489" spans="1:4" x14ac:dyDescent="0.2">
      <c r="A1489" s="5">
        <v>1428</v>
      </c>
      <c r="B1489" s="1832">
        <f>'Expenditures 15-22'!K259</f>
        <v>25972.99</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25972.99</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6316.17</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34999.96</v>
      </c>
      <c r="C1495" s="2" t="s">
        <v>568</v>
      </c>
      <c r="D1495" s="2" t="str">
        <f t="shared" si="22"/>
        <v>Error?</v>
      </c>
    </row>
    <row r="1496" spans="1:4" x14ac:dyDescent="0.2">
      <c r="A1496" s="5">
        <v>1435</v>
      </c>
      <c r="B1496" s="1832">
        <f>'Expenditures 15-22'!K267</f>
        <v>32204.18</v>
      </c>
      <c r="C1496" s="2" t="s">
        <v>568</v>
      </c>
      <c r="D1496" s="2" t="str">
        <f t="shared" si="22"/>
        <v>Error?</v>
      </c>
    </row>
    <row r="1497" spans="1:4" x14ac:dyDescent="0.2">
      <c r="A1497" s="5">
        <v>1436</v>
      </c>
      <c r="B1497" s="1832">
        <f>'Expenditures 15-22'!K268</f>
        <v>14900.26</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88420.569999999992</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164731.49</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253723.84</v>
      </c>
      <c r="C1517" s="2" t="s">
        <v>568</v>
      </c>
      <c r="D1517" s="2" t="str">
        <f t="shared" si="22"/>
        <v>Error?</v>
      </c>
    </row>
    <row r="1518" spans="1:4" x14ac:dyDescent="0.2">
      <c r="A1518" s="5">
        <v>1457</v>
      </c>
      <c r="B1518" s="1832">
        <f>'Expenditures 15-22'!K296</f>
        <v>-34239.079999999987</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2151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2151</v>
      </c>
      <c r="C1535" s="2" t="s">
        <v>568</v>
      </c>
      <c r="D1535" s="2" t="str">
        <f t="shared" ref="D1535:D1598" si="23">IF(ISBLANK(B1535),"OK",IF(A1535-B1535=0,"OK","Error?"))</f>
        <v>Error?</v>
      </c>
    </row>
    <row r="1536" spans="1:4" x14ac:dyDescent="0.2">
      <c r="A1536" s="5">
        <v>1475</v>
      </c>
      <c r="B1536" s="1832">
        <f>'Expenditures 15-22'!E312</f>
        <v>2151</v>
      </c>
      <c r="C1536" s="2" t="s">
        <v>568</v>
      </c>
      <c r="D1536" s="2" t="str">
        <f t="shared" si="23"/>
        <v>Error?</v>
      </c>
    </row>
    <row r="1537" spans="1:4" x14ac:dyDescent="0.2">
      <c r="A1537" s="5">
        <v>1476</v>
      </c>
      <c r="B1537" s="1832">
        <f>'Expenditures 15-22'!F301</f>
        <v>24976</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24976</v>
      </c>
      <c r="C1541" s="2" t="s">
        <v>568</v>
      </c>
      <c r="D1541" s="2" t="str">
        <f t="shared" si="23"/>
        <v>Error?</v>
      </c>
    </row>
    <row r="1542" spans="1:4" x14ac:dyDescent="0.2">
      <c r="A1542" s="5">
        <v>1481</v>
      </c>
      <c r="B1542" s="1832">
        <f>'Expenditures 15-22'!F312</f>
        <v>24976</v>
      </c>
      <c r="C1542" s="2" t="s">
        <v>568</v>
      </c>
      <c r="D1542" s="2" t="str">
        <f t="shared" si="23"/>
        <v>Error?</v>
      </c>
    </row>
    <row r="1543" spans="1:4" x14ac:dyDescent="0.2">
      <c r="A1543" s="5">
        <v>1482</v>
      </c>
      <c r="B1543" s="1832">
        <f>'Expenditures 15-22'!G301</f>
        <v>876960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876960</v>
      </c>
      <c r="C1547" s="2" t="s">
        <v>568</v>
      </c>
      <c r="D1547" s="2" t="str">
        <f t="shared" si="23"/>
        <v>Error?</v>
      </c>
    </row>
    <row r="1548" spans="1:4" x14ac:dyDescent="0.2">
      <c r="A1548" s="5">
        <v>1487</v>
      </c>
      <c r="B1548" s="1832">
        <f>'Expenditures 15-22'!G312</f>
        <v>876960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904087</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904087</v>
      </c>
      <c r="C1559" s="2" t="s">
        <v>568</v>
      </c>
      <c r="D1559" s="2" t="str">
        <f t="shared" si="23"/>
        <v>Error?</v>
      </c>
    </row>
    <row r="1560" spans="1:4" x14ac:dyDescent="0.2">
      <c r="A1560" s="5">
        <v>1499</v>
      </c>
      <c r="B1560" s="1832">
        <f>'Expenditures 15-22'!K312</f>
        <v>904087</v>
      </c>
      <c r="C1560" s="2" t="s">
        <v>568</v>
      </c>
      <c r="D1560" s="2" t="str">
        <f t="shared" si="23"/>
        <v>Error?</v>
      </c>
    </row>
    <row r="1561" spans="1:4" x14ac:dyDescent="0.2">
      <c r="A1561" s="5">
        <v>1500</v>
      </c>
      <c r="B1561" s="1832">
        <f>'Expenditures 15-22'!K313</f>
        <v>-754296</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4285769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4629493</v>
      </c>
      <c r="C1630" s="2" t="s">
        <v>568</v>
      </c>
      <c r="D1630" s="2" t="str">
        <f t="shared" si="24"/>
        <v>Error?</v>
      </c>
    </row>
    <row r="1631" spans="1:4" x14ac:dyDescent="0.2">
      <c r="A1631" s="5">
        <v>1570</v>
      </c>
      <c r="B1631" s="1832">
        <f>'Acct Summary 7-8'!D79</f>
        <v>272688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306511</v>
      </c>
      <c r="C1644" s="2" t="s">
        <v>568</v>
      </c>
      <c r="D1644" s="2" t="str">
        <f t="shared" si="24"/>
        <v>Error?</v>
      </c>
    </row>
    <row r="1645" spans="1:4" x14ac:dyDescent="0.2">
      <c r="A1645" s="5">
        <v>1584</v>
      </c>
      <c r="B1645" s="1832">
        <f>'Acct Summary 7-8'!E79</f>
        <v>193408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207899</v>
      </c>
      <c r="C1658" s="2" t="s">
        <v>568</v>
      </c>
      <c r="D1658" s="2" t="str">
        <f t="shared" si="24"/>
        <v>Error?</v>
      </c>
    </row>
    <row r="1659" spans="1:4" x14ac:dyDescent="0.2">
      <c r="A1659" s="5">
        <v>1598</v>
      </c>
      <c r="B1659" s="1832">
        <f>'Acct Summary 7-8'!F79</f>
        <v>90017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72837</v>
      </c>
      <c r="C1672" s="2" t="s">
        <v>568</v>
      </c>
      <c r="D1672" s="2" t="str">
        <f t="shared" si="25"/>
        <v>Error?</v>
      </c>
    </row>
    <row r="1673" spans="1:4" x14ac:dyDescent="0.2">
      <c r="A1673" s="5">
        <v>1612</v>
      </c>
      <c r="B1673" s="1832">
        <f>'Acct Summary 7-8'!G79</f>
        <v>191684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157444.92000000001</v>
      </c>
      <c r="C1686" s="2" t="s">
        <v>568</v>
      </c>
      <c r="D1686" s="2" t="str">
        <f t="shared" si="25"/>
        <v>Error?</v>
      </c>
    </row>
    <row r="1687" spans="1:4" x14ac:dyDescent="0.2">
      <c r="A1687" s="5">
        <v>1626</v>
      </c>
      <c r="B1687" s="1832">
        <f>'Acct Summary 7-8'!H79</f>
        <v>1167597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413301</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1864465</v>
      </c>
      <c r="C1744" s="2" t="s">
        <v>568</v>
      </c>
      <c r="D1744" s="2" t="str">
        <f t="shared" si="26"/>
        <v>Error?</v>
      </c>
    </row>
    <row r="1745" spans="1:5" x14ac:dyDescent="0.2">
      <c r="A1745" s="5">
        <v>1684</v>
      </c>
      <c r="B1745" s="1832">
        <f>'Tax Sched 23'!B5</f>
        <v>332930</v>
      </c>
      <c r="C1745" s="2" t="s">
        <v>568</v>
      </c>
      <c r="D1745" s="2" t="str">
        <f t="shared" si="26"/>
        <v>Error?</v>
      </c>
    </row>
    <row r="1746" spans="1:5" x14ac:dyDescent="0.2">
      <c r="A1746" s="5">
        <v>1685</v>
      </c>
      <c r="B1746" s="1832">
        <f>'Tax Sched 23'!B6</f>
        <v>179088</v>
      </c>
      <c r="C1746" s="2" t="s">
        <v>568</v>
      </c>
      <c r="D1746" s="2" t="str">
        <f t="shared" si="26"/>
        <v>Error?</v>
      </c>
    </row>
    <row r="1747" spans="1:5" x14ac:dyDescent="0.2">
      <c r="A1747" s="5">
        <v>1686</v>
      </c>
      <c r="B1747" s="1832">
        <f>'Tax Sched 23'!B7</f>
        <v>133173</v>
      </c>
      <c r="C1747" s="2" t="s">
        <v>568</v>
      </c>
      <c r="D1747" s="2" t="str">
        <f t="shared" si="26"/>
        <v>Error?</v>
      </c>
    </row>
    <row r="1748" spans="1:5" x14ac:dyDescent="0.2">
      <c r="A1748" s="5">
        <v>1687</v>
      </c>
      <c r="B1748" s="1832">
        <f>'Tax Sched 23'!B8</f>
        <v>104635</v>
      </c>
      <c r="C1748" s="2" t="s">
        <v>568</v>
      </c>
      <c r="D1748" s="2" t="str">
        <f t="shared" si="26"/>
        <v>Error?</v>
      </c>
    </row>
    <row r="1749" spans="1:5" x14ac:dyDescent="0.2">
      <c r="A1749" s="5">
        <v>1688</v>
      </c>
      <c r="B1749" s="1832">
        <f>'Tax Sched 23'!B10</f>
        <v>33293</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413551</v>
      </c>
      <c r="C1752" s="2" t="s">
        <v>568</v>
      </c>
      <c r="D1752" s="2" t="str">
        <f t="shared" si="26"/>
        <v>Error?</v>
      </c>
    </row>
    <row r="1753" spans="1:5" x14ac:dyDescent="0.2">
      <c r="A1753" s="5">
        <v>1692</v>
      </c>
      <c r="B1753" s="1832">
        <f>'Tax Sched 23'!B12</f>
        <v>33293</v>
      </c>
      <c r="C1753" s="2" t="s">
        <v>568</v>
      </c>
      <c r="D1753" s="2" t="str">
        <f t="shared" si="26"/>
        <v>Error?</v>
      </c>
    </row>
    <row r="1754" spans="1:5" x14ac:dyDescent="0.2">
      <c r="A1754" s="5">
        <v>1693</v>
      </c>
      <c r="B1754" s="1832">
        <f>'Tax Sched 23'!B14</f>
        <v>26635</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3258991</v>
      </c>
      <c r="C1759" s="2" t="s">
        <v>568</v>
      </c>
      <c r="D1759" s="2" t="str">
        <f t="shared" si="26"/>
        <v>Error?</v>
      </c>
    </row>
    <row r="1760" spans="1:5" x14ac:dyDescent="0.2">
      <c r="A1760" s="5">
        <v>1699</v>
      </c>
      <c r="B1760" s="1832">
        <f>'Tax Sched 23'!D4</f>
        <v>1864465</v>
      </c>
      <c r="C1760" s="2" t="s">
        <v>568</v>
      </c>
      <c r="D1760" s="2" t="str">
        <f t="shared" si="26"/>
        <v>Error?</v>
      </c>
    </row>
    <row r="1761" spans="1:7" x14ac:dyDescent="0.2">
      <c r="A1761" s="5">
        <v>1700</v>
      </c>
      <c r="B1761" s="1832">
        <f>'Tax Sched 23'!D5</f>
        <v>332930</v>
      </c>
      <c r="C1761" s="2" t="s">
        <v>568</v>
      </c>
      <c r="D1761" s="2" t="str">
        <f t="shared" si="26"/>
        <v>Error?</v>
      </c>
    </row>
    <row r="1762" spans="1:7" s="8" customFormat="1" x14ac:dyDescent="0.2">
      <c r="A1762" s="5">
        <v>1701</v>
      </c>
      <c r="B1762" s="1832">
        <f>'Tax Sched 23'!D6</f>
        <v>179088</v>
      </c>
      <c r="C1762" s="2" t="s">
        <v>568</v>
      </c>
      <c r="D1762" s="2" t="str">
        <f t="shared" si="26"/>
        <v>Error?</v>
      </c>
      <c r="E1762" s="9"/>
      <c r="G1762"/>
    </row>
    <row r="1763" spans="1:7" x14ac:dyDescent="0.2">
      <c r="A1763" s="5">
        <v>1702</v>
      </c>
      <c r="B1763" s="1832">
        <f>'Tax Sched 23'!D7</f>
        <v>133173</v>
      </c>
      <c r="C1763" s="2" t="s">
        <v>568</v>
      </c>
      <c r="D1763" s="2" t="str">
        <f t="shared" si="26"/>
        <v>Error?</v>
      </c>
    </row>
    <row r="1764" spans="1:7" x14ac:dyDescent="0.2">
      <c r="A1764" s="5">
        <v>1703</v>
      </c>
      <c r="B1764" s="1832">
        <f>'Tax Sched 23'!D8</f>
        <v>104635</v>
      </c>
      <c r="C1764" s="2" t="s">
        <v>568</v>
      </c>
      <c r="D1764" s="2" t="str">
        <f t="shared" si="26"/>
        <v>Error?</v>
      </c>
    </row>
    <row r="1765" spans="1:7" x14ac:dyDescent="0.2">
      <c r="A1765" s="5">
        <v>1704</v>
      </c>
      <c r="B1765" s="1832">
        <f>'Tax Sched 23'!D10</f>
        <v>33293</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413551</v>
      </c>
      <c r="C1768" s="2" t="s">
        <v>568</v>
      </c>
      <c r="D1768" s="2" t="str">
        <f t="shared" si="26"/>
        <v>Error?</v>
      </c>
    </row>
    <row r="1769" spans="1:7" x14ac:dyDescent="0.2">
      <c r="A1769" s="5">
        <v>1708</v>
      </c>
      <c r="B1769" s="1832">
        <f>'Tax Sched 23'!D12</f>
        <v>33293</v>
      </c>
      <c r="C1769" s="2" t="s">
        <v>568</v>
      </c>
      <c r="D1769" s="2" t="str">
        <f t="shared" si="26"/>
        <v>Error?</v>
      </c>
    </row>
    <row r="1770" spans="1:7" x14ac:dyDescent="0.2">
      <c r="A1770" s="5">
        <v>1709</v>
      </c>
      <c r="B1770" s="1832">
        <f>'Tax Sched 23'!D14</f>
        <v>26635</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3258991</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1938952</v>
      </c>
      <c r="C1792" s="2" t="s">
        <v>568</v>
      </c>
      <c r="D1792" s="2" t="str">
        <f t="shared" si="27"/>
        <v>Error?</v>
      </c>
    </row>
    <row r="1793" spans="1:4" x14ac:dyDescent="0.2">
      <c r="A1793" s="5">
        <v>1732</v>
      </c>
      <c r="B1793" s="1832">
        <f>'Tax Sched 23'!F5</f>
        <v>346241</v>
      </c>
      <c r="C1793" s="2" t="s">
        <v>568</v>
      </c>
      <c r="D1793" s="2" t="str">
        <f t="shared" si="27"/>
        <v>Error?</v>
      </c>
    </row>
    <row r="1794" spans="1:4" x14ac:dyDescent="0.2">
      <c r="A1794" s="5">
        <v>1733</v>
      </c>
      <c r="B1794" s="1832">
        <f>'Tax Sched 23'!F6</f>
        <v>179838</v>
      </c>
      <c r="C1794" s="2" t="s">
        <v>568</v>
      </c>
      <c r="D1794" s="2" t="str">
        <f t="shared" si="27"/>
        <v>Error?</v>
      </c>
    </row>
    <row r="1795" spans="1:4" x14ac:dyDescent="0.2">
      <c r="A1795" s="5">
        <v>1734</v>
      </c>
      <c r="B1795" s="1832">
        <f>'Tax Sched 23'!F7</f>
        <v>138497</v>
      </c>
      <c r="C1795" s="2" t="s">
        <v>568</v>
      </c>
      <c r="D1795" s="2" t="str">
        <f t="shared" si="27"/>
        <v>Error?</v>
      </c>
    </row>
    <row r="1796" spans="1:4" x14ac:dyDescent="0.2">
      <c r="A1796" s="5">
        <v>1735</v>
      </c>
      <c r="B1796" s="1832">
        <f>'Tax Sched 23'!F8</f>
        <v>109066</v>
      </c>
      <c r="C1796" s="2" t="s">
        <v>568</v>
      </c>
      <c r="D1796" s="2" t="str">
        <f t="shared" si="27"/>
        <v>Error?</v>
      </c>
    </row>
    <row r="1797" spans="1:4" x14ac:dyDescent="0.2">
      <c r="A1797" s="5">
        <v>1736</v>
      </c>
      <c r="B1797" s="1832">
        <f>'Tax Sched 23'!F10</f>
        <v>34624</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360022</v>
      </c>
      <c r="C1800" s="2" t="s">
        <v>568</v>
      </c>
      <c r="D1800" s="2" t="str">
        <f t="shared" si="27"/>
        <v>Error?</v>
      </c>
    </row>
    <row r="1801" spans="1:4" x14ac:dyDescent="0.2">
      <c r="A1801" s="5">
        <v>1740</v>
      </c>
      <c r="B1801" s="1832">
        <f>'Tax Sched 23'!F12</f>
        <v>34624</v>
      </c>
      <c r="C1801" s="2" t="s">
        <v>568</v>
      </c>
      <c r="D1801" s="2" t="str">
        <f t="shared" si="27"/>
        <v>Error?</v>
      </c>
    </row>
    <row r="1802" spans="1:4" x14ac:dyDescent="0.2">
      <c r="A1802" s="5">
        <v>1741</v>
      </c>
      <c r="B1802" s="1832">
        <f>'Tax Sched 23'!F14</f>
        <v>27699</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3344899</v>
      </c>
      <c r="C1807" s="2" t="s">
        <v>568</v>
      </c>
      <c r="D1807" s="2" t="str">
        <f t="shared" si="27"/>
        <v>Error?</v>
      </c>
    </row>
    <row r="1808" spans="1:4" x14ac:dyDescent="0.2">
      <c r="A1808" s="5">
        <v>1747</v>
      </c>
      <c r="B1808" s="1832">
        <f>'Tax Sched 23'!E4</f>
        <v>1938952</v>
      </c>
      <c r="D1808" s="2" t="str">
        <f t="shared" si="27"/>
        <v>Error?</v>
      </c>
    </row>
    <row r="1809" spans="1:4" x14ac:dyDescent="0.2">
      <c r="A1809" s="5">
        <v>1748</v>
      </c>
      <c r="B1809" s="1832">
        <f>'Tax Sched 23'!E5</f>
        <v>346241</v>
      </c>
      <c r="D1809" s="2" t="str">
        <f t="shared" si="27"/>
        <v>Error?</v>
      </c>
    </row>
    <row r="1810" spans="1:4" x14ac:dyDescent="0.2">
      <c r="A1810" s="5">
        <v>1749</v>
      </c>
      <c r="B1810" s="1832">
        <f>'Tax Sched 23'!E6</f>
        <v>179838</v>
      </c>
      <c r="D1810" s="2" t="str">
        <f t="shared" si="27"/>
        <v>Error?</v>
      </c>
    </row>
    <row r="1811" spans="1:4" x14ac:dyDescent="0.2">
      <c r="A1811" s="5">
        <v>1750</v>
      </c>
      <c r="B1811" s="1832">
        <f>'Tax Sched 23'!E7</f>
        <v>138497</v>
      </c>
      <c r="D1811" s="2" t="str">
        <f t="shared" si="27"/>
        <v>Error?</v>
      </c>
    </row>
    <row r="1812" spans="1:4" x14ac:dyDescent="0.2">
      <c r="A1812" s="5">
        <v>1751</v>
      </c>
      <c r="B1812" s="1832">
        <f>'Tax Sched 23'!E8</f>
        <v>109066</v>
      </c>
      <c r="D1812" s="2" t="str">
        <f t="shared" si="27"/>
        <v>Error?</v>
      </c>
    </row>
    <row r="1813" spans="1:4" x14ac:dyDescent="0.2">
      <c r="A1813" s="5">
        <v>1752</v>
      </c>
      <c r="B1813" s="1832">
        <f>'Tax Sched 23'!E10</f>
        <v>34624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360022</v>
      </c>
      <c r="D1816" s="2" t="str">
        <f t="shared" si="27"/>
        <v>Error?</v>
      </c>
    </row>
    <row r="1817" spans="1:4" x14ac:dyDescent="0.2">
      <c r="A1817" s="5">
        <v>1756</v>
      </c>
      <c r="B1817" s="1832">
        <f>'Tax Sched 23'!E12</f>
        <v>34624</v>
      </c>
      <c r="D1817" s="2" t="str">
        <f t="shared" si="27"/>
        <v>Error?</v>
      </c>
    </row>
    <row r="1818" spans="1:4" x14ac:dyDescent="0.2">
      <c r="A1818" s="5">
        <v>1757</v>
      </c>
      <c r="B1818" s="1832">
        <f>'Tax Sched 23'!E14</f>
        <v>27699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3344899</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1716000</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26635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26635</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26635</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26635</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135605</v>
      </c>
      <c r="D2008" s="2" t="str">
        <f t="shared" si="30"/>
        <v>Error?</v>
      </c>
    </row>
    <row r="2009" spans="1:4" x14ac:dyDescent="0.2">
      <c r="A2009" s="5">
        <v>1948</v>
      </c>
      <c r="B2009" s="1832">
        <f>'Cap Outlay Deprec 26'!C8</f>
        <v>5989548</v>
      </c>
      <c r="D2009" s="2" t="str">
        <f t="shared" si="30"/>
        <v>Error?</v>
      </c>
    </row>
    <row r="2010" spans="1:4" x14ac:dyDescent="0.2">
      <c r="A2010" s="5">
        <v>1949</v>
      </c>
      <c r="B2010" s="1832">
        <f>'Cap Outlay Deprec 26'!C10</f>
        <v>3382006</v>
      </c>
      <c r="D2010" s="2" t="str">
        <f t="shared" si="30"/>
        <v>Error?</v>
      </c>
    </row>
    <row r="2011" spans="1:4" x14ac:dyDescent="0.2">
      <c r="A2011" s="5">
        <v>1950</v>
      </c>
      <c r="B2011" s="1832">
        <f>'Cap Outlay Deprec 26'!C12</f>
        <v>1348846</v>
      </c>
      <c r="D2011" s="2" t="str">
        <f t="shared" si="30"/>
        <v>Error?</v>
      </c>
    </row>
    <row r="2012" spans="1:4" x14ac:dyDescent="0.2">
      <c r="A2012" s="5">
        <v>1951</v>
      </c>
      <c r="B2012" s="1832">
        <f>'Cap Outlay Deprec 26'!C13</f>
        <v>480828</v>
      </c>
      <c r="D2012" s="2" t="str">
        <f t="shared" si="30"/>
        <v>Error?</v>
      </c>
    </row>
    <row r="2013" spans="1:4" x14ac:dyDescent="0.2">
      <c r="A2013" s="5">
        <v>1952</v>
      </c>
      <c r="B2013" s="1832">
        <f>'Cap Outlay Deprec 26'!C16</f>
        <v>11336833</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1659878</v>
      </c>
      <c r="D2016" s="2" t="str">
        <f t="shared" si="30"/>
        <v>Error?</v>
      </c>
    </row>
    <row r="2017" spans="1:4" x14ac:dyDescent="0.2">
      <c r="A2017" s="5">
        <v>1956</v>
      </c>
      <c r="B2017" s="1832">
        <f>'Cap Outlay Deprec 26'!D12</f>
        <v>196136</v>
      </c>
      <c r="D2017" s="2" t="str">
        <f t="shared" si="30"/>
        <v>Error?</v>
      </c>
    </row>
    <row r="2018" spans="1:4" x14ac:dyDescent="0.2">
      <c r="A2018" s="5">
        <v>1957</v>
      </c>
      <c r="B2018" s="1832">
        <f>'Cap Outlay Deprec 26'!D13</f>
        <v>12945</v>
      </c>
      <c r="D2018" s="2" t="str">
        <f t="shared" si="30"/>
        <v>Error?</v>
      </c>
    </row>
    <row r="2019" spans="1:4" x14ac:dyDescent="0.2">
      <c r="A2019" s="5">
        <v>1958</v>
      </c>
      <c r="B2019" s="1832">
        <f>'Cap Outlay Deprec 26'!D16</f>
        <v>1868959</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158419</v>
      </c>
      <c r="D2023" s="2" t="str">
        <f t="shared" si="30"/>
        <v>Error?</v>
      </c>
    </row>
    <row r="2024" spans="1:4" x14ac:dyDescent="0.2">
      <c r="A2024" s="5">
        <v>1963</v>
      </c>
      <c r="B2024" s="1832">
        <f>'Cap Outlay Deprec 26'!E13</f>
        <v>81358</v>
      </c>
      <c r="D2024" s="2" t="str">
        <f t="shared" si="30"/>
        <v>Error?</v>
      </c>
    </row>
    <row r="2025" spans="1:4" x14ac:dyDescent="0.2">
      <c r="A2025" s="5">
        <v>1964</v>
      </c>
      <c r="B2025" s="1832">
        <f>'Cap Outlay Deprec 26'!E16</f>
        <v>239777</v>
      </c>
      <c r="C2025" s="2" t="s">
        <v>568</v>
      </c>
      <c r="D2025" s="2" t="str">
        <f t="shared" si="30"/>
        <v>Error?</v>
      </c>
    </row>
    <row r="2026" spans="1:4" x14ac:dyDescent="0.2">
      <c r="A2026" s="5">
        <v>1965</v>
      </c>
      <c r="B2026" s="1832">
        <f>'Cap Outlay Deprec 26'!F5</f>
        <v>135605</v>
      </c>
      <c r="C2026" s="2" t="s">
        <v>568</v>
      </c>
      <c r="D2026" s="2" t="str">
        <f t="shared" si="30"/>
        <v>Error?</v>
      </c>
    </row>
    <row r="2027" spans="1:4" x14ac:dyDescent="0.2">
      <c r="A2027" s="5">
        <v>1966</v>
      </c>
      <c r="B2027" s="1832">
        <f>'Cap Outlay Deprec 26'!F8</f>
        <v>5989548</v>
      </c>
      <c r="C2027" s="2" t="s">
        <v>568</v>
      </c>
      <c r="D2027" s="2" t="str">
        <f t="shared" si="30"/>
        <v>Error?</v>
      </c>
    </row>
    <row r="2028" spans="1:4" x14ac:dyDescent="0.2">
      <c r="A2028" s="5">
        <v>1967</v>
      </c>
      <c r="B2028" s="1832">
        <f>'Cap Outlay Deprec 26'!F10</f>
        <v>5041884</v>
      </c>
      <c r="C2028" s="2" t="s">
        <v>568</v>
      </c>
      <c r="D2028" s="2" t="str">
        <f t="shared" si="30"/>
        <v>Error?</v>
      </c>
    </row>
    <row r="2029" spans="1:4" x14ac:dyDescent="0.2">
      <c r="A2029" s="5">
        <v>1968</v>
      </c>
      <c r="B2029" s="1832">
        <f>'Cap Outlay Deprec 26'!F12</f>
        <v>1386563</v>
      </c>
      <c r="C2029" s="2" t="s">
        <v>568</v>
      </c>
      <c r="D2029" s="2" t="str">
        <f t="shared" si="30"/>
        <v>Error?</v>
      </c>
    </row>
    <row r="2030" spans="1:4" x14ac:dyDescent="0.2">
      <c r="A2030" s="5">
        <v>1969</v>
      </c>
      <c r="B2030" s="1832">
        <f>'Cap Outlay Deprec 26'!F13</f>
        <v>412415</v>
      </c>
      <c r="C2030" s="2" t="s">
        <v>568</v>
      </c>
      <c r="D2030" s="2" t="str">
        <f t="shared" si="30"/>
        <v>Error?</v>
      </c>
    </row>
    <row r="2031" spans="1:4" x14ac:dyDescent="0.2">
      <c r="A2031" s="5">
        <v>1970</v>
      </c>
      <c r="B2031" s="1832">
        <f>'Cap Outlay Deprec 26'!F16</f>
        <v>12966015</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5585416</v>
      </c>
      <c r="D2033" s="2" t="str">
        <f t="shared" si="30"/>
        <v>Error?</v>
      </c>
    </row>
    <row r="2034" spans="1:4" x14ac:dyDescent="0.2">
      <c r="A2034" s="5">
        <v>1973</v>
      </c>
      <c r="B2034" s="1832">
        <f>'Cap Outlay Deprec 26'!H10</f>
        <v>1841753</v>
      </c>
      <c r="D2034" s="2" t="str">
        <f t="shared" si="30"/>
        <v>Error?</v>
      </c>
    </row>
    <row r="2035" spans="1:4" x14ac:dyDescent="0.2">
      <c r="A2035" s="5">
        <v>1974</v>
      </c>
      <c r="B2035" s="1832">
        <f>'Cap Outlay Deprec 26'!H12</f>
        <v>731500</v>
      </c>
      <c r="D2035" s="2" t="str">
        <f t="shared" si="30"/>
        <v>Error?</v>
      </c>
    </row>
    <row r="2036" spans="1:4" x14ac:dyDescent="0.2">
      <c r="A2036" s="5">
        <v>1975</v>
      </c>
      <c r="B2036" s="1832">
        <f>'Cap Outlay Deprec 26'!H13</f>
        <v>351913</v>
      </c>
      <c r="D2036" s="2" t="str">
        <f t="shared" si="30"/>
        <v>Error?</v>
      </c>
    </row>
    <row r="2037" spans="1:4" x14ac:dyDescent="0.2">
      <c r="A2037" s="5">
        <v>1976</v>
      </c>
      <c r="B2037" s="1832">
        <f>'Cap Outlay Deprec 26'!H16</f>
        <v>8510582</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11655</v>
      </c>
      <c r="D2039" s="2" t="str">
        <f t="shared" si="30"/>
        <v>Error?</v>
      </c>
    </row>
    <row r="2040" spans="1:4" x14ac:dyDescent="0.2">
      <c r="A2040" s="5">
        <v>1979</v>
      </c>
      <c r="B2040" s="1832">
        <f>'Cap Outlay Deprec 26'!I10</f>
        <v>215519</v>
      </c>
      <c r="D2040" s="2" t="str">
        <f t="shared" si="30"/>
        <v>Error?</v>
      </c>
    </row>
    <row r="2041" spans="1:4" x14ac:dyDescent="0.2">
      <c r="A2041" s="5">
        <v>1980</v>
      </c>
      <c r="B2041" s="1832">
        <f>'Cap Outlay Deprec 26'!I12</f>
        <v>138659</v>
      </c>
      <c r="D2041" s="2" t="str">
        <f t="shared" si="30"/>
        <v>Error?</v>
      </c>
    </row>
    <row r="2042" spans="1:4" x14ac:dyDescent="0.2">
      <c r="A2042" s="5">
        <v>1981</v>
      </c>
      <c r="B2042" s="1832">
        <f>'Cap Outlay Deprec 26'!I13</f>
        <v>44935</v>
      </c>
      <c r="D2042" s="2" t="str">
        <f t="shared" si="30"/>
        <v>Error?</v>
      </c>
    </row>
    <row r="2043" spans="1:4" x14ac:dyDescent="0.2">
      <c r="A2043" s="5">
        <v>1982</v>
      </c>
      <c r="B2043" s="1832">
        <f>'Cap Outlay Deprec 26'!I16</f>
        <v>410768</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158419</v>
      </c>
      <c r="D2047" s="2" t="str">
        <f t="shared" ref="D2047:D2110" si="31">IF(ISBLANK(B2047),"OK",IF(A2047-B2047=0,"OK","Error?"))</f>
        <v>Error?</v>
      </c>
    </row>
    <row r="2048" spans="1:4" x14ac:dyDescent="0.2">
      <c r="A2048" s="5">
        <v>1987</v>
      </c>
      <c r="B2048" s="1832">
        <f>'Cap Outlay Deprec 26'!J13</f>
        <v>81358</v>
      </c>
      <c r="D2048" s="2" t="str">
        <f t="shared" si="31"/>
        <v>Error?</v>
      </c>
    </row>
    <row r="2049" spans="1:4" x14ac:dyDescent="0.2">
      <c r="A2049" s="5">
        <v>1988</v>
      </c>
      <c r="B2049" s="1832">
        <f>'Cap Outlay Deprec 26'!J16</f>
        <v>239777</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5597071</v>
      </c>
      <c r="C2051" s="2" t="s">
        <v>568</v>
      </c>
      <c r="D2051" s="2" t="str">
        <f t="shared" si="31"/>
        <v>Error?</v>
      </c>
    </row>
    <row r="2052" spans="1:4" x14ac:dyDescent="0.2">
      <c r="A2052" s="5">
        <v>1991</v>
      </c>
      <c r="B2052" s="1832">
        <f>'Cap Outlay Deprec 26'!K10</f>
        <v>2057272</v>
      </c>
      <c r="C2052" s="2" t="s">
        <v>568</v>
      </c>
      <c r="D2052" s="2" t="str">
        <f t="shared" si="31"/>
        <v>Error?</v>
      </c>
    </row>
    <row r="2053" spans="1:4" x14ac:dyDescent="0.2">
      <c r="A2053" s="5">
        <v>1992</v>
      </c>
      <c r="B2053" s="1832">
        <f>'Cap Outlay Deprec 26'!K12</f>
        <v>711740</v>
      </c>
      <c r="C2053" s="2" t="s">
        <v>568</v>
      </c>
      <c r="D2053" s="2" t="str">
        <f t="shared" si="31"/>
        <v>Error?</v>
      </c>
    </row>
    <row r="2054" spans="1:4" x14ac:dyDescent="0.2">
      <c r="A2054" s="5">
        <v>1993</v>
      </c>
      <c r="B2054" s="1832">
        <f>'Cap Outlay Deprec 26'!K13</f>
        <v>315490</v>
      </c>
      <c r="C2054" s="2" t="s">
        <v>568</v>
      </c>
      <c r="D2054" s="2" t="str">
        <f t="shared" si="31"/>
        <v>Error?</v>
      </c>
    </row>
    <row r="2055" spans="1:4" x14ac:dyDescent="0.2">
      <c r="A2055" s="5">
        <v>1994</v>
      </c>
      <c r="B2055" s="1832">
        <f>'Cap Outlay Deprec 26'!K16</f>
        <v>8681573</v>
      </c>
      <c r="C2055" s="2" t="s">
        <v>568</v>
      </c>
      <c r="D2055" s="2" t="str">
        <f t="shared" si="31"/>
        <v>Error?</v>
      </c>
    </row>
    <row r="2056" spans="1:4" x14ac:dyDescent="0.2">
      <c r="A2056" s="5">
        <v>1995</v>
      </c>
      <c r="B2056" s="1832">
        <f>'Cap Outlay Deprec 26'!L5</f>
        <v>135605</v>
      </c>
      <c r="C2056" s="2" t="s">
        <v>568</v>
      </c>
      <c r="D2056" s="2" t="str">
        <f t="shared" si="31"/>
        <v>Error?</v>
      </c>
    </row>
    <row r="2057" spans="1:4" x14ac:dyDescent="0.2">
      <c r="A2057" s="5">
        <v>1996</v>
      </c>
      <c r="B2057" s="1832">
        <f>'Cap Outlay Deprec 26'!L8</f>
        <v>392477</v>
      </c>
      <c r="C2057" s="2" t="s">
        <v>568</v>
      </c>
      <c r="D2057" s="2" t="str">
        <f t="shared" si="31"/>
        <v>Error?</v>
      </c>
    </row>
    <row r="2058" spans="1:4" x14ac:dyDescent="0.2">
      <c r="A2058" s="5">
        <v>1997</v>
      </c>
      <c r="B2058" s="1832">
        <f>'Cap Outlay Deprec 26'!L10</f>
        <v>2984612</v>
      </c>
      <c r="C2058" s="2" t="s">
        <v>568</v>
      </c>
      <c r="D2058" s="2" t="str">
        <f t="shared" si="31"/>
        <v>Error?</v>
      </c>
    </row>
    <row r="2059" spans="1:4" x14ac:dyDescent="0.2">
      <c r="A2059" s="5">
        <v>1998</v>
      </c>
      <c r="B2059" s="1832">
        <f>'Cap Outlay Deprec 26'!L12</f>
        <v>674823</v>
      </c>
      <c r="C2059" s="2" t="s">
        <v>568</v>
      </c>
      <c r="D2059" s="2" t="str">
        <f t="shared" si="31"/>
        <v>Error?</v>
      </c>
    </row>
    <row r="2060" spans="1:4" x14ac:dyDescent="0.2">
      <c r="A2060" s="5">
        <v>1999</v>
      </c>
      <c r="B2060" s="1832">
        <f>'Cap Outlay Deprec 26'!L13</f>
        <v>96925</v>
      </c>
      <c r="C2060" s="2" t="s">
        <v>568</v>
      </c>
      <c r="D2060" s="2" t="str">
        <f t="shared" si="31"/>
        <v>Error?</v>
      </c>
    </row>
    <row r="2061" spans="1:4" x14ac:dyDescent="0.2">
      <c r="A2061" s="5">
        <v>2000</v>
      </c>
      <c r="B2061" s="1832">
        <f>'Cap Outlay Deprec 26'!L16</f>
        <v>4284442</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107967</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583793</v>
      </c>
      <c r="C2088" s="2" t="s">
        <v>568</v>
      </c>
      <c r="D2088" s="2" t="str">
        <f t="shared" si="31"/>
        <v>Error?</v>
      </c>
    </row>
    <row r="2089" spans="1:4" x14ac:dyDescent="0.2">
      <c r="A2089" s="5">
        <v>2028</v>
      </c>
      <c r="B2089" s="1832">
        <f>'Expenditures 15-22'!K92</f>
        <v>27761</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37166</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2177588</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3653849</v>
      </c>
      <c r="C2553" s="2" t="s">
        <v>568</v>
      </c>
      <c r="D2553" s="2" t="str">
        <f t="shared" si="38"/>
        <v>Error?</v>
      </c>
    </row>
    <row r="2554" spans="1:4" x14ac:dyDescent="0.2">
      <c r="A2554" s="5">
        <v>2493</v>
      </c>
      <c r="B2554" s="1832">
        <f>'Acct Summary 7-8'!C7</f>
        <v>805447</v>
      </c>
      <c r="C2554" s="2" t="s">
        <v>568</v>
      </c>
      <c r="D2554" s="2" t="str">
        <f t="shared" si="38"/>
        <v>Error?</v>
      </c>
    </row>
    <row r="2555" spans="1:4" x14ac:dyDescent="0.2">
      <c r="A2555" s="5">
        <v>2494</v>
      </c>
      <c r="B2555" s="1832">
        <f>'Acct Summary 7-8'!C8</f>
        <v>6636884</v>
      </c>
      <c r="C2555" s="2" t="s">
        <v>568</v>
      </c>
      <c r="D2555" s="2" t="str">
        <f t="shared" si="38"/>
        <v>Error?</v>
      </c>
    </row>
    <row r="2556" spans="1:4" x14ac:dyDescent="0.2">
      <c r="A2556" s="5">
        <v>2495</v>
      </c>
      <c r="B2556" s="1832">
        <f>'Acct Summary 7-8'!C12</f>
        <v>3997824</v>
      </c>
      <c r="C2556" s="2" t="s">
        <v>568</v>
      </c>
      <c r="D2556" s="2" t="str">
        <f t="shared" si="38"/>
        <v>Error?</v>
      </c>
    </row>
    <row r="2557" spans="1:4" x14ac:dyDescent="0.2">
      <c r="A2557" s="5">
        <v>2496</v>
      </c>
      <c r="B2557" s="1832">
        <f>'Acct Summary 7-8'!C13</f>
        <v>1680768</v>
      </c>
      <c r="C2557" s="2" t="s">
        <v>568</v>
      </c>
      <c r="D2557" s="2" t="str">
        <f t="shared" si="38"/>
        <v>Error?</v>
      </c>
    </row>
    <row r="2558" spans="1:4" x14ac:dyDescent="0.2">
      <c r="A2558" s="5">
        <v>2497</v>
      </c>
      <c r="B2558" s="1832">
        <f>'Acct Summary 7-8'!C14</f>
        <v>3590</v>
      </c>
      <c r="C2558" s="2" t="s">
        <v>568</v>
      </c>
      <c r="D2558" s="2" t="str">
        <f t="shared" si="38"/>
        <v>Error?</v>
      </c>
    </row>
    <row r="2559" spans="1:4" x14ac:dyDescent="0.2">
      <c r="A2559" s="5">
        <v>2498</v>
      </c>
      <c r="B2559" s="1832">
        <f>'Acct Summary 7-8'!C15</f>
        <v>611554</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6293736</v>
      </c>
      <c r="C2561" s="2" t="s">
        <v>568</v>
      </c>
      <c r="D2561" s="2" t="str">
        <f t="shared" si="39"/>
        <v>Error?</v>
      </c>
    </row>
    <row r="2562" spans="1:4" x14ac:dyDescent="0.2">
      <c r="A2562" s="5">
        <v>2501</v>
      </c>
      <c r="B2562" s="1832">
        <f>'Acct Summary 7-8'!C20</f>
        <v>343148</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511118</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4464</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515582</v>
      </c>
      <c r="C2568" s="2" t="s">
        <v>568</v>
      </c>
      <c r="D2568" s="2" t="str">
        <f t="shared" si="39"/>
        <v>Error?</v>
      </c>
    </row>
    <row r="2569" spans="1:4" x14ac:dyDescent="0.2">
      <c r="A2569" s="5">
        <v>2508</v>
      </c>
      <c r="B2569" s="1832">
        <f>'Acct Summary 7-8'!D13</f>
        <v>483634</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483634</v>
      </c>
      <c r="C2573" s="2" t="s">
        <v>568</v>
      </c>
      <c r="D2573" s="2" t="str">
        <f t="shared" si="39"/>
        <v>Error?</v>
      </c>
    </row>
    <row r="2574" spans="1:4" x14ac:dyDescent="0.2">
      <c r="A2574" s="5">
        <v>2513</v>
      </c>
      <c r="B2574" s="1832">
        <f>'Acct Summary 7-8'!D20</f>
        <v>31948</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134020</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178333</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312353</v>
      </c>
      <c r="C2595" s="2" t="s">
        <v>568</v>
      </c>
      <c r="D2595" s="2" t="str">
        <f t="shared" si="39"/>
        <v>Error?</v>
      </c>
    </row>
    <row r="2596" spans="1:4" x14ac:dyDescent="0.2">
      <c r="A2596" s="5">
        <v>2535</v>
      </c>
      <c r="B2596" s="1832">
        <f>'Acct Summary 7-8'!F13</f>
        <v>329633</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329633</v>
      </c>
      <c r="C2600" s="2" t="s">
        <v>568</v>
      </c>
      <c r="D2600" s="2" t="str">
        <f t="shared" si="39"/>
        <v>Error?</v>
      </c>
    </row>
    <row r="2601" spans="1:4" x14ac:dyDescent="0.2">
      <c r="A2601" s="5">
        <v>2540</v>
      </c>
      <c r="B2601" s="1832">
        <f>'Acct Summary 7-8'!F20</f>
        <v>-17280</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219484.76</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219484.76</v>
      </c>
      <c r="C2606" s="2" t="s">
        <v>568</v>
      </c>
      <c r="D2606" s="2" t="str">
        <f t="shared" si="39"/>
        <v>Error?</v>
      </c>
    </row>
    <row r="2607" spans="1:4" x14ac:dyDescent="0.2">
      <c r="A2607" s="5">
        <v>2546</v>
      </c>
      <c r="B2607" s="1832">
        <f>'Acct Summary 7-8'!G12</f>
        <v>88992.35</v>
      </c>
      <c r="C2607" s="2" t="s">
        <v>568</v>
      </c>
      <c r="D2607" s="2" t="str">
        <f t="shared" si="39"/>
        <v>Error?</v>
      </c>
    </row>
    <row r="2608" spans="1:4" x14ac:dyDescent="0.2">
      <c r="A2608" s="5">
        <v>2547</v>
      </c>
      <c r="B2608" s="1832">
        <f>'Acct Summary 7-8'!G13</f>
        <v>164731.49</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253723.84</v>
      </c>
      <c r="C2612" s="2" t="s">
        <v>568</v>
      </c>
      <c r="D2612" s="2" t="str">
        <f t="shared" si="39"/>
        <v>Error?</v>
      </c>
    </row>
    <row r="2613" spans="1:4" x14ac:dyDescent="0.2">
      <c r="A2613" s="5">
        <v>2552</v>
      </c>
      <c r="B2613" s="1832">
        <f>'Acct Summary 7-8'!G20</f>
        <v>-34239.079999999987</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406847</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406847</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392356</v>
      </c>
      <c r="C2634" s="2" t="s">
        <v>568</v>
      </c>
      <c r="D2634" s="2" t="str">
        <f t="shared" si="40"/>
        <v>Error?</v>
      </c>
    </row>
    <row r="2635" spans="1:4" x14ac:dyDescent="0.2">
      <c r="A2635" s="5">
        <v>2574</v>
      </c>
      <c r="B2635" s="1832">
        <f>'Acct Summary 7-8'!E17</f>
        <v>392356</v>
      </c>
      <c r="C2635" s="2" t="s">
        <v>568</v>
      </c>
      <c r="D2635" s="2" t="str">
        <f t="shared" si="40"/>
        <v>Error?</v>
      </c>
    </row>
    <row r="2636" spans="1:4" x14ac:dyDescent="0.2">
      <c r="A2636" s="5">
        <v>2575</v>
      </c>
      <c r="B2636" s="1832">
        <f>'Acct Summary 7-8'!E20</f>
        <v>14491</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149791</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149791</v>
      </c>
      <c r="C2658" s="2" t="s">
        <v>568</v>
      </c>
      <c r="D2658" s="2" t="str">
        <f t="shared" si="40"/>
        <v>Error?</v>
      </c>
    </row>
    <row r="2659" spans="1:4" x14ac:dyDescent="0.2">
      <c r="A2659" s="5">
        <v>2598</v>
      </c>
      <c r="B2659" s="1832">
        <f>'Acct Summary 7-8'!H13</f>
        <v>904087</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904087</v>
      </c>
      <c r="C2661" s="2" t="s">
        <v>568</v>
      </c>
      <c r="D2661" s="2" t="str">
        <f t="shared" si="40"/>
        <v>Error?</v>
      </c>
    </row>
    <row r="2662" spans="1:4" x14ac:dyDescent="0.2">
      <c r="A2662" s="5">
        <v>2601</v>
      </c>
      <c r="B2662" s="1832">
        <f>'Acct Summary 7-8'!H20</f>
        <v>-754296</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475826</v>
      </c>
      <c r="C2789" s="2" t="s">
        <v>568</v>
      </c>
      <c r="D2789" s="2" t="str">
        <f t="shared" si="42"/>
        <v>Error?</v>
      </c>
    </row>
    <row r="2790" spans="1:4" x14ac:dyDescent="0.2">
      <c r="A2790" s="5">
        <v>2729</v>
      </c>
      <c r="B2790" s="1832">
        <f>'Expenditures 15-22'!E102</f>
        <v>475826</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567083</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69143</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254270</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567083</v>
      </c>
      <c r="D2912" s="2" t="str">
        <f t="shared" si="44"/>
        <v>Error?</v>
      </c>
    </row>
    <row r="2913" spans="1:4" x14ac:dyDescent="0.2">
      <c r="A2913" s="5">
        <v>2852</v>
      </c>
      <c r="B2913" s="1832">
        <f>'Assets-Liab 5-6'!I41</f>
        <v>567083</v>
      </c>
      <c r="C2913" s="2" t="s">
        <v>568</v>
      </c>
      <c r="D2913" s="2" t="str">
        <f t="shared" si="44"/>
        <v>Error?</v>
      </c>
    </row>
    <row r="2914" spans="1:4" x14ac:dyDescent="0.2">
      <c r="A2914" s="5">
        <v>2853</v>
      </c>
      <c r="B2914" s="1832">
        <f>'Assets-Liab 5-6'!L33</f>
        <v>254270</v>
      </c>
      <c r="D2914" s="2" t="str">
        <f t="shared" si="44"/>
        <v>Error?</v>
      </c>
    </row>
    <row r="2915" spans="1:4" x14ac:dyDescent="0.2">
      <c r="A2915" s="10">
        <v>2854</v>
      </c>
      <c r="B2915" s="1832"/>
      <c r="D2915" s="2" t="str">
        <f t="shared" si="44"/>
        <v>OK</v>
      </c>
    </row>
    <row r="2916" spans="1:4" x14ac:dyDescent="0.2">
      <c r="A2916" s="5">
        <v>2855</v>
      </c>
      <c r="B2916" s="1832">
        <f>'Assets-Liab 5-6'!L34</f>
        <v>254270</v>
      </c>
      <c r="C2916" s="2" t="s">
        <v>568</v>
      </c>
      <c r="D2916" s="2" t="str">
        <f t="shared" si="44"/>
        <v>Error?</v>
      </c>
    </row>
    <row r="2917" spans="1:4" x14ac:dyDescent="0.2">
      <c r="A2917" s="5">
        <v>2856</v>
      </c>
      <c r="B2917" s="1832">
        <f>'Assets-Liab 5-6'!L41</f>
        <v>254270</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436791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2500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36535</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107967</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436791</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2500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144502</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5638</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594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48142</v>
      </c>
      <c r="D3060" s="2" t="str">
        <f t="shared" si="46"/>
        <v>Error?</v>
      </c>
    </row>
    <row r="3061" spans="1:4" x14ac:dyDescent="0.2">
      <c r="A3061" s="10">
        <v>3000</v>
      </c>
      <c r="B3061" s="1832"/>
      <c r="D3061" s="2" t="str">
        <f t="shared" si="46"/>
        <v>OK</v>
      </c>
    </row>
    <row r="3062" spans="1:4" x14ac:dyDescent="0.2">
      <c r="A3062" s="5">
        <v>3001</v>
      </c>
      <c r="B3062" s="1832">
        <f>'Expenditures 15-22'!K10</f>
        <v>54374</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33326.39</v>
      </c>
      <c r="C3225" s="2" t="s">
        <v>568</v>
      </c>
      <c r="D3225" s="2" t="str">
        <f t="shared" si="49"/>
        <v>Error?</v>
      </c>
    </row>
    <row r="3226" spans="1:4" x14ac:dyDescent="0.2">
      <c r="A3226" s="5">
        <v>3165</v>
      </c>
      <c r="B3226" s="1832">
        <f>'Acct Summary 7-8'!I8</f>
        <v>33326.39</v>
      </c>
      <c r="C3226" s="2" t="s">
        <v>568</v>
      </c>
      <c r="D3226" s="2" t="str">
        <f t="shared" si="49"/>
        <v>Error?</v>
      </c>
    </row>
    <row r="3227" spans="1:4" x14ac:dyDescent="0.2">
      <c r="A3227" s="5">
        <v>3166</v>
      </c>
      <c r="B3227" s="1832">
        <f>'Acct Summary 7-8'!I20</f>
        <v>33326.39</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576</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576</v>
      </c>
      <c r="C3232" s="2" t="s">
        <v>568</v>
      </c>
      <c r="D3232" s="2" t="str">
        <f t="shared" si="49"/>
        <v>Error?</v>
      </c>
    </row>
    <row r="3233" spans="1:4" x14ac:dyDescent="0.2">
      <c r="A3233" s="5">
        <v>3172</v>
      </c>
      <c r="B3233" s="1832">
        <f>'Acct Summary 7-8'!C78</f>
        <v>343724</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1875</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1875</v>
      </c>
      <c r="C3238" s="2" t="s">
        <v>568</v>
      </c>
      <c r="D3238" s="2" t="str">
        <f t="shared" si="49"/>
        <v>Error?</v>
      </c>
    </row>
    <row r="3239" spans="1:4" x14ac:dyDescent="0.2">
      <c r="A3239" s="5">
        <v>3178</v>
      </c>
      <c r="B3239" s="1832">
        <f>'Acct Summary 7-8'!D78</f>
        <v>33823</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100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100</v>
      </c>
      <c r="C3255" s="2" t="s">
        <v>568</v>
      </c>
      <c r="D3255" s="2" t="str">
        <f t="shared" si="49"/>
        <v>Error?</v>
      </c>
    </row>
    <row r="3256" spans="1:4" x14ac:dyDescent="0.2">
      <c r="A3256" s="5">
        <v>3195</v>
      </c>
      <c r="B3256" s="1832">
        <f>'Acct Summary 7-8'!F78</f>
        <v>-17180</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-34239.079999999987</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14491</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-754296</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33326.39</v>
      </c>
      <c r="C3320" s="2" t="s">
        <v>568</v>
      </c>
      <c r="D3320" s="2" t="str">
        <f t="shared" si="50"/>
        <v>Error?</v>
      </c>
    </row>
    <row r="3321" spans="1:4" x14ac:dyDescent="0.2">
      <c r="A3321" s="5">
        <v>3260</v>
      </c>
      <c r="B3321" s="1832">
        <f>'Acct Summary 7-8'!I79</f>
        <v>533757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567083.39</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678644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151954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9174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8753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745</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787</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850057</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31716.73</v>
      </c>
      <c r="D3387" s="2" t="str">
        <f t="shared" si="51"/>
        <v>Error?</v>
      </c>
    </row>
    <row r="3388" spans="1:4" x14ac:dyDescent="0.2">
      <c r="A3388" s="5">
        <v>3327</v>
      </c>
      <c r="B3388" s="1832">
        <f>'Expenditures 15-22'!D217</f>
        <v>52892.91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31716.73</v>
      </c>
      <c r="C3390" s="2" t="s">
        <v>568</v>
      </c>
      <c r="D3390" s="2" t="str">
        <f t="shared" si="51"/>
        <v>Error?</v>
      </c>
    </row>
    <row r="3391" spans="1:4" x14ac:dyDescent="0.2">
      <c r="A3391" s="5">
        <v>3330</v>
      </c>
      <c r="B3391" s="1832">
        <f>'Expenditures 15-22'!K217</f>
        <v>52892.91</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2721341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306511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207899</v>
      </c>
      <c r="D3417" s="2" t="str">
        <f t="shared" si="52"/>
        <v>Error?</v>
      </c>
    </row>
    <row r="3418" spans="1:4" x14ac:dyDescent="0.2">
      <c r="A3418" s="10">
        <v>3357</v>
      </c>
      <c r="B3418" s="1832"/>
      <c r="D3418" s="2" t="str">
        <f t="shared" si="52"/>
        <v>OK</v>
      </c>
    </row>
    <row r="3419" spans="1:4" x14ac:dyDescent="0.2">
      <c r="A3419" s="5">
        <v>3358</v>
      </c>
      <c r="B3419" s="1832">
        <f>'Assets-Liab 5-6'!F4</f>
        <v>172837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228445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413301</v>
      </c>
      <c r="D3425" s="2" t="str">
        <f t="shared" si="52"/>
        <v>Error?</v>
      </c>
    </row>
    <row r="3426" spans="1:4" x14ac:dyDescent="0.2">
      <c r="A3426" s="10">
        <v>3365</v>
      </c>
      <c r="B3426" s="1832"/>
      <c r="D3426" s="2" t="str">
        <f t="shared" si="52"/>
        <v>OK</v>
      </c>
    </row>
    <row r="3427" spans="1:4" x14ac:dyDescent="0.2">
      <c r="A3427" s="5">
        <v>3366</v>
      </c>
      <c r="B3427" s="1832">
        <f>'Assets-Liab 5-6'!I4</f>
        <v>396083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185127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104635</v>
      </c>
      <c r="C3446" s="2" t="s">
        <v>568</v>
      </c>
      <c r="D3446" s="2" t="str">
        <f t="shared" si="52"/>
        <v>Error?</v>
      </c>
    </row>
    <row r="3447" spans="1:4" x14ac:dyDescent="0.2">
      <c r="A3447" s="5">
        <v>3386</v>
      </c>
      <c r="B3447" s="1832">
        <f>'Tax Sched 23'!D16</f>
        <v>104635</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140712</v>
      </c>
      <c r="C3449" s="2" t="s">
        <v>568</v>
      </c>
      <c r="D3449" s="2" t="str">
        <f t="shared" si="52"/>
        <v>Error?</v>
      </c>
    </row>
    <row r="3450" spans="1:4" x14ac:dyDescent="0.2">
      <c r="A3450" s="5">
        <v>3389</v>
      </c>
      <c r="B3450" s="1832">
        <f>'Tax Sched 23'!E16</f>
        <v>140712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576</v>
      </c>
      <c r="D3530" s="2" t="str">
        <f t="shared" si="54"/>
        <v>Error?</v>
      </c>
    </row>
    <row r="3531" spans="1:5" x14ac:dyDescent="0.2">
      <c r="A3531" s="5">
        <v>3470</v>
      </c>
      <c r="B3531" s="1832">
        <f>'Acct Summary 7-8'!D36</f>
        <v>1875</v>
      </c>
      <c r="D3531" s="2" t="str">
        <f t="shared" si="54"/>
        <v>Error?</v>
      </c>
    </row>
    <row r="3532" spans="1:5" x14ac:dyDescent="0.2">
      <c r="A3532" s="5">
        <v>3471</v>
      </c>
      <c r="B3532" s="1832">
        <f>'Acct Summary 7-8'!F36</f>
        <v>100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40262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40262</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40262</v>
      </c>
      <c r="D3567" s="2" t="str">
        <f t="shared" si="54"/>
        <v>Error?</v>
      </c>
    </row>
    <row r="3568" spans="1:4" x14ac:dyDescent="0.2">
      <c r="A3568" s="5">
        <v>3507</v>
      </c>
      <c r="B3568" s="1832">
        <f>'Assets-Liab 5-6'!K41</f>
        <v>40262</v>
      </c>
      <c r="C3568" s="2" t="s">
        <v>568</v>
      </c>
      <c r="D3568" s="2" t="str">
        <f t="shared" si="54"/>
        <v>Error?</v>
      </c>
    </row>
    <row r="3569" spans="1:4" x14ac:dyDescent="0.2">
      <c r="A3569" s="5">
        <v>3508</v>
      </c>
      <c r="B3569" s="1832">
        <f>'Acct Summary 7-8'!K4</f>
        <v>33327</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33327</v>
      </c>
      <c r="C3571" s="2" t="s">
        <v>568</v>
      </c>
      <c r="D3571" s="2" t="str">
        <f t="shared" si="54"/>
        <v>Error?</v>
      </c>
    </row>
    <row r="3572" spans="1:4" x14ac:dyDescent="0.2">
      <c r="A3572" s="5">
        <v>3511</v>
      </c>
      <c r="B3572" s="1832">
        <f>'Acct Summary 7-8'!K13</f>
        <v>777623</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777623</v>
      </c>
      <c r="C3575" s="2" t="s">
        <v>568</v>
      </c>
      <c r="D3575" s="2" t="str">
        <f t="shared" si="54"/>
        <v>Error?</v>
      </c>
    </row>
    <row r="3576" spans="1:4" x14ac:dyDescent="0.2">
      <c r="A3576" s="5">
        <v>3515</v>
      </c>
      <c r="B3576" s="1832">
        <f>'Acct Summary 7-8'!K20</f>
        <v>-744296</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-744296</v>
      </c>
      <c r="C3588" s="2" t="s">
        <v>568</v>
      </c>
      <c r="D3588" s="2" t="str">
        <f t="shared" si="55"/>
        <v>Error?</v>
      </c>
    </row>
    <row r="3589" spans="1:4" x14ac:dyDescent="0.2">
      <c r="A3589" s="5">
        <v>3528</v>
      </c>
      <c r="B3589" s="1832">
        <f>'Acct Summary 7-8'!K79</f>
        <v>784558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40262</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777623</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777623</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777623</v>
      </c>
      <c r="C3649" s="2" t="s">
        <v>568</v>
      </c>
      <c r="D3649" s="2" t="str">
        <f t="shared" si="56"/>
        <v>Error?</v>
      </c>
    </row>
    <row r="3650" spans="1:4" x14ac:dyDescent="0.2">
      <c r="A3650" s="5">
        <v>3589</v>
      </c>
      <c r="B3650" s="1832">
        <f>'Expenditures 15-22'!G367</f>
        <v>777623</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777623</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777623</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777623</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777623</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-744296</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33293</v>
      </c>
      <c r="C3725" s="2" t="s">
        <v>568</v>
      </c>
      <c r="D3725" s="2" t="str">
        <f t="shared" si="57"/>
        <v>Error?</v>
      </c>
    </row>
    <row r="3726" spans="1:4" x14ac:dyDescent="0.2">
      <c r="A3726" s="5">
        <v>3665</v>
      </c>
      <c r="B3726" s="1832">
        <f>'Tax Sched 23'!D13</f>
        <v>33293</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34624</v>
      </c>
      <c r="C3728" s="2" t="s">
        <v>568</v>
      </c>
      <c r="D3728" s="2" t="str">
        <f t="shared" si="57"/>
        <v>Error?</v>
      </c>
    </row>
    <row r="3729" spans="1:4" x14ac:dyDescent="0.2">
      <c r="A3729" s="5">
        <v>3668</v>
      </c>
      <c r="B3729" s="1832">
        <f>'Tax Sched 23'!E13</f>
        <v>34624</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2555087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9191971</v>
      </c>
      <c r="C4122" s="2" t="s">
        <v>568</v>
      </c>
      <c r="D4122" s="2" t="str">
        <f t="shared" si="63"/>
        <v>Error?</v>
      </c>
    </row>
    <row r="4123" spans="1:4" x14ac:dyDescent="0.2">
      <c r="A4123" s="5">
        <v>4062</v>
      </c>
      <c r="B4123" s="1832">
        <f>'Acct Summary 7-8'!D10</f>
        <v>515582</v>
      </c>
      <c r="C4123" s="2" t="s">
        <v>568</v>
      </c>
      <c r="D4123" s="2" t="str">
        <f t="shared" si="63"/>
        <v>Error?</v>
      </c>
    </row>
    <row r="4124" spans="1:4" x14ac:dyDescent="0.2">
      <c r="A4124" s="5">
        <v>4063</v>
      </c>
      <c r="B4124" s="1832">
        <f>'Acct Summary 7-8'!E10</f>
        <v>406847</v>
      </c>
      <c r="C4124" s="2" t="s">
        <v>568</v>
      </c>
      <c r="D4124" s="2" t="str">
        <f t="shared" si="63"/>
        <v>Error?</v>
      </c>
    </row>
    <row r="4125" spans="1:4" x14ac:dyDescent="0.2">
      <c r="A4125" s="5">
        <v>4064</v>
      </c>
      <c r="B4125" s="1832">
        <f>'Acct Summary 7-8'!F10</f>
        <v>312353</v>
      </c>
      <c r="C4125" s="2" t="s">
        <v>568</v>
      </c>
      <c r="D4125" s="2" t="str">
        <f t="shared" si="63"/>
        <v>Error?</v>
      </c>
    </row>
    <row r="4126" spans="1:4" x14ac:dyDescent="0.2">
      <c r="A4126" s="5">
        <v>4065</v>
      </c>
      <c r="B4126" s="1832">
        <f>'Acct Summary 7-8'!G10</f>
        <v>219484.76</v>
      </c>
      <c r="C4126" s="2" t="s">
        <v>568</v>
      </c>
      <c r="D4126" s="2" t="str">
        <f t="shared" si="63"/>
        <v>Error?</v>
      </c>
    </row>
    <row r="4127" spans="1:4" x14ac:dyDescent="0.2">
      <c r="A4127" s="5">
        <v>4066</v>
      </c>
      <c r="B4127" s="1832">
        <f>'Acct Summary 7-8'!H10</f>
        <v>149791</v>
      </c>
      <c r="C4127" s="2" t="s">
        <v>568</v>
      </c>
      <c r="D4127" s="2" t="str">
        <f t="shared" si="63"/>
        <v>Error?</v>
      </c>
    </row>
    <row r="4128" spans="1:4" x14ac:dyDescent="0.2">
      <c r="A4128" s="5">
        <v>4067</v>
      </c>
      <c r="B4128" s="1832">
        <f>'Acct Summary 7-8'!I10</f>
        <v>33326.39</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33327</v>
      </c>
      <c r="C4130" s="2" t="s">
        <v>568</v>
      </c>
      <c r="D4130" s="2" t="str">
        <f t="shared" si="63"/>
        <v>Error?</v>
      </c>
    </row>
    <row r="4131" spans="1:4" x14ac:dyDescent="0.2">
      <c r="A4131" s="5">
        <v>4070</v>
      </c>
      <c r="B4131" s="1832">
        <f>'Acct Summary 7-8'!C18</f>
        <v>2555087</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8848823</v>
      </c>
      <c r="C4136" s="2" t="s">
        <v>568</v>
      </c>
      <c r="D4136" s="2" t="str">
        <f t="shared" si="63"/>
        <v>Error?</v>
      </c>
    </row>
    <row r="4137" spans="1:4" x14ac:dyDescent="0.2">
      <c r="A4137" s="5">
        <v>4076</v>
      </c>
      <c r="B4137" s="1832">
        <f>'Acct Summary 7-8'!D19</f>
        <v>483634</v>
      </c>
      <c r="C4137" s="2" t="s">
        <v>568</v>
      </c>
      <c r="D4137" s="2" t="str">
        <f t="shared" si="63"/>
        <v>Error?</v>
      </c>
    </row>
    <row r="4138" spans="1:4" x14ac:dyDescent="0.2">
      <c r="A4138" s="5">
        <v>4077</v>
      </c>
      <c r="B4138" s="1832">
        <f>'Acct Summary 7-8'!E19</f>
        <v>392356</v>
      </c>
      <c r="C4138" s="2" t="s">
        <v>568</v>
      </c>
      <c r="D4138" s="2" t="str">
        <f t="shared" si="63"/>
        <v>Error?</v>
      </c>
    </row>
    <row r="4139" spans="1:4" x14ac:dyDescent="0.2">
      <c r="A4139" s="5">
        <v>4078</v>
      </c>
      <c r="B4139" s="1832">
        <f>'Acct Summary 7-8'!F19</f>
        <v>329633</v>
      </c>
      <c r="C4139" s="2" t="s">
        <v>568</v>
      </c>
      <c r="D4139" s="2" t="str">
        <f t="shared" si="63"/>
        <v>Error?</v>
      </c>
    </row>
    <row r="4140" spans="1:4" x14ac:dyDescent="0.2">
      <c r="A4140" s="5">
        <v>4079</v>
      </c>
      <c r="B4140" s="1832">
        <f>'Acct Summary 7-8'!G19</f>
        <v>253723.84</v>
      </c>
      <c r="C4140" s="2" t="s">
        <v>568</v>
      </c>
      <c r="D4140" s="2" t="str">
        <f t="shared" si="63"/>
        <v>Error?</v>
      </c>
    </row>
    <row r="4141" spans="1:4" x14ac:dyDescent="0.2">
      <c r="A4141" s="5">
        <v>4080</v>
      </c>
      <c r="B4141" s="1832">
        <f>'Acct Summary 7-8'!H19</f>
        <v>904087</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777623</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1404200</v>
      </c>
      <c r="C4171" s="2" t="s">
        <v>568</v>
      </c>
      <c r="D4171" s="2" t="str">
        <f t="shared" si="64"/>
        <v>Error?</v>
      </c>
    </row>
    <row r="4172" spans="1:4" x14ac:dyDescent="0.2">
      <c r="A4172" s="5">
        <v>4111</v>
      </c>
      <c r="B4172" s="1832">
        <f>'Short-Term Long-Term Debt 24'!J49</f>
        <v>1196301</v>
      </c>
      <c r="C4172" s="2" t="s">
        <v>568</v>
      </c>
      <c r="D4172" s="2" t="str">
        <f t="shared" si="64"/>
        <v>Error?</v>
      </c>
    </row>
    <row r="4173" spans="1:4" x14ac:dyDescent="0.2">
      <c r="A4173" s="5">
        <v>4112</v>
      </c>
      <c r="B4173" s="1832">
        <f>'Short-Term Long-Term Debt 24'!H49</f>
        <v>311800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2800</v>
      </c>
      <c r="C4265" s="2" t="s">
        <v>568</v>
      </c>
      <c r="D4265" s="2" t="str">
        <f t="shared" si="65"/>
        <v>Error?</v>
      </c>
      <c r="E4265" s="125"/>
    </row>
    <row r="4266" spans="1:5" x14ac:dyDescent="0.2">
      <c r="A4266" s="12">
        <v>4205</v>
      </c>
      <c r="B4266" s="1832">
        <f>('FP Info 3'!F10)*100000</f>
        <v>500</v>
      </c>
      <c r="C4266" s="2" t="s">
        <v>568</v>
      </c>
      <c r="D4266" s="2" t="str">
        <f t="shared" si="65"/>
        <v>Error?</v>
      </c>
      <c r="E4266" s="125"/>
    </row>
    <row r="4267" spans="1:5" x14ac:dyDescent="0.2">
      <c r="A4267" s="12">
        <v>4206</v>
      </c>
      <c r="B4267" s="1832">
        <f>('FP Info 3'!H10)*100000</f>
        <v>200</v>
      </c>
      <c r="C4267" s="2" t="s">
        <v>568</v>
      </c>
      <c r="D4267" s="2" t="str">
        <f t="shared" si="65"/>
        <v>Error?</v>
      </c>
      <c r="E4267" s="125"/>
    </row>
    <row r="4268" spans="1:5" x14ac:dyDescent="0.2">
      <c r="A4268" s="12">
        <v>4207</v>
      </c>
      <c r="B4268" s="1832">
        <f>('FP Info 3'!J10)*100000</f>
        <v>3500.0000000000005</v>
      </c>
      <c r="C4268" s="2" t="s">
        <v>568</v>
      </c>
      <c r="D4268" s="2" t="str">
        <f t="shared" si="65"/>
        <v>Error?</v>
      </c>
    </row>
    <row r="4269" spans="1:5" x14ac:dyDescent="0.2">
      <c r="A4269" s="12">
        <v>4208</v>
      </c>
      <c r="B4269" s="1832">
        <f>'FP Info 3'!J16</f>
        <v>5575924.3899999997</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228095</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12926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19830</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4251</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4251</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12227</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41274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8469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4464</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69248268</v>
      </c>
      <c r="D4995" s="2" t="str">
        <f t="shared" si="77"/>
        <v>Error?</v>
      </c>
    </row>
    <row r="4996" spans="1:4" x14ac:dyDescent="0.2">
      <c r="A4996" s="12">
        <v>4935</v>
      </c>
      <c r="B4996" s="1832">
        <f>'FP Info 3'!H31</f>
        <v>9556260.9840000011</v>
      </c>
      <c r="D4996" s="2" t="str">
        <f t="shared" si="77"/>
        <v>Error?</v>
      </c>
    </row>
    <row r="4997" spans="1:4" x14ac:dyDescent="0.2">
      <c r="A4997" s="12">
        <v>4936</v>
      </c>
      <c r="B4997" s="1832">
        <f>'FP Info 3'!H37</f>
        <v>1404200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33293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1864465</v>
      </c>
      <c r="D5061" s="2" t="str">
        <f t="shared" si="78"/>
        <v>Error?</v>
      </c>
    </row>
    <row r="5062" spans="1:4" x14ac:dyDescent="0.2">
      <c r="A5062" s="10">
        <v>5001</v>
      </c>
      <c r="B5062" s="1832"/>
      <c r="D5062" s="2" t="str">
        <f t="shared" si="78"/>
        <v>OK</v>
      </c>
    </row>
    <row r="5063" spans="1:4" x14ac:dyDescent="0.2">
      <c r="A5063" s="5">
        <v>5002</v>
      </c>
      <c r="B5063" s="1832">
        <f>'Revenues 9-14'!C7</f>
        <v>26635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1924393</v>
      </c>
      <c r="C5066" s="2" t="s">
        <v>568</v>
      </c>
      <c r="D5066" s="2" t="str">
        <f t="shared" si="78"/>
        <v>Error?</v>
      </c>
    </row>
    <row r="5067" spans="1:4" x14ac:dyDescent="0.2">
      <c r="A5067" s="5">
        <v>5006</v>
      </c>
      <c r="B5067" s="1832">
        <f>'Revenues 9-14'!C14</f>
        <v>1699</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1699</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90430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90430</v>
      </c>
      <c r="C5090" s="2" t="s">
        <v>568</v>
      </c>
      <c r="D5090" s="2" t="str">
        <f t="shared" si="78"/>
        <v>Error?</v>
      </c>
    </row>
    <row r="5091" spans="1:4" x14ac:dyDescent="0.2">
      <c r="A5091" s="5">
        <v>5030</v>
      </c>
      <c r="B5091" s="1832">
        <f>'Revenues 9-14'!C70</f>
        <v>4139</v>
      </c>
      <c r="D5091" s="2" t="str">
        <f t="shared" si="78"/>
        <v>Error?</v>
      </c>
    </row>
    <row r="5092" spans="1:4" x14ac:dyDescent="0.2">
      <c r="A5092" s="5">
        <v>5031</v>
      </c>
      <c r="B5092" s="1832">
        <f>'Revenues 9-14'!C71</f>
        <v>4437</v>
      </c>
      <c r="D5092" s="2" t="str">
        <f t="shared" si="78"/>
        <v>Error?</v>
      </c>
    </row>
    <row r="5093" spans="1:4" x14ac:dyDescent="0.2">
      <c r="A5093" s="5">
        <v>5032</v>
      </c>
      <c r="B5093" s="1832">
        <f>'Revenues 9-14'!C72</f>
        <v>332</v>
      </c>
      <c r="D5093" s="2" t="str">
        <f t="shared" si="78"/>
        <v>Error?</v>
      </c>
    </row>
    <row r="5094" spans="1:4" x14ac:dyDescent="0.2">
      <c r="A5094" s="5">
        <v>5033</v>
      </c>
      <c r="B5094" s="1832">
        <f>'Revenues 9-14'!C73</f>
        <v>3101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44546</v>
      </c>
      <c r="C5096" s="2" t="s">
        <v>568</v>
      </c>
      <c r="D5096" s="2" t="str">
        <f t="shared" si="78"/>
        <v>Error?</v>
      </c>
    </row>
    <row r="5097" spans="1:4" x14ac:dyDescent="0.2">
      <c r="A5097" s="5">
        <v>5036</v>
      </c>
      <c r="B5097" s="1832">
        <f>'Revenues 9-14'!C77</f>
        <v>27077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8750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35827</v>
      </c>
      <c r="C5102" s="2" t="s">
        <v>568</v>
      </c>
      <c r="D5102" s="2" t="str">
        <f t="shared" si="78"/>
        <v>Error?</v>
      </c>
    </row>
    <row r="5103" spans="1:4" x14ac:dyDescent="0.2">
      <c r="A5103" s="5">
        <v>5042</v>
      </c>
      <c r="B5103" s="1832">
        <f>'Revenues 9-14'!C84</f>
        <v>19097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7</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19104</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34700</v>
      </c>
      <c r="D5114" s="2" t="str">
        <f t="shared" si="78"/>
        <v>Error?</v>
      </c>
    </row>
    <row r="5115" spans="1:4" x14ac:dyDescent="0.2">
      <c r="A5115" s="5">
        <v>5054</v>
      </c>
      <c r="B5115" s="1832">
        <f>'Revenues 9-14'!C98</f>
        <v>1785</v>
      </c>
      <c r="D5115" s="2" t="str">
        <f t="shared" si="78"/>
        <v>Error?</v>
      </c>
    </row>
    <row r="5116" spans="1:4" x14ac:dyDescent="0.2">
      <c r="A5116" s="5">
        <v>5055</v>
      </c>
      <c r="B5116" s="1832">
        <f>'Revenues 9-14'!C99</f>
        <v>6317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778</v>
      </c>
      <c r="D5119" s="2" t="str">
        <f t="shared" ref="D5119:D5182" si="79">IF(ISBLANK(B5119),"OK",IF(A5119-B5119=0,"OK","Error?"))</f>
        <v>Error?</v>
      </c>
    </row>
    <row r="5120" spans="1:4" x14ac:dyDescent="0.2">
      <c r="A5120" s="5">
        <v>5059</v>
      </c>
      <c r="B5120" s="1832">
        <f>'Revenues 9-14'!C108</f>
        <v>61589</v>
      </c>
      <c r="C5120" s="2" t="s">
        <v>568</v>
      </c>
      <c r="D5120" s="2" t="str">
        <f t="shared" si="79"/>
        <v>Error?</v>
      </c>
    </row>
    <row r="5121" spans="1:4" x14ac:dyDescent="0.2">
      <c r="A5121" s="5">
        <v>5060</v>
      </c>
      <c r="B5121" s="1832">
        <f>'Revenues 9-14'!C109</f>
        <v>2177588</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3481545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3481545</v>
      </c>
      <c r="C5132" s="2" t="s">
        <v>568</v>
      </c>
      <c r="D5132" s="2" t="str">
        <f t="shared" si="79"/>
        <v>Error?</v>
      </c>
    </row>
    <row r="5133" spans="1:4" x14ac:dyDescent="0.2">
      <c r="A5133" s="5">
        <v>5072</v>
      </c>
      <c r="B5133" s="1832">
        <f>'Revenues 9-14'!C125</f>
        <v>5995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4095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10090</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8649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13593</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2115</v>
      </c>
      <c r="D5167" s="2" t="str">
        <f t="shared" si="79"/>
        <v>Error?</v>
      </c>
    </row>
    <row r="5168" spans="1:4" x14ac:dyDescent="0.2">
      <c r="A5168" s="5">
        <v>5107</v>
      </c>
      <c r="B5168" s="1832">
        <f>'Revenues 9-14'!C148</f>
        <v>5391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140365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172304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3653849</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101741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31932</v>
      </c>
      <c r="D5241" s="2" t="str">
        <f t="shared" si="80"/>
        <v>Error?</v>
      </c>
    </row>
    <row r="5242" spans="1:4" x14ac:dyDescent="0.2">
      <c r="A5242" s="5">
        <v>5181</v>
      </c>
      <c r="B5242" s="1832">
        <f>'Revenues 9-14'!C194</f>
        <v>60902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194575</v>
      </c>
      <c r="C5246" s="2" t="s">
        <v>568</v>
      </c>
      <c r="D5246" s="2" t="str">
        <f t="shared" si="80"/>
        <v>Error?</v>
      </c>
    </row>
    <row r="5247" spans="1:4" x14ac:dyDescent="0.2">
      <c r="A5247" s="5">
        <v>5186</v>
      </c>
      <c r="B5247" s="1832">
        <f>'Revenues 9-14'!C200</f>
        <v>245466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12227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473561</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46803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46803</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805447</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805447</v>
      </c>
      <c r="C5326" s="2" t="s">
        <v>568</v>
      </c>
      <c r="D5326" s="2" t="str">
        <f t="shared" si="82"/>
        <v>Error?</v>
      </c>
    </row>
    <row r="5327" spans="1:5" x14ac:dyDescent="0.2">
      <c r="A5327" s="5">
        <v>5266</v>
      </c>
      <c r="B5327" s="1832">
        <f>'Revenues 9-14'!C268</f>
        <v>6636884</v>
      </c>
      <c r="C5327" s="2" t="s">
        <v>568</v>
      </c>
      <c r="D5327" s="2" t="str">
        <f t="shared" si="82"/>
        <v>Error?</v>
      </c>
    </row>
    <row r="5328" spans="1:5" x14ac:dyDescent="0.2">
      <c r="A5328" s="5">
        <v>5267</v>
      </c>
      <c r="B5328" s="1832">
        <f>'Revenues 9-14'!D5</f>
        <v>332930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332930</v>
      </c>
      <c r="C5334" s="2" t="s">
        <v>568</v>
      </c>
      <c r="D5334" s="2" t="str">
        <f t="shared" si="82"/>
        <v>Error?</v>
      </c>
    </row>
    <row r="5335" spans="1:4" x14ac:dyDescent="0.2">
      <c r="A5335" s="5">
        <v>5274</v>
      </c>
      <c r="B5335" s="1832">
        <f>'Revenues 9-14'!D14</f>
        <v>294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133055</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133349</v>
      </c>
      <c r="C5339" s="2" t="s">
        <v>568</v>
      </c>
      <c r="D5339" s="2" t="str">
        <f t="shared" si="82"/>
        <v>Error?</v>
      </c>
    </row>
    <row r="5340" spans="1:4" x14ac:dyDescent="0.2">
      <c r="A5340" s="5">
        <v>5279</v>
      </c>
      <c r="B5340" s="1832">
        <f>'Revenues 9-14'!D65</f>
        <v>46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46</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44793</v>
      </c>
      <c r="D5354" s="2" t="str">
        <f t="shared" si="82"/>
        <v>Error?</v>
      </c>
    </row>
    <row r="5355" spans="1:4" x14ac:dyDescent="0.2">
      <c r="A5355" s="5">
        <v>5294</v>
      </c>
      <c r="B5355" s="1832">
        <f>'Revenues 9-14'!D108</f>
        <v>44793</v>
      </c>
      <c r="C5355" s="2" t="s">
        <v>568</v>
      </c>
      <c r="D5355" s="2" t="str">
        <f t="shared" si="82"/>
        <v>Error?</v>
      </c>
    </row>
    <row r="5356" spans="1:4" x14ac:dyDescent="0.2">
      <c r="A5356" s="5">
        <v>5295</v>
      </c>
      <c r="B5356" s="1832">
        <f>'Revenues 9-14'!D109</f>
        <v>511118</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4464</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4464</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515582</v>
      </c>
      <c r="C5508" s="2" t="s">
        <v>568</v>
      </c>
      <c r="D5508" s="2" t="str">
        <f t="shared" si="85"/>
        <v>Error?</v>
      </c>
    </row>
    <row r="5509" spans="1:4" x14ac:dyDescent="0.2">
      <c r="A5509" s="5">
        <v>5448</v>
      </c>
      <c r="B5509" s="1832">
        <f>'Revenues 9-14'!E5</f>
        <v>179088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179088</v>
      </c>
      <c r="C5513" s="2" t="s">
        <v>568</v>
      </c>
      <c r="D5513" s="2" t="str">
        <f t="shared" si="85"/>
        <v>Error?</v>
      </c>
    </row>
    <row r="5514" spans="1:4" x14ac:dyDescent="0.2">
      <c r="A5514" s="5">
        <v>5453</v>
      </c>
      <c r="B5514" s="1832">
        <f>'Revenues 9-14'!E14</f>
        <v>158.12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158.12</v>
      </c>
      <c r="C5518" s="2" t="s">
        <v>568</v>
      </c>
      <c r="D5518" s="2" t="str">
        <f t="shared" si="85"/>
        <v>Error?</v>
      </c>
    </row>
    <row r="5519" spans="1:4" x14ac:dyDescent="0.2">
      <c r="A5519" s="5">
        <v>5458</v>
      </c>
      <c r="B5519" s="1832">
        <f>'Revenues 9-14'!E65</f>
        <v>24.9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24.9</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227575.98</v>
      </c>
      <c r="C5526" s="2" t="s">
        <v>568</v>
      </c>
      <c r="D5526" s="2" t="str">
        <f t="shared" si="85"/>
        <v>Error?</v>
      </c>
    </row>
    <row r="5527" spans="1:4" x14ac:dyDescent="0.2">
      <c r="A5527" s="5">
        <v>5466</v>
      </c>
      <c r="B5527" s="1832">
        <f>'Revenues 9-14'!E109</f>
        <v>406847</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406847</v>
      </c>
      <c r="C5552" s="2" t="s">
        <v>568</v>
      </c>
      <c r="D5552" s="2" t="str">
        <f t="shared" si="85"/>
        <v>Error?</v>
      </c>
    </row>
    <row r="5553" spans="1:4" x14ac:dyDescent="0.2">
      <c r="A5553" s="5">
        <v>5492</v>
      </c>
      <c r="B5553" s="1832">
        <f>'Revenues 9-14'!F5</f>
        <v>133173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133173</v>
      </c>
      <c r="C5557" s="2" t="s">
        <v>568</v>
      </c>
      <c r="D5557" s="2" t="str">
        <f t="shared" si="85"/>
        <v>Error?</v>
      </c>
    </row>
    <row r="5558" spans="1:4" x14ac:dyDescent="0.2">
      <c r="A5558" s="5">
        <v>5497</v>
      </c>
      <c r="B5558" s="1832">
        <f>'Revenues 9-14'!F14</f>
        <v>118</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118</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19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19</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710</v>
      </c>
      <c r="D5586" s="2" t="str">
        <f t="shared" si="86"/>
        <v>Error?</v>
      </c>
    </row>
    <row r="5587" spans="1:4" x14ac:dyDescent="0.2">
      <c r="A5587" s="5">
        <v>5526</v>
      </c>
      <c r="B5587" s="1832">
        <f>'Revenues 9-14'!F108</f>
        <v>710</v>
      </c>
      <c r="C5587" s="2" t="s">
        <v>568</v>
      </c>
      <c r="D5587" s="2" t="str">
        <f t="shared" si="86"/>
        <v>Error?</v>
      </c>
    </row>
    <row r="5588" spans="1:4" x14ac:dyDescent="0.2">
      <c r="A5588" s="5">
        <v>5527</v>
      </c>
      <c r="B5588" s="1832">
        <f>'Revenues 9-14'!F109</f>
        <v>134020</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68418</v>
      </c>
      <c r="D5615" s="2" t="str">
        <f t="shared" si="86"/>
        <v>Error?</v>
      </c>
    </row>
    <row r="5616" spans="1:4" x14ac:dyDescent="0.2">
      <c r="A5616" s="10">
        <v>5555</v>
      </c>
      <c r="B5616" s="1832"/>
      <c r="D5616" s="2" t="str">
        <f t="shared" si="86"/>
        <v>OK</v>
      </c>
    </row>
    <row r="5617" spans="1:5" x14ac:dyDescent="0.2">
      <c r="A5617" s="5">
        <v>5556</v>
      </c>
      <c r="B5617" s="1832">
        <f>'Revenues 9-14'!F153</f>
        <v>109915</v>
      </c>
      <c r="D5617" s="2" t="str">
        <f t="shared" si="86"/>
        <v>Error?</v>
      </c>
    </row>
    <row r="5618" spans="1:5" x14ac:dyDescent="0.2">
      <c r="A5618" s="5">
        <v>5557</v>
      </c>
      <c r="B5618" s="1832">
        <f>'Revenues 9-14'!F155</f>
        <v>178333</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178333</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178333</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312353</v>
      </c>
      <c r="C5720" s="2" t="s">
        <v>568</v>
      </c>
      <c r="D5720" s="2" t="str">
        <f t="shared" si="88"/>
        <v>Error?</v>
      </c>
    </row>
    <row r="5721" spans="1:4" x14ac:dyDescent="0.2">
      <c r="A5721" s="5">
        <v>5660</v>
      </c>
      <c r="B5721" s="1832">
        <f>'Revenues 9-14'!G5</f>
        <v>104635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104635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209270</v>
      </c>
      <c r="C5725" s="2" t="s">
        <v>568</v>
      </c>
      <c r="D5725" s="2" t="str">
        <f t="shared" si="88"/>
        <v>Error?</v>
      </c>
    </row>
    <row r="5726" spans="1:4" x14ac:dyDescent="0.2">
      <c r="A5726" s="5">
        <v>5665</v>
      </c>
      <c r="B5726" s="1832">
        <f>'Revenues 9-14'!G14</f>
        <v>184.76</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10184.76</v>
      </c>
      <c r="C5730" s="2" t="s">
        <v>568</v>
      </c>
      <c r="D5730" s="2" t="str">
        <f t="shared" si="88"/>
        <v>Error?</v>
      </c>
    </row>
    <row r="5731" spans="1:4" x14ac:dyDescent="0.2">
      <c r="A5731" s="5">
        <v>5670</v>
      </c>
      <c r="B5731" s="1832">
        <f>'Revenues 9-14'!G65</f>
        <v>30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30</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219484.76</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149791</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149791</v>
      </c>
      <c r="C5915" s="2" t="s">
        <v>568</v>
      </c>
      <c r="D5915" s="2" t="str">
        <f t="shared" si="91"/>
        <v>Error?</v>
      </c>
    </row>
    <row r="5916" spans="1:4" x14ac:dyDescent="0.2">
      <c r="A5916" s="5">
        <v>5855</v>
      </c>
      <c r="B5916" s="1832">
        <f>'Revenues 9-14'!I5</f>
        <v>33293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33293</v>
      </c>
      <c r="C5918" s="2" t="s">
        <v>568</v>
      </c>
      <c r="D5918" s="2" t="str">
        <f t="shared" si="91"/>
        <v>Error?</v>
      </c>
    </row>
    <row r="5919" spans="1:4" x14ac:dyDescent="0.2">
      <c r="A5919" s="5">
        <v>5858</v>
      </c>
      <c r="B5919" s="1832">
        <f>'Revenues 9-14'!I14</f>
        <v>29.39</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29.39</v>
      </c>
      <c r="C5923" s="2" t="s">
        <v>568</v>
      </c>
      <c r="D5923" s="2" t="str">
        <f t="shared" si="91"/>
        <v>Error?</v>
      </c>
    </row>
    <row r="5924" spans="1:4" x14ac:dyDescent="0.2">
      <c r="A5924" s="5">
        <v>5863</v>
      </c>
      <c r="B5924" s="1832">
        <f>'Revenues 9-14'!I65</f>
        <v>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33326.39</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33293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33293</v>
      </c>
      <c r="C5987" s="2" t="s">
        <v>568</v>
      </c>
      <c r="D5987" s="2" t="str">
        <f t="shared" si="92"/>
        <v>Error?</v>
      </c>
    </row>
    <row r="5988" spans="1:4" x14ac:dyDescent="0.2">
      <c r="A5988" s="5">
        <v>5927</v>
      </c>
      <c r="B5988" s="1832">
        <f>'Revenues 9-14'!K14</f>
        <v>29</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29</v>
      </c>
      <c r="C5992" s="2" t="s">
        <v>568</v>
      </c>
      <c r="D5992" s="2" t="str">
        <f t="shared" si="92"/>
        <v>Error?</v>
      </c>
    </row>
    <row r="5993" spans="1:4" x14ac:dyDescent="0.2">
      <c r="A5993" s="5">
        <v>5932</v>
      </c>
      <c r="B5993" s="1832">
        <f>'Revenues 9-14'!K65</f>
        <v>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33327</v>
      </c>
      <c r="C6023" s="2" t="s">
        <v>568</v>
      </c>
      <c r="D6023" s="2" t="str">
        <f t="shared" si="93"/>
        <v>Error?</v>
      </c>
    </row>
    <row r="6024" spans="1:5" x14ac:dyDescent="0.2">
      <c r="A6024" s="5">
        <v>5963</v>
      </c>
      <c r="B6024" s="1832">
        <f>'Revenues 9-14'!G109</f>
        <v>219484.76</v>
      </c>
      <c r="C6024" s="2" t="s">
        <v>568</v>
      </c>
      <c r="D6024" s="2" t="str">
        <f t="shared" si="93"/>
        <v>Error?</v>
      </c>
    </row>
    <row r="6025" spans="1:5" x14ac:dyDescent="0.2">
      <c r="A6025" s="5">
        <v>5964</v>
      </c>
      <c r="B6025" s="1832">
        <f>'Revenues 9-14'!H109</f>
        <v>149791</v>
      </c>
      <c r="C6025" s="2" t="s">
        <v>568</v>
      </c>
      <c r="D6025" s="2" t="str">
        <f t="shared" si="93"/>
        <v>Error?</v>
      </c>
    </row>
    <row r="6026" spans="1:5" x14ac:dyDescent="0.2">
      <c r="A6026" s="5">
        <v>5965</v>
      </c>
      <c r="B6026" s="1832">
        <f>'Revenues 9-14'!I109</f>
        <v>33326.39</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33327</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32537</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25930</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598.29</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171000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323489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100000</v>
      </c>
      <c r="D6128" s="2" t="str">
        <f t="shared" si="94"/>
        <v>Error?</v>
      </c>
      <c r="E6128" s="2" t="s">
        <v>189</v>
      </c>
    </row>
    <row r="6129" spans="1:5" x14ac:dyDescent="0.2">
      <c r="A6129">
        <v>6068</v>
      </c>
      <c r="B6129" s="1832">
        <f>'Assets-Liab 5-6'!G25</f>
        <v>71000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323489</v>
      </c>
      <c r="D6215" s="2" t="str">
        <f t="shared" si="96"/>
        <v>Error?</v>
      </c>
      <c r="E6215" s="2" t="s">
        <v>189</v>
      </c>
    </row>
    <row r="6216" spans="1:5" x14ac:dyDescent="0.2">
      <c r="A6216">
        <v>6155</v>
      </c>
      <c r="B6216" s="1832">
        <f>'Assets-Liab 5-6'!J41</f>
        <v>323489</v>
      </c>
      <c r="D6216" s="2" t="str">
        <f t="shared" si="96"/>
        <v>Error?</v>
      </c>
      <c r="E6216" s="2" t="s">
        <v>189</v>
      </c>
    </row>
    <row r="6217" spans="1:5" x14ac:dyDescent="0.2">
      <c r="A6217">
        <v>6156</v>
      </c>
      <c r="B6217" s="1832">
        <f>'Assets-Liab 5-6'!J4</f>
        <v>323489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423641.58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423641.58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423641.58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332436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332436</v>
      </c>
      <c r="D6229" s="2" t="str">
        <f t="shared" si="96"/>
        <v>Error?</v>
      </c>
      <c r="E6229" s="2" t="s">
        <v>189</v>
      </c>
    </row>
    <row r="6230" spans="1:5" x14ac:dyDescent="0.2">
      <c r="A6230">
        <v>6169</v>
      </c>
      <c r="B6230" s="1832">
        <f>'Acct Summary 7-8'!J20</f>
        <v>91205.580000000016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91205.580000000016</v>
      </c>
      <c r="D6263" s="2" t="str">
        <f t="shared" si="96"/>
        <v>Error?</v>
      </c>
      <c r="E6263" s="2" t="s">
        <v>189</v>
      </c>
    </row>
    <row r="6264" spans="1:5" x14ac:dyDescent="0.2">
      <c r="A6264">
        <v>6203</v>
      </c>
      <c r="B6264" s="1832">
        <f>'Acct Summary 7-8'!J79</f>
        <v>232283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323488.58</v>
      </c>
      <c r="D6266" s="2" t="str">
        <f t="shared" si="96"/>
        <v>Error?</v>
      </c>
      <c r="E6266" s="2" t="s">
        <v>189</v>
      </c>
    </row>
    <row r="6267" spans="1:5" x14ac:dyDescent="0.2">
      <c r="A6267">
        <v>6206</v>
      </c>
      <c r="B6267" s="1832">
        <f>'Acct Summary 7-8'!C82</f>
        <v>343724</v>
      </c>
      <c r="D6267" s="2" t="str">
        <f t="shared" si="96"/>
        <v>Error?</v>
      </c>
      <c r="E6267" s="2" t="s">
        <v>189</v>
      </c>
    </row>
    <row r="6268" spans="1:5" x14ac:dyDescent="0.2">
      <c r="A6268">
        <v>6207</v>
      </c>
      <c r="B6268" s="1832">
        <f>'Acct Summary 7-8'!D82</f>
        <v>33823</v>
      </c>
      <c r="D6268" s="2" t="str">
        <f t="shared" si="96"/>
        <v>Error?</v>
      </c>
      <c r="E6268" s="2" t="s">
        <v>189</v>
      </c>
    </row>
    <row r="6269" spans="1:5" x14ac:dyDescent="0.2">
      <c r="A6269">
        <v>6208</v>
      </c>
      <c r="B6269" s="1832">
        <f>'Acct Summary 7-8'!E82</f>
        <v>14491</v>
      </c>
      <c r="D6269" s="2" t="str">
        <f t="shared" si="96"/>
        <v>Error?</v>
      </c>
      <c r="E6269" s="2" t="s">
        <v>189</v>
      </c>
    </row>
    <row r="6270" spans="1:5" x14ac:dyDescent="0.2">
      <c r="A6270">
        <v>6209</v>
      </c>
      <c r="B6270" s="1832">
        <f>'Acct Summary 7-8'!F82</f>
        <v>-17180</v>
      </c>
      <c r="D6270" s="2" t="str">
        <f t="shared" si="96"/>
        <v>Error?</v>
      </c>
      <c r="E6270" s="2" t="s">
        <v>189</v>
      </c>
    </row>
    <row r="6271" spans="1:5" x14ac:dyDescent="0.2">
      <c r="A6271">
        <v>6210</v>
      </c>
      <c r="B6271" s="1832">
        <f>'Acct Summary 7-8'!G82</f>
        <v>-34239.079999999987</v>
      </c>
      <c r="D6271" s="2" t="str">
        <f t="shared" ref="D6271:D6334" si="97">IF(ISBLANK(B6271),"OK",IF(A6271-B6271=0,"OK","Error?"))</f>
        <v>Error?</v>
      </c>
      <c r="E6271" s="2" t="s">
        <v>189</v>
      </c>
    </row>
    <row r="6272" spans="1:5" x14ac:dyDescent="0.2">
      <c r="A6272">
        <v>6211</v>
      </c>
      <c r="B6272" s="1832">
        <f>'Acct Summary 7-8'!H82</f>
        <v>-754296</v>
      </c>
      <c r="D6272" s="2" t="str">
        <f t="shared" si="97"/>
        <v>Error?</v>
      </c>
      <c r="E6272" s="2" t="s">
        <v>189</v>
      </c>
    </row>
    <row r="6273" spans="1:5" x14ac:dyDescent="0.2">
      <c r="A6273">
        <v>6212</v>
      </c>
      <c r="B6273" s="1832">
        <f>'Acct Summary 7-8'!I82</f>
        <v>33326.390000000014</v>
      </c>
      <c r="D6273" s="2" t="str">
        <f t="shared" si="97"/>
        <v>Error?</v>
      </c>
      <c r="E6273" s="2" t="s">
        <v>189</v>
      </c>
    </row>
    <row r="6274" spans="1:5" x14ac:dyDescent="0.2">
      <c r="A6274">
        <v>6213</v>
      </c>
      <c r="B6274" s="1832">
        <f>'Acct Summary 7-8'!J82</f>
        <v>91205.580000000016</v>
      </c>
      <c r="D6274" s="2" t="str">
        <f t="shared" si="97"/>
        <v>Error?</v>
      </c>
      <c r="E6274" s="2" t="s">
        <v>189</v>
      </c>
    </row>
    <row r="6275" spans="1:5" x14ac:dyDescent="0.2">
      <c r="A6275">
        <v>6214</v>
      </c>
      <c r="B6275" s="1832">
        <f>'Acct Summary 7-8'!K82</f>
        <v>-744296</v>
      </c>
      <c r="D6275" s="2" t="str">
        <f t="shared" si="97"/>
        <v>Error?</v>
      </c>
      <c r="E6275" s="2" t="s">
        <v>189</v>
      </c>
    </row>
    <row r="6276" spans="1:5" x14ac:dyDescent="0.2">
      <c r="A6276">
        <v>6215</v>
      </c>
      <c r="B6276" s="1832">
        <f>'Acct Summary 7-8'!C83</f>
        <v>7.4246575164926262E-2</v>
      </c>
      <c r="D6276" s="2" t="str">
        <f t="shared" si="97"/>
        <v>Error?</v>
      </c>
      <c r="E6276" s="2" t="s">
        <v>189</v>
      </c>
    </row>
    <row r="6277" spans="1:5" x14ac:dyDescent="0.2">
      <c r="A6277">
        <v>6216</v>
      </c>
      <c r="B6277" s="1832">
        <f>'Acct Summary 7-8'!D83</f>
        <v>0.1103484051143352</v>
      </c>
      <c r="D6277" s="2" t="str">
        <f t="shared" si="97"/>
        <v>Error?</v>
      </c>
      <c r="E6277" s="2" t="s">
        <v>189</v>
      </c>
    </row>
    <row r="6278" spans="1:5" x14ac:dyDescent="0.2">
      <c r="A6278">
        <v>6217</v>
      </c>
      <c r="B6278" s="1832">
        <f>'Acct Summary 7-8'!E83</f>
        <v>6.9702114969287965E-2</v>
      </c>
      <c r="D6278" s="2" t="str">
        <f t="shared" si="97"/>
        <v>Error?</v>
      </c>
      <c r="E6278" s="2" t="s">
        <v>189</v>
      </c>
    </row>
    <row r="6279" spans="1:5" x14ac:dyDescent="0.2">
      <c r="A6279">
        <v>6218</v>
      </c>
      <c r="B6279" s="1832">
        <f>'Acct Summary 7-8'!F83</f>
        <v>-0.23586913244642146</v>
      </c>
      <c r="D6279" s="2" t="str">
        <f t="shared" si="97"/>
        <v>Error?</v>
      </c>
      <c r="E6279" s="2" t="s">
        <v>189</v>
      </c>
    </row>
    <row r="6280" spans="1:5" x14ac:dyDescent="0.2">
      <c r="A6280">
        <v>6219</v>
      </c>
      <c r="B6280" s="1832">
        <f>'Acct Summary 7-8'!G83</f>
        <v>-0.21746703545595492</v>
      </c>
      <c r="D6280" s="2" t="str">
        <f t="shared" si="97"/>
        <v>Error?</v>
      </c>
      <c r="E6280" s="2" t="s">
        <v>189</v>
      </c>
    </row>
    <row r="6281" spans="1:5" x14ac:dyDescent="0.2">
      <c r="A6281">
        <v>6220</v>
      </c>
      <c r="B6281" s="1832">
        <f>'Acct Summary 7-8'!H83</f>
        <v>-1.8250524436185733</v>
      </c>
      <c r="D6281" s="2" t="str">
        <f t="shared" si="97"/>
        <v>Error?</v>
      </c>
      <c r="E6281" s="2" t="s">
        <v>189</v>
      </c>
    </row>
    <row r="6282" spans="1:5" x14ac:dyDescent="0.2">
      <c r="A6282">
        <v>6221</v>
      </c>
      <c r="B6282" s="1832">
        <f>'Acct Summary 7-8'!I83</f>
        <v>5.8768058785851604E-2</v>
      </c>
      <c r="D6282" s="2" t="str">
        <f t="shared" si="97"/>
        <v>Error?</v>
      </c>
      <c r="E6282" s="2" t="s">
        <v>189</v>
      </c>
    </row>
    <row r="6283" spans="1:5" x14ac:dyDescent="0.2">
      <c r="A6283">
        <v>6222</v>
      </c>
      <c r="B6283" s="1832">
        <f>'Acct Summary 7-8'!J83</f>
        <v>0.28194373971408826</v>
      </c>
      <c r="D6283" s="2" t="str">
        <f t="shared" si="97"/>
        <v>Error?</v>
      </c>
      <c r="E6283" s="2" t="s">
        <v>189</v>
      </c>
    </row>
    <row r="6284" spans="1:5" x14ac:dyDescent="0.2">
      <c r="A6284">
        <v>6223</v>
      </c>
      <c r="B6284" s="1832">
        <f>'Acct Summary 7-8'!K83</f>
        <v>-18.486314639113804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413551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413551</v>
      </c>
      <c r="D6301" s="2" t="str">
        <f t="shared" si="97"/>
        <v>Error?</v>
      </c>
      <c r="E6301" s="2" t="s">
        <v>189</v>
      </c>
    </row>
    <row r="6302" spans="1:5" x14ac:dyDescent="0.2">
      <c r="A6302">
        <v>6241</v>
      </c>
      <c r="B6302" s="1832">
        <f>'Revenues 9-14'!J14</f>
        <v>365</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365</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9668.58</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9540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9668.58</v>
      </c>
      <c r="D6351" s="2" t="str">
        <f t="shared" si="98"/>
        <v>Error?</v>
      </c>
      <c r="E6351" s="2" t="s">
        <v>189</v>
      </c>
    </row>
    <row r="6352" spans="1:5" x14ac:dyDescent="0.2">
      <c r="A6352">
        <v>6291</v>
      </c>
      <c r="B6352" s="1832">
        <f>'Revenues 9-14'!J109</f>
        <v>423641.58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4944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106691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123013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19935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44186</v>
      </c>
      <c r="D6880" s="2" t="str">
        <f t="shared" si="106"/>
        <v>Error?</v>
      </c>
    </row>
    <row r="6881" spans="1:4" x14ac:dyDescent="0.2">
      <c r="A6881">
        <v>6820</v>
      </c>
      <c r="B6881" s="1832">
        <f>'Expenditures 15-22'!K22</f>
        <v>44186</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27761</v>
      </c>
      <c r="D6983" s="2" t="str">
        <f t="shared" si="108"/>
        <v>Error?</v>
      </c>
    </row>
    <row r="6984" spans="1:4" x14ac:dyDescent="0.2">
      <c r="A6984">
        <v>6923</v>
      </c>
      <c r="B6984" s="1832">
        <f>'Expenditures 15-22'!K86</f>
        <v>27761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27761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332436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423641.58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258.22000000000003</v>
      </c>
      <c r="D7079" s="2" t="str">
        <f t="shared" si="109"/>
        <v>Error?</v>
      </c>
    </row>
    <row r="7080" spans="1:4" x14ac:dyDescent="0.2">
      <c r="A7080">
        <v>7019</v>
      </c>
      <c r="B7080" s="1832">
        <f>'Expenditures 15-22'!K226</f>
        <v>258.22000000000003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40042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40042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51537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51537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4924</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4924</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212690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450</v>
      </c>
      <c r="D7174" s="2" t="str">
        <f t="shared" si="111"/>
        <v>Error?</v>
      </c>
    </row>
    <row r="7175" spans="1:4" x14ac:dyDescent="0.2">
      <c r="A7175">
        <v>7114</v>
      </c>
      <c r="B7175" s="1832">
        <f>'Expenditures 15-22'!F325</f>
        <v>539</v>
      </c>
      <c r="D7175" s="2" t="str">
        <f t="shared" si="111"/>
        <v>Error?</v>
      </c>
    </row>
    <row r="7176" spans="1:4" x14ac:dyDescent="0.2">
      <c r="A7176">
        <v>7115</v>
      </c>
      <c r="B7176" s="1832">
        <f>'Expenditures 15-22'!G325</f>
        <v>5295</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218974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3837</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3837</v>
      </c>
      <c r="D7198" s="2" t="str">
        <f t="shared" si="111"/>
        <v>Error?</v>
      </c>
    </row>
    <row r="7199" spans="1:4" x14ac:dyDescent="0.2">
      <c r="A7199">
        <v>7138</v>
      </c>
      <c r="B7199" s="1832">
        <f>'Expenditures 15-22'!C330</f>
        <v>212690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113912</v>
      </c>
      <c r="D7201" s="2" t="str">
        <f t="shared" si="111"/>
        <v>Error?</v>
      </c>
    </row>
    <row r="7202" spans="1:4" x14ac:dyDescent="0.2">
      <c r="A7202">
        <v>7141</v>
      </c>
      <c r="B7202" s="1832">
        <f>'Expenditures 15-22'!F330</f>
        <v>539</v>
      </c>
      <c r="D7202" s="2" t="str">
        <f t="shared" si="111"/>
        <v>Error?</v>
      </c>
    </row>
    <row r="7203" spans="1:4" x14ac:dyDescent="0.2">
      <c r="A7203">
        <v>7142</v>
      </c>
      <c r="B7203" s="1832">
        <f>'Expenditures 15-22'!G330</f>
        <v>5295</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332436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212690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113912</v>
      </c>
      <c r="D7218" s="2" t="str">
        <f t="shared" si="111"/>
        <v>Error?</v>
      </c>
    </row>
    <row r="7219" spans="1:4" x14ac:dyDescent="0.2">
      <c r="A7219">
        <v>7158</v>
      </c>
      <c r="B7219" s="1832">
        <f>'Expenditures 15-22'!F342</f>
        <v>539</v>
      </c>
      <c r="D7219" s="2" t="str">
        <f t="shared" si="111"/>
        <v>Error?</v>
      </c>
    </row>
    <row r="7220" spans="1:4" x14ac:dyDescent="0.2">
      <c r="A7220">
        <v>7159</v>
      </c>
      <c r="B7220" s="1832">
        <f>'Expenditures 15-22'!G342</f>
        <v>5295</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332436</v>
      </c>
      <c r="D7224" s="2" t="str">
        <f t="shared" si="111"/>
        <v>Error?</v>
      </c>
    </row>
    <row r="7225" spans="1:4" x14ac:dyDescent="0.2">
      <c r="A7225">
        <v>7164</v>
      </c>
      <c r="B7225" s="1832">
        <f>'Expenditures 15-22'!K343</f>
        <v>91205.580000000016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450</v>
      </c>
      <c r="D7247" s="2" t="str">
        <f t="shared" si="112"/>
        <v>Error?</v>
      </c>
    </row>
    <row r="7248" spans="1:4" x14ac:dyDescent="0.2">
      <c r="A7248">
        <f t="shared" si="113"/>
        <v>7187</v>
      </c>
      <c r="B7248" s="1832">
        <f>'Expenditures 15-22'!F7</f>
        <v>12268</v>
      </c>
      <c r="D7248" s="2" t="str">
        <f t="shared" si="112"/>
        <v>Error?</v>
      </c>
    </row>
    <row r="7249" spans="1:4" x14ac:dyDescent="0.2">
      <c r="A7249">
        <f t="shared" si="113"/>
        <v>7188</v>
      </c>
      <c r="B7249" s="1832">
        <f>'Expenditures 15-22'!G7</f>
        <v>3604</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17806</v>
      </c>
      <c r="D7263" s="2" t="str">
        <f t="shared" si="112"/>
        <v>Error?</v>
      </c>
    </row>
    <row r="7264" spans="1:4" x14ac:dyDescent="0.2">
      <c r="A7264">
        <f t="shared" si="113"/>
        <v>7203</v>
      </c>
      <c r="B7264" s="1832">
        <f>'Expenditures 15-22'!D17</f>
        <v>1510</v>
      </c>
      <c r="D7264" s="2" t="str">
        <f t="shared" si="112"/>
        <v>Error?</v>
      </c>
    </row>
    <row r="7265" spans="1:5" x14ac:dyDescent="0.2">
      <c r="A7265">
        <f t="shared" si="113"/>
        <v>7204</v>
      </c>
      <c r="B7265" s="1832">
        <f>'Expenditures 15-22'!E17</f>
        <v>75</v>
      </c>
      <c r="D7265" s="2" t="str">
        <f t="shared" si="112"/>
        <v>Error?</v>
      </c>
    </row>
    <row r="7266" spans="1:5" x14ac:dyDescent="0.2">
      <c r="A7266">
        <f t="shared" si="113"/>
        <v>7205</v>
      </c>
      <c r="B7266" s="1832">
        <f>'Expenditures 15-22'!F17</f>
        <v>544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410768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13122</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13122</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1167597</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9540</v>
      </c>
      <c r="D7712" s="2" t="str">
        <f t="shared" si="126"/>
        <v>Error?</v>
      </c>
      <c r="E7712" s="2" t="s">
        <v>821</v>
      </c>
    </row>
    <row r="7713" spans="1:6" x14ac:dyDescent="0.2">
      <c r="A7713">
        <v>7652</v>
      </c>
      <c r="B7713" s="1832">
        <f>'Rest Tax Levies-Tort Im 25'!J8</f>
        <v>377367</v>
      </c>
      <c r="D7713" s="2" t="str">
        <f t="shared" si="126"/>
        <v>Error?</v>
      </c>
      <c r="E7713" s="2" t="s">
        <v>821</v>
      </c>
    </row>
    <row r="7714" spans="1:6" x14ac:dyDescent="0.2">
      <c r="A7714">
        <v>7653</v>
      </c>
      <c r="B7714" s="1832">
        <f>'Rest Tax Levies-Tort Im 25'!K9</f>
        <v>5391</v>
      </c>
      <c r="D7714" s="2" t="str">
        <f t="shared" si="126"/>
        <v>Error?</v>
      </c>
      <c r="E7714" s="2" t="s">
        <v>821</v>
      </c>
    </row>
    <row r="7715" spans="1:6" x14ac:dyDescent="0.2">
      <c r="A7715">
        <v>7654</v>
      </c>
      <c r="B7715" s="1832">
        <f>'Rest Tax Levies-Tort Im 25'!J10</f>
        <v>164780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542147</v>
      </c>
      <c r="D7718" s="2" t="str">
        <f t="shared" si="126"/>
        <v>Error?</v>
      </c>
      <c r="E7718" s="2" t="s">
        <v>821</v>
      </c>
    </row>
    <row r="7719" spans="1:6" x14ac:dyDescent="0.2">
      <c r="A7719">
        <v>7658</v>
      </c>
      <c r="B7719" s="1832">
        <f>'Rest Tax Levies-Tort Im 25'!K12</f>
        <v>14931</v>
      </c>
      <c r="D7719" s="2" t="str">
        <f t="shared" si="126"/>
        <v>Error?</v>
      </c>
      <c r="E7719" s="2" t="s">
        <v>821</v>
      </c>
    </row>
    <row r="7720" spans="1:6" x14ac:dyDescent="0.2">
      <c r="A7720">
        <v>7659</v>
      </c>
      <c r="B7720" s="1832">
        <f>'Rest Tax Levies-Tort Im 25'!H14</f>
        <v>0</v>
      </c>
      <c r="D7720" s="2" t="str">
        <f t="shared" si="126"/>
        <v>Error?</v>
      </c>
      <c r="E7720" s="2" t="s">
        <v>821</v>
      </c>
    </row>
    <row r="7721" spans="1:6" x14ac:dyDescent="0.2">
      <c r="A7721">
        <v>7660</v>
      </c>
      <c r="B7721" s="1832">
        <f>'Rest Tax Levies-Tort Im 25'!K14</f>
        <v>19935</v>
      </c>
      <c r="D7721" s="2" t="str">
        <f t="shared" si="126"/>
        <v>Error?</v>
      </c>
      <c r="E7721" s="2" t="s">
        <v>821</v>
      </c>
    </row>
    <row r="7722" spans="1:6" x14ac:dyDescent="0.2">
      <c r="A7722">
        <v>7661</v>
      </c>
      <c r="B7722" s="1832">
        <f>'Rest Tax Levies-Tort Im 25'!J15</f>
        <v>904087</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80056</v>
      </c>
      <c r="D7724" s="2" t="str">
        <f t="shared" si="126"/>
        <v>Error?</v>
      </c>
      <c r="E7724" s="2" t="s">
        <v>821</v>
      </c>
      <c r="F7724" s="2"/>
    </row>
    <row r="7725" spans="1:6" x14ac:dyDescent="0.2">
      <c r="A7725">
        <v>7664</v>
      </c>
      <c r="B7725" s="1832">
        <f>'Rest Tax Levies-Tort Im 25'!J19</f>
        <v>311800</v>
      </c>
      <c r="D7725" s="2" t="str">
        <f t="shared" si="126"/>
        <v>Error?</v>
      </c>
      <c r="E7725" s="2" t="s">
        <v>821</v>
      </c>
    </row>
    <row r="7726" spans="1:6" x14ac:dyDescent="0.2">
      <c r="A7726">
        <v>7665</v>
      </c>
      <c r="B7726" s="1832">
        <f>'Rest Tax Levies-Tort Im 25'!J20</f>
        <v>500</v>
      </c>
      <c r="D7726" s="2" t="str">
        <f t="shared" si="126"/>
        <v>Error?</v>
      </c>
      <c r="E7726" s="2" t="s">
        <v>821</v>
      </c>
    </row>
    <row r="7727" spans="1:6" x14ac:dyDescent="0.2">
      <c r="A7727">
        <v>7666</v>
      </c>
      <c r="B7727" s="1832">
        <f>'Rest Tax Levies-Tort Im 25'!J21</f>
        <v>392356</v>
      </c>
      <c r="D7727" s="2" t="str">
        <f t="shared" si="126"/>
        <v>Error?</v>
      </c>
      <c r="E7727" s="2" t="s">
        <v>821</v>
      </c>
    </row>
    <row r="7728" spans="1:6" x14ac:dyDescent="0.2">
      <c r="A7728">
        <v>7667</v>
      </c>
      <c r="B7728" s="1832">
        <f>'Revenues 9-14'!E103</f>
        <v>227575.98</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1296443</v>
      </c>
      <c r="D7730" s="2" t="str">
        <f t="shared" si="126"/>
        <v>Error?</v>
      </c>
      <c r="E7730" s="2" t="s">
        <v>821</v>
      </c>
    </row>
    <row r="7731" spans="1:6" x14ac:dyDescent="0.2">
      <c r="A7731">
        <v>7670</v>
      </c>
      <c r="B7731" s="1832">
        <f>'Revenues 9-14'!H103</f>
        <v>149791</v>
      </c>
      <c r="D7731" s="2" t="str">
        <f t="shared" si="126"/>
        <v>Error?</v>
      </c>
      <c r="E7731" s="2" t="s">
        <v>821</v>
      </c>
    </row>
    <row r="7732" spans="1:6" x14ac:dyDescent="0.2">
      <c r="A7732">
        <v>7671</v>
      </c>
      <c r="B7732" s="1832">
        <f>'Rest Tax Levies-Tort Im 25'!J24</f>
        <v>413301</v>
      </c>
      <c r="D7732" s="2" t="str">
        <f t="shared" si="126"/>
        <v>Error?</v>
      </c>
      <c r="E7732" s="2" t="s">
        <v>821</v>
      </c>
    </row>
    <row r="7733" spans="1:6" x14ac:dyDescent="0.2">
      <c r="A7733">
        <v>7672</v>
      </c>
      <c r="B7733" s="1832">
        <f>'Rest Tax Levies-Tort Im 25'!K24</f>
        <v>-5004</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413301</v>
      </c>
      <c r="D7742" s="2" t="str">
        <f t="shared" si="126"/>
        <v>Error?</v>
      </c>
      <c r="E7742" s="2" t="s">
        <v>821</v>
      </c>
    </row>
    <row r="7743" spans="1:6" x14ac:dyDescent="0.2">
      <c r="A7743">
        <v>7682</v>
      </c>
      <c r="B7743" s="1832">
        <f>'Rest Tax Levies-Tort Im 25'!K26</f>
        <v>-5004</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19935</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2056000</v>
      </c>
      <c r="D7817" s="2" t="str">
        <f t="shared" si="128"/>
        <v>Error?</v>
      </c>
      <c r="E7817" s="4" t="s">
        <v>1965</v>
      </c>
    </row>
    <row r="7818" spans="1:5" x14ac:dyDescent="0.2">
      <c r="A7818">
        <v>7757</v>
      </c>
      <c r="B7818" s="1832">
        <f>'PCTC-OEPP 27-28'!F172</f>
        <v>312941.44</v>
      </c>
      <c r="D7818" s="2" t="str">
        <f t="shared" si="128"/>
        <v>Error?</v>
      </c>
      <c r="E7818" s="4" t="s">
        <v>1979</v>
      </c>
    </row>
    <row r="7819" spans="1:5" x14ac:dyDescent="0.2">
      <c r="A7819">
        <v>7758</v>
      </c>
      <c r="B7819" s="1832">
        <f>'PCTC-OEPP 27-28'!F173</f>
        <v>64</v>
      </c>
      <c r="D7819" s="2" t="str">
        <f t="shared" si="128"/>
        <v>Error?</v>
      </c>
      <c r="E7819" s="4" t="s">
        <v>1979</v>
      </c>
    </row>
    <row r="7820" spans="1:5" x14ac:dyDescent="0.2">
      <c r="A7820">
        <v>7759</v>
      </c>
      <c r="B7820" s="1832">
        <f>'ICR Computation 30'!E40</f>
        <v>-97640</v>
      </c>
      <c r="D7820" s="2" t="str">
        <f t="shared" si="128"/>
        <v>Error?</v>
      </c>
    </row>
    <row r="7821" spans="1:5" x14ac:dyDescent="0.2">
      <c r="A7821">
        <v>7760</v>
      </c>
      <c r="B7821" s="1832">
        <f>'ICR Computation 30'!G40</f>
        <v>-97640</v>
      </c>
      <c r="D7821" s="2" t="str">
        <f t="shared" si="128"/>
        <v>Error?</v>
      </c>
    </row>
    <row r="7822" spans="1:5" x14ac:dyDescent="0.2">
      <c r="A7822" s="1">
        <v>7761</v>
      </c>
      <c r="B7822" s="1832">
        <f>'PCTC-OEPP 27-28'!F14</f>
        <v>8085518.8399999999</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119409</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3590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1304915</v>
      </c>
      <c r="D7834" s="2" t="str">
        <f t="shared" si="129"/>
        <v>Error?</v>
      </c>
      <c r="E7834" s="4" t="s">
        <v>1997</v>
      </c>
    </row>
    <row r="7835" spans="1:5" x14ac:dyDescent="0.2">
      <c r="A7835">
        <v>7774</v>
      </c>
      <c r="B7835" s="1832">
        <f>'PCTC-OEPP 27-28'!F78</f>
        <v>6780603.8399999999</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11333.30632302061</v>
      </c>
      <c r="D7837" s="2" t="str">
        <f t="shared" si="129"/>
        <v>Error?</v>
      </c>
      <c r="E7837" s="4" t="s">
        <v>1997</v>
      </c>
    </row>
    <row r="7838" spans="1:5" x14ac:dyDescent="0.2">
      <c r="A7838">
        <v>7777</v>
      </c>
      <c r="B7838" s="1832">
        <f>'PCTC-OEPP 27-28'!F96</f>
        <v>35827</v>
      </c>
      <c r="D7838" s="2" t="str">
        <f t="shared" si="129"/>
        <v>Error?</v>
      </c>
      <c r="E7838" s="4" t="s">
        <v>1997</v>
      </c>
    </row>
    <row r="7839" spans="1:5" x14ac:dyDescent="0.2">
      <c r="A7839">
        <v>7778</v>
      </c>
      <c r="B7839" s="1832">
        <f>'PCTC-OEPP 27-28'!F102</f>
        <v>0</v>
      </c>
      <c r="D7839" s="2" t="str">
        <f t="shared" si="129"/>
        <v>Error?</v>
      </c>
      <c r="E7839" s="4" t="s">
        <v>1997</v>
      </c>
    </row>
    <row r="7840" spans="1:5" x14ac:dyDescent="0.2">
      <c r="A7840">
        <v>7779</v>
      </c>
      <c r="B7840" s="1832">
        <f>'PCTC-OEPP 27-28'!F103</f>
        <v>1785</v>
      </c>
      <c r="D7840" s="2" t="str">
        <f t="shared" si="129"/>
        <v>Error?</v>
      </c>
      <c r="E7840" s="4" t="s">
        <v>1997</v>
      </c>
    </row>
    <row r="7841" spans="1:5" x14ac:dyDescent="0.2">
      <c r="A7841">
        <v>7780</v>
      </c>
      <c r="B7841" s="1832">
        <f>'PCTC-OEPP 27-28'!F104</f>
        <v>8469</v>
      </c>
      <c r="D7841" s="2" t="str">
        <f t="shared" si="129"/>
        <v>Error?</v>
      </c>
      <c r="E7841" s="4" t="s">
        <v>1997</v>
      </c>
    </row>
    <row r="7842" spans="1:5" x14ac:dyDescent="0.2">
      <c r="A7842">
        <v>7781</v>
      </c>
      <c r="B7842" s="1832">
        <f>'PCTC-OEPP 27-28'!F106</f>
        <v>10090</v>
      </c>
      <c r="D7842" s="2" t="str">
        <f t="shared" si="129"/>
        <v>Error?</v>
      </c>
      <c r="E7842" s="4" t="s">
        <v>1997</v>
      </c>
    </row>
    <row r="7843" spans="1:5" x14ac:dyDescent="0.2">
      <c r="A7843">
        <v>7782</v>
      </c>
      <c r="B7843" s="1832">
        <f>'PCTC-OEPP 27-28'!F107</f>
        <v>13593</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5391</v>
      </c>
      <c r="D7846" s="2" t="str">
        <f t="shared" si="129"/>
        <v>Error?</v>
      </c>
      <c r="E7846" s="4" t="s">
        <v>1997</v>
      </c>
    </row>
    <row r="7847" spans="1:5" x14ac:dyDescent="0.2">
      <c r="A7847">
        <v>7786</v>
      </c>
      <c r="B7847" s="1832">
        <f>'PCTC-OEPP 27-28'!F112</f>
        <v>178333</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5214</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4251</v>
      </c>
      <c r="D7857" s="2" t="str">
        <f t="shared" si="129"/>
        <v>Error?</v>
      </c>
      <c r="E7857" s="4" t="s">
        <v>1997</v>
      </c>
    </row>
    <row r="7858" spans="1:5" x14ac:dyDescent="0.2">
      <c r="A7858">
        <v>7797</v>
      </c>
      <c r="B7858" s="1832">
        <f>'PCTC-OEPP 27-28'!F126</f>
        <v>194575</v>
      </c>
      <c r="D7858" s="2" t="str">
        <f t="shared" si="129"/>
        <v>Error?</v>
      </c>
      <c r="E7858" s="4" t="s">
        <v>1997</v>
      </c>
    </row>
    <row r="7859" spans="1:5" x14ac:dyDescent="0.2">
      <c r="A7859">
        <v>7798</v>
      </c>
      <c r="B7859" s="1832">
        <f>'PCTC-OEPP 27-28'!F127</f>
        <v>473561</v>
      </c>
      <c r="D7859" s="2" t="str">
        <f t="shared" si="129"/>
        <v>Error?</v>
      </c>
      <c r="E7859" s="4" t="s">
        <v>1997</v>
      </c>
    </row>
    <row r="7860" spans="1:5" x14ac:dyDescent="0.2">
      <c r="A7860">
        <v>7799</v>
      </c>
      <c r="B7860" s="1832">
        <f>'PCTC-OEPP 27-28'!F128</f>
        <v>12227</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46803</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41274</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12926</v>
      </c>
      <c r="D7874" s="2" t="str">
        <f t="shared" si="129"/>
        <v>Error?</v>
      </c>
      <c r="E7874" s="4" t="s">
        <v>1997</v>
      </c>
    </row>
    <row r="7875" spans="1:5" x14ac:dyDescent="0.2">
      <c r="A7875">
        <v>7814</v>
      </c>
      <c r="B7875" s="1832">
        <f>'PCTC-OEPP 27-28'!F170</f>
        <v>19830</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1442919.44</v>
      </c>
      <c r="D7877" s="2" t="str">
        <f t="shared" si="129"/>
        <v>Error?</v>
      </c>
      <c r="E7877" s="4" t="s">
        <v>1997</v>
      </c>
    </row>
    <row r="7878" spans="1:5" x14ac:dyDescent="0.2">
      <c r="A7878">
        <v>7817</v>
      </c>
      <c r="B7878" s="1832">
        <f>'PCTC-OEPP 27-28'!F176</f>
        <v>5337684.4000000004</v>
      </c>
      <c r="D7878" s="2" t="str">
        <f t="shared" si="129"/>
        <v>Error?</v>
      </c>
      <c r="E7878" s="4" t="s">
        <v>1997</v>
      </c>
    </row>
    <row r="7879" spans="1:5" x14ac:dyDescent="0.2">
      <c r="A7879">
        <v>7818</v>
      </c>
      <c r="B7879" s="1832">
        <f>'PCTC-OEPP 27-28'!F178</f>
        <v>5748452.4000000004</v>
      </c>
      <c r="D7879" s="2" t="str">
        <f t="shared" si="129"/>
        <v>Error?</v>
      </c>
      <c r="E7879" s="4" t="s">
        <v>1997</v>
      </c>
    </row>
    <row r="7880" spans="1:5" x14ac:dyDescent="0.2">
      <c r="A7880">
        <v>7819</v>
      </c>
      <c r="B7880" s="1832">
        <f>'PCTC-OEPP 27-28'!F180</f>
        <v>9608.1371909943355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5295</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16" sqref="T1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1180</v>
      </c>
      <c r="B2" s="2512"/>
      <c r="C2" s="2512"/>
      <c r="D2" s="2512"/>
      <c r="E2" s="2512"/>
      <c r="F2" s="2512"/>
      <c r="G2" s="2512"/>
      <c r="H2" s="2512"/>
      <c r="I2" s="2512"/>
      <c r="J2" s="2512"/>
      <c r="K2" s="2512"/>
      <c r="L2" s="2512"/>
    </row>
    <row r="3" spans="1:29" ht="13.5" customHeight="1" x14ac:dyDescent="0.2">
      <c r="A3" s="2544" t="s">
        <v>1179</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5" t="str">
        <f>COVER!A17</f>
        <v xml:space="preserve">  Bushnell Prarie City 170</v>
      </c>
      <c r="B7" s="2536"/>
      <c r="C7" s="2536"/>
      <c r="D7" s="2537"/>
      <c r="E7" s="2538">
        <f>COVER!A13</f>
        <v>26062170026</v>
      </c>
      <c r="F7" s="2539"/>
      <c r="G7" s="2545">
        <f>COVER!T23</f>
        <v>60.008476000000002</v>
      </c>
      <c r="H7" s="2546"/>
      <c r="I7" s="2546"/>
      <c r="J7" s="2546"/>
      <c r="K7" s="2546"/>
      <c r="L7" s="254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8"/>
      <c r="B9" s="2549"/>
      <c r="C9" s="2549"/>
      <c r="D9" s="2549"/>
      <c r="E9" s="2549"/>
      <c r="F9" s="2550"/>
      <c r="G9" s="2518" t="str">
        <f>COVER!T13</f>
        <v>Cavanaugh, Davies, Blackman &amp; Cramblet, CPA's</v>
      </c>
      <c r="H9" s="2551"/>
      <c r="I9" s="2551"/>
      <c r="J9" s="2551"/>
      <c r="K9" s="2551"/>
      <c r="L9" s="2552"/>
    </row>
    <row r="10" spans="1:29" ht="13.5" customHeight="1" x14ac:dyDescent="0.2">
      <c r="A10" s="2524" t="str">
        <f>COVER!A38</f>
        <v>Kathy Dinger</v>
      </c>
      <c r="B10" s="2525"/>
      <c r="C10" s="2525"/>
      <c r="D10" s="2525"/>
      <c r="E10" s="2525"/>
      <c r="F10" s="2526"/>
      <c r="G10" s="2518" t="str">
        <f>COVER!T17</f>
        <v>1021 N. Main St., PO Box 318</v>
      </c>
      <c r="H10" s="2519"/>
      <c r="I10" s="2519"/>
      <c r="J10" s="2519"/>
      <c r="K10" s="2519"/>
      <c r="L10" s="2520"/>
    </row>
    <row r="11" spans="1:29" ht="13.5" customHeight="1" x14ac:dyDescent="0.2">
      <c r="A11" s="963" t="s">
        <v>1501</v>
      </c>
      <c r="B11" s="964"/>
      <c r="C11" s="965"/>
      <c r="D11" s="970"/>
      <c r="E11" s="965"/>
      <c r="F11" s="969"/>
      <c r="G11" s="2518" t="str">
        <f>COVER!T19</f>
        <v>Monmouth</v>
      </c>
      <c r="H11" s="2519"/>
      <c r="I11" s="2519"/>
      <c r="J11" s="2519"/>
      <c r="K11" s="2519"/>
      <c r="L11" s="2520"/>
    </row>
    <row r="12" spans="1:29" ht="13.5" customHeight="1" x14ac:dyDescent="0.2">
      <c r="A12" s="2527" t="s">
        <v>1500</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1502</v>
      </c>
      <c r="H13" s="2514"/>
      <c r="I13" s="2530" t="str">
        <f>COVER!T25</f>
        <v>cdbccpas@monmouthcpa.com</v>
      </c>
      <c r="J13" s="2531"/>
      <c r="K13" s="2531"/>
      <c r="L13" s="2532"/>
    </row>
    <row r="14" spans="1:29" ht="13.5" customHeight="1" x14ac:dyDescent="0.2">
      <c r="A14" s="2518" t="str">
        <f>COVER!A19</f>
        <v>845 N. Walnut</v>
      </c>
      <c r="B14" s="2519"/>
      <c r="C14" s="2519"/>
      <c r="D14" s="2519"/>
      <c r="E14" s="2519"/>
      <c r="F14" s="2520"/>
      <c r="G14" s="974" t="s">
        <v>1174</v>
      </c>
      <c r="H14" s="972"/>
      <c r="I14" s="972"/>
      <c r="J14" s="972"/>
      <c r="K14" s="972"/>
      <c r="L14" s="973"/>
    </row>
    <row r="15" spans="1:29" ht="13.5" customHeight="1" x14ac:dyDescent="0.2">
      <c r="A15" s="2518" t="str">
        <f>COVER!A21</f>
        <v>Bushnell</v>
      </c>
      <c r="B15" s="2519"/>
      <c r="C15" s="2519"/>
      <c r="D15" s="2519"/>
      <c r="E15" s="2519"/>
      <c r="F15" s="2520"/>
      <c r="G15" s="2515" t="str">
        <f>COVER!T15</f>
        <v>Rod Davies</v>
      </c>
      <c r="H15" s="2516"/>
      <c r="I15" s="2516"/>
      <c r="J15" s="2516"/>
      <c r="K15" s="2516"/>
      <c r="L15" s="2517"/>
    </row>
    <row r="16" spans="1:29" ht="12.2" customHeight="1" x14ac:dyDescent="0.2">
      <c r="A16" s="2541">
        <f>COVER!A25</f>
        <v>61422</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1173</v>
      </c>
      <c r="H17" s="972"/>
      <c r="I17" s="972"/>
      <c r="J17" s="972"/>
      <c r="K17" s="976" t="s">
        <v>1172</v>
      </c>
      <c r="L17" s="969"/>
      <c r="M17" s="962"/>
    </row>
    <row r="18" spans="1:13" ht="12.2" customHeight="1" x14ac:dyDescent="0.2">
      <c r="A18" s="2524"/>
      <c r="B18" s="2525"/>
      <c r="C18" s="2525"/>
      <c r="D18" s="2525"/>
      <c r="E18" s="2525"/>
      <c r="F18" s="2526"/>
      <c r="G18" s="2535" t="str">
        <f>COVER!T21</f>
        <v>309-734-2330</v>
      </c>
      <c r="H18" s="2536"/>
      <c r="I18" s="2536"/>
      <c r="J18" s="2536"/>
      <c r="K18" s="2535" t="str">
        <f>COVER!X21</f>
        <v>309-734-2349</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52" zoomScale="125" zoomScaleNormal="125" workbookViewId="0">
      <selection activeCell="T16" sqref="T1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Bushnell Prarie City 170</v>
      </c>
      <c r="B1" s="2558"/>
      <c r="C1" s="2558"/>
      <c r="D1" s="2558"/>
    </row>
    <row r="2" spans="1:11" s="991" customFormat="1" ht="12.75" x14ac:dyDescent="0.2">
      <c r="A2" s="2559">
        <f>'Single Audit Cover'!E7</f>
        <v>26062170026</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T16" sqref="T1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Bushnell Prarie City 170</v>
      </c>
      <c r="B1" s="2562"/>
      <c r="C1" s="2562"/>
      <c r="D1" s="2562"/>
      <c r="E1" s="2562"/>
    </row>
    <row r="2" spans="1:5" x14ac:dyDescent="0.2">
      <c r="A2" s="2563">
        <f>'Single Audit Cover'!E7</f>
        <v>26062170026</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805447</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25930</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-19830</v>
      </c>
    </row>
    <row r="19" spans="1:4" ht="13.5" thickBot="1" x14ac:dyDescent="0.25">
      <c r="A19" s="1041" t="s">
        <v>1223</v>
      </c>
      <c r="D19" s="1042">
        <f>SUM(D10:D17)</f>
        <v>811547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811547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0</v>
      </c>
    </row>
    <row r="49" spans="2:4" x14ac:dyDescent="0.2">
      <c r="B49" s="1048" t="s">
        <v>1214</v>
      </c>
      <c r="C49" s="1048"/>
      <c r="D49" s="1049">
        <f>D32-D47</f>
        <v>811547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T16" sqref="T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Bushnell Prarie City 170</v>
      </c>
      <c r="C1" s="2566"/>
      <c r="D1" s="2566"/>
      <c r="E1" s="2566"/>
      <c r="F1" s="2566"/>
      <c r="G1" s="2566"/>
      <c r="H1" s="2566"/>
      <c r="I1" s="2566"/>
      <c r="J1" s="2566"/>
      <c r="K1" s="2566"/>
      <c r="L1" s="2566"/>
      <c r="M1" s="2566"/>
    </row>
    <row r="2" spans="2:14" ht="15" x14ac:dyDescent="0.2">
      <c r="B2" s="2567">
        <f>'Single Audit Cover'!E7</f>
        <v>26062170026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3"/>
      <c r="J5" s="1913"/>
    </row>
    <row r="6" spans="2:14" x14ac:dyDescent="0.2">
      <c r="B6" s="1079"/>
      <c r="C6" s="1080"/>
      <c r="D6" s="1081" t="s">
        <v>1253</v>
      </c>
      <c r="E6" s="1082" t="s">
        <v>523</v>
      </c>
      <c r="F6" s="1083"/>
      <c r="G6" s="1084" t="s">
        <v>1710</v>
      </c>
      <c r="H6" s="1082"/>
      <c r="I6" s="1082"/>
      <c r="J6" s="191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2" t="str">
        <f>"7/1/"&amp;MID('AFR20'!$E$2,3,2)-2&amp;"-6/30/"&amp;MID('AFR20'!$E$2,3,2)-1</f>
        <v>7/1/18-6/30/19</v>
      </c>
      <c r="F9" s="1912" t="str">
        <f>"7/1/"&amp;MID('AFR20'!$E$2,3,2)-1&amp;"-6/30/"&amp;MID('AFR20'!$E$2,3,2)</f>
        <v>7/1/19-6/30/20</v>
      </c>
      <c r="G9" s="1912" t="str">
        <f>"7/1/"&amp;MID('AFR20'!$E$2,3,2)-2&amp;"-6/30/"&amp;MID('AFR20'!$E$2,3,2)-1</f>
        <v>7/1/18-6/30/19</v>
      </c>
      <c r="H9" s="1093" t="s">
        <v>1564</v>
      </c>
      <c r="I9" s="191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T16" sqref="T1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Bushnell Prarie City 170</v>
      </c>
      <c r="B1" s="2579"/>
      <c r="C1" s="2579"/>
      <c r="D1" s="2579"/>
      <c r="E1" s="2579"/>
      <c r="F1" s="2579"/>
    </row>
    <row r="2" spans="1:7" ht="13.5" customHeight="1" x14ac:dyDescent="0.2">
      <c r="A2" s="2567">
        <f>'Single Audit Cover'!E7</f>
        <v>26062170026</v>
      </c>
      <c r="B2" s="2567"/>
      <c r="C2" s="2567"/>
      <c r="D2" s="2567"/>
      <c r="E2" s="2567"/>
      <c r="F2" s="2567"/>
      <c r="G2" s="1051"/>
    </row>
    <row r="3" spans="1:7" ht="15.75" customHeight="1" x14ac:dyDescent="0.2">
      <c r="A3" s="2580" t="s">
        <v>1259</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1704</v>
      </c>
      <c r="C6" s="295"/>
      <c r="D6" s="295"/>
    </row>
    <row r="7" spans="1:7" ht="60.95" customHeight="1" x14ac:dyDescent="0.2">
      <c r="A7" s="2578" t="s">
        <v>1705</v>
      </c>
      <c r="B7" s="2578"/>
      <c r="C7" s="2578"/>
      <c r="D7" s="2578"/>
      <c r="E7" s="2578"/>
      <c r="F7" s="257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8" t="s">
        <v>1707</v>
      </c>
      <c r="B13" s="2578"/>
      <c r="C13" s="2578"/>
      <c r="D13" s="2578"/>
      <c r="E13" s="2578"/>
      <c r="F13" s="2578"/>
    </row>
    <row r="14" spans="1:7" ht="9.75" customHeight="1" x14ac:dyDescent="0.2">
      <c r="C14" s="1036"/>
      <c r="D14" s="1036"/>
    </row>
    <row r="15" spans="1:7" ht="13.5" customHeight="1" x14ac:dyDescent="0.2">
      <c r="C15" s="1476" t="s">
        <v>1258</v>
      </c>
      <c r="D15" s="2576" t="s">
        <v>1257</v>
      </c>
      <c r="E15" s="2576"/>
      <c r="F15" s="2576"/>
    </row>
    <row r="16" spans="1:7" ht="13.5" customHeight="1" x14ac:dyDescent="0.2">
      <c r="A16" s="1058"/>
      <c r="B16" s="1052" t="s">
        <v>1256</v>
      </c>
      <c r="C16" s="1476" t="s">
        <v>1255</v>
      </c>
      <c r="D16" s="2577" t="s">
        <v>1570</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2" t="s">
        <v>1708</v>
      </c>
      <c r="B32" s="2572"/>
      <c r="C32" s="2572"/>
      <c r="D32" s="2572"/>
      <c r="E32" s="2572"/>
      <c r="F32" s="2572"/>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73">
        <f>+C33+C34</f>
        <v>0</v>
      </c>
      <c r="F34" s="2574"/>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1572</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1533</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T16" sqref="T16"/>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Bushnell Prarie City 170</v>
      </c>
      <c r="C1" s="2594"/>
      <c r="D1" s="2594"/>
      <c r="E1" s="2594"/>
      <c r="F1" s="2594"/>
      <c r="G1" s="2594"/>
      <c r="H1" s="2594"/>
      <c r="I1" s="2594"/>
      <c r="J1" s="1178"/>
    </row>
    <row r="2" spans="2:10" s="295" customFormat="1" ht="12.75" customHeight="1" x14ac:dyDescent="0.2">
      <c r="B2" s="2595">
        <f>'Single Audit Cover'!E7</f>
        <v>26062170026</v>
      </c>
      <c r="C2" s="2596"/>
      <c r="D2" s="2596"/>
      <c r="E2" s="2596"/>
      <c r="F2" s="2596"/>
      <c r="G2" s="2596"/>
      <c r="H2" s="2596"/>
      <c r="I2" s="2596"/>
      <c r="J2" s="1178"/>
    </row>
    <row r="3" spans="2:10" s="295" customFormat="1" ht="12.75" customHeight="1" x14ac:dyDescent="0.2">
      <c r="B3" s="2597" t="s">
        <v>1273</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1272</v>
      </c>
      <c r="C7" s="2598"/>
      <c r="D7" s="2598"/>
      <c r="E7" s="2598"/>
      <c r="F7" s="2598"/>
      <c r="G7" s="2598"/>
      <c r="H7" s="2598"/>
      <c r="I7" s="2598"/>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9"/>
      <c r="D11" s="2599"/>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0"/>
      <c r="E29" s="2600"/>
      <c r="F29" s="2600"/>
      <c r="G29" s="2600"/>
      <c r="H29" s="2600"/>
      <c r="I29" s="2600"/>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1" t="s">
        <v>1727</v>
      </c>
      <c r="D37" s="2602"/>
      <c r="E37" s="2602"/>
      <c r="F37" s="2603"/>
      <c r="G37" s="2601" t="s">
        <v>1574</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1575</v>
      </c>
      <c r="D43" s="2583"/>
      <c r="E43" s="2583"/>
      <c r="F43" s="2584"/>
      <c r="G43" s="2585">
        <f>SUM(G38:I42)</f>
        <v>0</v>
      </c>
      <c r="H43" s="2585"/>
      <c r="I43" s="2585"/>
    </row>
    <row r="44" spans="2:9" ht="12.75" customHeight="1" x14ac:dyDescent="0.2"/>
    <row r="45" spans="2:9" ht="12.75" customHeight="1" x14ac:dyDescent="0.2">
      <c r="B45" s="1915" t="str">
        <f>"Total Federal Expenditures for 7/1/"&amp;MID('AFR20'!E2,3,2)-1&amp;"-6/30/"&amp;MID('AFR20'!E2,3,2)</f>
        <v>Total Federal Expenditures for 7/1/19-6/30/20</v>
      </c>
      <c r="C45" s="1916"/>
      <c r="D45" s="2586">
        <v>0</v>
      </c>
      <c r="E45" s="258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8"/>
      <c r="F49" s="2588"/>
      <c r="G49" s="2588"/>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5" zoomScale="110" zoomScaleNormal="110" workbookViewId="0">
      <selection activeCell="T16" sqref="T1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Bushnell Prarie City 170</v>
      </c>
      <c r="C1" s="2593"/>
      <c r="D1" s="2593"/>
      <c r="E1" s="2593"/>
      <c r="F1" s="2593"/>
      <c r="G1" s="2593"/>
      <c r="H1" s="2593"/>
      <c r="I1" s="2593"/>
      <c r="J1" s="2593"/>
      <c r="K1" s="2593"/>
      <c r="L1" s="1144"/>
      <c r="M1" s="1144"/>
    </row>
    <row r="2" spans="1:13" ht="12" customHeight="1" x14ac:dyDescent="0.2">
      <c r="B2" s="2595">
        <f>'Single Audit Cover'!E7</f>
        <v>26062170026</v>
      </c>
      <c r="C2" s="2595"/>
      <c r="D2" s="2595"/>
      <c r="E2" s="2595"/>
      <c r="F2" s="2595"/>
      <c r="G2" s="2595"/>
      <c r="H2" s="2595"/>
      <c r="I2" s="2595"/>
      <c r="J2" s="2595"/>
      <c r="K2" s="2595"/>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7" t="str">
        <f>'AFR20'!$E$2&amp;"-"</f>
        <v>2020-</v>
      </c>
      <c r="D10" s="1155">
        <v>1</v>
      </c>
      <c r="E10" s="300"/>
      <c r="F10" s="1156" t="s">
        <v>1283</v>
      </c>
      <c r="G10" s="1157"/>
      <c r="H10" s="1158" t="s">
        <v>1282</v>
      </c>
      <c r="I10" s="1157" t="s">
        <v>2050</v>
      </c>
      <c r="J10" s="1159" t="s">
        <v>1281</v>
      </c>
      <c r="K10" s="300"/>
      <c r="L10" s="1151"/>
    </row>
    <row r="11" spans="1:13" ht="13.5" customHeight="1" x14ac:dyDescent="0.2">
      <c r="B11" s="300"/>
      <c r="C11" s="300"/>
      <c r="D11" s="300"/>
      <c r="E11" s="300"/>
      <c r="F11" s="300"/>
      <c r="G11" s="1153"/>
      <c r="H11" s="300"/>
      <c r="I11" s="1160" t="s">
        <v>1280</v>
      </c>
      <c r="J11" s="300"/>
      <c r="K11" s="1161">
        <v>2009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57" customHeight="1" x14ac:dyDescent="0.2">
      <c r="B14" s="2608" t="s">
        <v>2074</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36.75" customHeight="1" x14ac:dyDescent="0.2">
      <c r="B17" s="2608" t="s">
        <v>2075</v>
      </c>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t="s">
        <v>2076</v>
      </c>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t="s">
        <v>2077</v>
      </c>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t="s">
        <v>2078</v>
      </c>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t="s">
        <v>2079</v>
      </c>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2" zoomScale="110" zoomScaleNormal="110" workbookViewId="0">
      <selection activeCell="T16" sqref="T1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Bushnell Prarie City 170</v>
      </c>
      <c r="C1" s="2593"/>
      <c r="D1" s="2593"/>
      <c r="E1" s="2593"/>
      <c r="F1" s="2593"/>
      <c r="G1" s="2593"/>
      <c r="H1" s="2593"/>
      <c r="I1" s="2593"/>
      <c r="J1" s="2593"/>
      <c r="K1" s="2593"/>
      <c r="L1" s="1144"/>
      <c r="M1" s="1144"/>
    </row>
    <row r="2" spans="1:13" ht="12" customHeight="1" x14ac:dyDescent="0.2">
      <c r="B2" s="2595">
        <f>'Single Audit Cover'!E7</f>
        <v>26062170026</v>
      </c>
      <c r="C2" s="2595"/>
      <c r="D2" s="2595"/>
      <c r="E2" s="2595"/>
      <c r="F2" s="2595"/>
      <c r="G2" s="2595"/>
      <c r="H2" s="2595"/>
      <c r="I2" s="2595"/>
      <c r="J2" s="2595"/>
      <c r="K2" s="2595"/>
      <c r="L2" s="1145"/>
      <c r="M2" s="1146"/>
    </row>
    <row r="3" spans="1:13" ht="10.35" customHeight="1" x14ac:dyDescent="0.2">
      <c r="B3" s="2609" t="s">
        <v>1273</v>
      </c>
      <c r="C3" s="2609"/>
      <c r="D3" s="2609"/>
      <c r="E3" s="2609"/>
      <c r="F3" s="2609"/>
      <c r="G3" s="2609"/>
      <c r="H3" s="2609"/>
      <c r="I3" s="2609"/>
      <c r="J3" s="2609"/>
      <c r="K3" s="2609"/>
      <c r="L3" s="2033"/>
      <c r="M3" s="2033"/>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7" t="str">
        <f>'AFR20'!$E$2&amp;"-"</f>
        <v>2020-</v>
      </c>
      <c r="D10" s="1155">
        <v>2</v>
      </c>
      <c r="E10" s="300"/>
      <c r="F10" s="1156" t="s">
        <v>1283</v>
      </c>
      <c r="G10" s="1157" t="s">
        <v>2050</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t="s">
        <v>2113</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t="s">
        <v>2114</v>
      </c>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t="s">
        <v>2121</v>
      </c>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t="s">
        <v>2115</v>
      </c>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T16" sqref="T1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Bushnell Prarie City 170</v>
      </c>
      <c r="C1" s="2616"/>
      <c r="D1" s="2616"/>
      <c r="E1" s="2616"/>
      <c r="F1" s="2616"/>
      <c r="G1" s="2616"/>
      <c r="H1" s="2616"/>
      <c r="I1" s="2616"/>
      <c r="J1" s="2616"/>
      <c r="K1" s="2616"/>
      <c r="L1" s="1221"/>
    </row>
    <row r="2" spans="1:12" ht="12.75" customHeight="1" x14ac:dyDescent="0.2">
      <c r="B2" s="2617">
        <f>'Single Audit Cover'!E7</f>
        <v>26062170026</v>
      </c>
      <c r="C2" s="2617"/>
      <c r="D2" s="2617"/>
      <c r="E2" s="2617"/>
      <c r="F2" s="2617"/>
      <c r="G2" s="2617"/>
      <c r="H2" s="2617"/>
      <c r="I2" s="2617"/>
      <c r="J2" s="2617"/>
      <c r="K2" s="2617"/>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8" t="s">
        <v>1296</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7"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3"/>
      <c r="E14" s="2613"/>
      <c r="F14" s="2613"/>
      <c r="H14" s="1230" t="s">
        <v>1291</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4"/>
      <c r="E16" s="2614"/>
      <c r="F16" s="2614"/>
      <c r="G16" s="2614"/>
      <c r="H16" s="2614"/>
      <c r="I16" s="2614"/>
      <c r="J16" s="2614"/>
      <c r="K16" s="2614"/>
      <c r="L16" s="300"/>
    </row>
    <row r="17" spans="2:12" ht="13.5" customHeight="1" x14ac:dyDescent="0.2">
      <c r="B17" s="1156" t="s">
        <v>1289</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T16" sqref="T1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Bushnell Prarie City 170</v>
      </c>
      <c r="C1" s="2593"/>
      <c r="D1" s="2593"/>
      <c r="E1" s="1240"/>
    </row>
    <row r="2" spans="2:5" s="1058" customFormat="1" ht="12.75" customHeight="1" x14ac:dyDescent="0.2">
      <c r="B2" s="2595">
        <f>'Single Audit Cover'!E7</f>
        <v>26062170026</v>
      </c>
      <c r="C2" s="2595"/>
      <c r="D2" s="2595"/>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t="s">
        <v>2080</v>
      </c>
      <c r="C8" s="302" t="s">
        <v>2081</v>
      </c>
      <c r="D8" s="302" t="s">
        <v>2082</v>
      </c>
      <c r="E8" s="302"/>
    </row>
    <row r="9" spans="2:5" ht="13.5" customHeight="1" x14ac:dyDescent="0.2">
      <c r="B9" s="1246"/>
      <c r="C9" s="301"/>
      <c r="D9" s="301" t="s">
        <v>2083</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6ce3111e-7420-4802-b50a-75d4e9a0b980"/>
    <ds:schemaRef ds:uri="4d435f69-8686-490b-bd6d-b153bf22ab50"/>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2020-09-23T15:49:23Z</cp:lastPrinted>
  <dcterms:created xsi:type="dcterms:W3CDTF">2003-10-29T19:06:34Z</dcterms:created>
  <dcterms:modified xsi:type="dcterms:W3CDTF">2020-10-18T16:38:25Z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