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029B7A7-33B5-4D1D-B6E3-45E6342D0654}" xr6:coauthVersionLast="36" xr6:coauthVersionMax="36" xr10:uidLastSave="{00000000-0000-0000-0000-000000000000}"/>
  <bookViews>
    <workbookView xWindow="-105" yWindow="-105" windowWidth="23250" windowHeight="131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M18" i="3"/>
  <c r="M17" i="3"/>
  <c r="I13" i="11"/>
  <c r="I12" i="11"/>
  <c r="I4" i="3"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L22" i="37"/>
  <c r="D24" i="37"/>
  <c r="B4270" i="106" s="1"/>
  <c r="D4270" i="106" s="1"/>
  <c r="F69" i="34" l="1"/>
  <c r="F36" i="34"/>
  <c r="B7828" i="106" s="1"/>
  <c r="D7828" i="106" s="1"/>
  <c r="J210" i="29"/>
  <c r="B7072" i="106" s="1"/>
  <c r="D7072" i="106" s="1"/>
  <c r="B7047" i="106"/>
  <c r="D7047" i="106" s="1"/>
  <c r="F37" i="34"/>
  <c r="B7829" i="106" s="1"/>
  <c r="D7829" i="106" s="1"/>
  <c r="F64" i="34"/>
  <c r="F67" i="34"/>
  <c r="B1274" i="106"/>
  <c r="D1274" i="106" s="1"/>
  <c r="H15" i="184"/>
  <c r="B6289" i="106"/>
  <c r="D6289" i="106" s="1"/>
  <c r="H33" i="118"/>
  <c r="H76" i="4"/>
  <c r="B3298" i="106" s="1"/>
  <c r="D3298" i="106" s="1"/>
  <c r="F77" i="4"/>
  <c r="B3255" i="106" s="1"/>
  <c r="D3255" i="106" s="1"/>
  <c r="H365" i="29"/>
  <c r="B7242" i="106" s="1"/>
  <c r="D7242" i="106" s="1"/>
  <c r="H28" i="118"/>
  <c r="D22" i="37"/>
  <c r="I210" i="29"/>
  <c r="B7071" i="106" s="1"/>
  <c r="D7071" i="106" s="1"/>
  <c r="C352" i="29"/>
  <c r="G30" i="108"/>
  <c r="C342" i="29"/>
  <c r="B7216" i="106" s="1"/>
  <c r="D7216" i="106" s="1"/>
  <c r="H342" i="29"/>
  <c r="B7696" i="106"/>
  <c r="D7696" i="106" s="1"/>
  <c r="E66" i="184"/>
  <c r="N66" i="184" s="1"/>
  <c r="B7135" i="106"/>
  <c r="D7135" i="106" s="1"/>
  <c r="E58" i="184"/>
  <c r="N58" i="184" s="1"/>
  <c r="F34" i="34"/>
  <c r="B7826" i="106" s="1"/>
  <c r="D7826" i="106" s="1"/>
  <c r="B7189" i="106"/>
  <c r="D7189" i="106" s="1"/>
  <c r="E64" i="184"/>
  <c r="N64" i="184" s="1"/>
  <c r="D31" i="108"/>
  <c r="E16" i="184"/>
  <c r="H16" i="184" s="1"/>
  <c r="B7126" i="106"/>
  <c r="D7126" i="106" s="1"/>
  <c r="E57" i="184"/>
  <c r="B7180" i="106"/>
  <c r="D7180" i="106" s="1"/>
  <c r="E63" i="184"/>
  <c r="N63" i="184" s="1"/>
  <c r="G33" i="108"/>
  <c r="E17" i="184"/>
  <c r="H17" i="184" s="1"/>
  <c r="H12" i="184"/>
  <c r="B7171" i="106"/>
  <c r="D7171" i="106" s="1"/>
  <c r="E62" i="184"/>
  <c r="N62" i="184" s="1"/>
  <c r="C129" i="29"/>
  <c r="C151" i="29" s="1"/>
  <c r="B1226" i="106" s="1"/>
  <c r="D1226" i="106" s="1"/>
  <c r="B7198" i="106"/>
  <c r="D7198" i="106" s="1"/>
  <c r="E65" i="184"/>
  <c r="N65" i="184" s="1"/>
  <c r="B7162" i="106"/>
  <c r="D7162" i="106" s="1"/>
  <c r="E61" i="184"/>
  <c r="N61" i="184" s="1"/>
  <c r="B7153" i="106"/>
  <c r="D7153" i="106" s="1"/>
  <c r="E60" i="184"/>
  <c r="N60" i="184" s="1"/>
  <c r="B7705" i="106"/>
  <c r="D7705" i="106" s="1"/>
  <c r="E67" i="184"/>
  <c r="N6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1225" i="106" l="1"/>
  <c r="D1225" i="106" s="1"/>
  <c r="K77" i="4"/>
  <c r="B3587" i="106" s="1"/>
  <c r="D3587" i="106" s="1"/>
  <c r="N23" i="3"/>
  <c r="B284" i="106" s="1"/>
  <c r="D284" i="106" s="1"/>
  <c r="L16" i="11"/>
  <c r="B2061" i="106" s="1"/>
  <c r="D2061" i="106" s="1"/>
  <c r="I7" i="4"/>
  <c r="B4444" i="106" s="1"/>
  <c r="D4444" i="106" s="1"/>
  <c r="B5770" i="106"/>
  <c r="D5770" i="106" s="1"/>
  <c r="K28" i="118"/>
  <c r="O27" i="118" s="1"/>
  <c r="O29" i="118" s="1"/>
  <c r="F41" i="108"/>
  <c r="G43" i="108" s="1"/>
  <c r="K342" i="29"/>
  <c r="F13" i="34" s="1"/>
  <c r="B5527" i="106"/>
  <c r="D5527" i="106" s="1"/>
  <c r="D44" i="36"/>
  <c r="B7222" i="106"/>
  <c r="D7222" i="106" s="1"/>
  <c r="F76" i="34"/>
  <c r="B7887" i="106" s="1"/>
  <c r="D7887" i="106" s="1"/>
  <c r="B7235" i="106"/>
  <c r="D7235" i="106" s="1"/>
  <c r="J16" i="4"/>
  <c r="B6226" i="106" s="1"/>
  <c r="D6226" i="106" s="1"/>
  <c r="B7215" i="106"/>
  <c r="D7215" i="106" s="1"/>
  <c r="B6216" i="106"/>
  <c r="D6216" i="106" s="1"/>
  <c r="B7220" i="106"/>
  <c r="D7220" i="106" s="1"/>
  <c r="F75" i="34"/>
  <c r="B7886" i="106" s="1"/>
  <c r="D7886" i="106" s="1"/>
  <c r="N57" i="184"/>
  <c r="N68" i="184" s="1"/>
  <c r="E68" i="184"/>
  <c r="L114" i="29"/>
  <c r="E19" i="184"/>
  <c r="E367" i="29"/>
  <c r="B3636" i="106" s="1"/>
  <c r="D3636" i="106" s="1"/>
  <c r="B3635" i="106"/>
  <c r="D3635" i="106" s="1"/>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224" i="106"/>
  <c r="D7224"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F8" i="4"/>
  <c r="F10" i="4" s="1"/>
  <c r="B4125" i="106" s="1"/>
  <c r="D4125" i="106" s="1"/>
  <c r="B6223" i="106"/>
  <c r="D6223" i="106" s="1"/>
  <c r="J20" i="4"/>
  <c r="B6230" i="106" s="1"/>
  <c r="D6230" i="106" s="1"/>
  <c r="B6227" i="106"/>
  <c r="D6227" i="106" s="1"/>
  <c r="J19" i="4"/>
  <c r="B6229" i="106" s="1"/>
  <c r="D6229" i="106" s="1"/>
  <c r="K17" i="4"/>
  <c r="K19" i="4" s="1"/>
  <c r="B4144" i="106" s="1"/>
  <c r="D4144"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K20" i="4"/>
  <c r="K78" i="4" s="1"/>
  <c r="B3575" i="106"/>
  <c r="D3575"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D78" i="4"/>
  <c r="B3576" i="106" l="1"/>
  <c r="D3576"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<sst xmlns="http://schemas.openxmlformats.org/spreadsheetml/2006/main" count="5159" uniqueCount="2084">
  <si>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</si>
  <si>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</si>
  <si>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</si>
  <si>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</si>
  <si>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</si>
  <si>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</si>
  <si>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</si>
  <si>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</si>
  <si>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</si>
  <si>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</si>
  <si>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</si>
  <si>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</si>
  <si>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</si>
  <si>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</si>
  <si>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</si>
  <si>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</si>
  <si>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</si>
  <si>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</si>
  <si>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</si>
  <si>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</si>
  <si>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</si>
  <si>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</si>
  <si>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</si>
  <si>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</si>
  <si>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</si>
  <si>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</si>
  <si>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</si>
  <si>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</si>
  <si>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</si>
  <si>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</si>
  <si>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</si>
  <si>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</si>
  <si>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</si>
  <si>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</si>
  <si>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</si>
  <si>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</si>
  <si>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</si>
  <si>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</si>
  <si>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</si>
  <si>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</si>
  <si>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</si>
  <si>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</si>
  <si>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</si>
  <si>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</si>
  <si>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</si>
  <si>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</si>
  <si>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</si>
  <si>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</si>
  <si>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</si>
  <si>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</si>
  <si>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</si>
  <si>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</si>
  <si>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</si>
  <si>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</si>
  <si>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</si>
  <si>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</si>
  <si>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</si>
  <si>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</si>
  <si>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</si>
  <si>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</si>
  <si>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</si>
  <si>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</si>
  <si>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</si>
  <si>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</si>
  <si>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</si>
  <si>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</si>
  <si>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</si>
  <si>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</si>
  <si>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</si>
  <si>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</si>
  <si>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</si>
  <si>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</si>
  <si>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</si>
  <si>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</si>
  <si>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</si>
  <si>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</si>
  <si>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</si>
  <si>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</si>
  <si>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</si>
  <si>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</si>
  <si>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</si>
  <si>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</si>
  <si>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</si>
  <si>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</si>
  <si>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</si>
  <si>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</si>
  <si>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</si>
  <si>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</si>
  <si>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</si>
  <si>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</si>
  <si>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</si>
  <si>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</si>
  <si>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</si>
  <si>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</si>
  <si>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</si>
  <si>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</si>
  <si>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</si>
  <si>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</si>
  <si>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</si>
  <si>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</si>
  <si>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</si>
  <si>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</si>
  <si>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</si>
  <si>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</si>
  <si>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</si>
  <si>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</si>
  <si>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</si>
  <si>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</si>
  <si>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</si>
  <si>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</si>
  <si>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</si>
  <si>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</si>
  <si>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</si>
  <si>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</si>
  <si>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</si>
  <si>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</si>
  <si>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</si>
  <si>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</si>
  <si>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</si>
  <si>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</si>
  <si>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</si>
  <si>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</si>
  <si>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</si>
  <si>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</si>
  <si>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</si>
  <si>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</si>
  <si>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</si>
  <si>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</si>
  <si>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</si>
  <si>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</si>
  <si>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</si>
  <si>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</si>
  <si>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</si>
  <si>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</si>
  <si>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</si>
  <si>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</si>
  <si>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</si>
  <si>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</si>
  <si>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</si>
  <si>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</si>
  <si>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</si>
  <si>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</si>
  <si>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</si>
  <si>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</si>
  <si>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</si>
  <si>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</si>
  <si>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</si>
  <si>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</si>
  <si>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</si>
  <si>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</si>
  <si>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</si>
  <si>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</si>
  <si>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</si>
  <si>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</si>
  <si>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</si>
  <si>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</si>
  <si>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</si>
  <si>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</si>
  <si>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</si>
  <si>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</si>
  <si>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</si>
  <si>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</si>
  <si>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</si>
  <si>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</si>
  <si>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</si>
  <si>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</si>
  <si>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</si>
  <si>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</si>
  <si>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</si>
  <si>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</si>
  <si>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</si>
  <si>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</si>
  <si>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</si>
  <si>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</si>
  <si>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</si>
  <si>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</si>
  <si>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</si>
  <si>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</si>
  <si>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</si>
  <si>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</si>
  <si>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</si>
  <si>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</si>
  <si>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</si>
  <si>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</si>
  <si>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</si>
  <si>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</si>
  <si>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</si>
  <si>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</si>
  <si>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</si>
  <si>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</si>
  <si>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</si>
  <si>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</si>
  <si>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</si>
  <si>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</si>
  <si>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</si>
  <si>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</si>
  <si>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</si>
  <si>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</si>
  <si>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</si>
  <si>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</si>
  <si>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</si>
  <si>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</si>
  <si>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</si>
  <si>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</si>
  <si>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</si>
  <si>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</si>
  <si>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</si>
  <si>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</si>
  <si>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</si>
  <si>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</si>
  <si>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</si>
  <si>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</si>
  <si>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</si>
  <si>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</si>
  <si>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</si>
  <si>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</si>
  <si>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</si>
  <si>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</si>
  <si>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</si>
  <si>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</si>
  <si>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</si>
  <si>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</si>
  <si>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</si>
  <si>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</si>
  <si>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</si>
  <si>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</si>
  <si>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</si>
  <si>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</si>
  <si>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</si>
  <si>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</si>
  <si>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</si>
  <si>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</si>
  <si>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</si>
  <si>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</si>
  <si>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</si>
  <si>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</si>
  <si>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</si>
  <si>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</si>
  <si>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</si>
  <si>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</si>
  <si>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</si>
  <si>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</si>
  <si>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</si>
  <si>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</si>
  <si>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</si>
  <si>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</si>
  <si>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</si>
  <si>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</si>
  <si>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</si>
  <si>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</si>
  <si>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</si>
  <si>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</si>
  <si>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</si>
  <si>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</si>
  <si>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</si>
  <si>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</si>
  <si>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</si>
  <si>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</si>
  <si>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</si>
  <si>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</si>
  <si>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</si>
  <si>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</si>
  <si>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</si>
  <si>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</si>
  <si>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</si>
  <si>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</si>
  <si>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</si>
  <si>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</si>
  <si>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</si>
  <si>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</si>
  <si>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</si>
  <si>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</si>
  <si>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</si>
  <si>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</si>
  <si>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</si>
  <si>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</si>
  <si>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</si>
  <si>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</si>
  <si>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</si>
  <si>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</si>
  <si>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</si>
  <si>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</si>
  <si>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</si>
  <si>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</si>
  <si>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</si>
  <si>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</si>
  <si>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</si>
  <si>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</si>
  <si>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</si>
  <si>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</si>
  <si>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</si>
  <si>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</si>
  <si>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</si>
  <si>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</si>
  <si>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</si>
  <si>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</si>
  <si>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</si>
  <si>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</si>
  <si>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</si>
  <si>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</si>
  <si>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</si>
  <si>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</si>
  <si>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</si>
  <si>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</si>
  <si>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</si>
  <si>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</si>
  <si>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</si>
  <si>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</si>
  <si>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</si>
  <si>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</si>
  <si>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</si>
  <si>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</si>
  <si>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</si>
  <si>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</si>
  <si>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</si>
  <si>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</si>
  <si>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</si>
  <si>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</si>
  <si>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</si>
  <si>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</si>
  <si>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</si>
  <si>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</si>
  <si>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</si>
  <si>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</si>
  <si>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</si>
  <si>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</si>
  <si>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</si>
  <si>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</si>
  <si>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</si>
  <si>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</si>
  <si>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</si>
  <si>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</si>
  <si>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</si>
  <si>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</si>
  <si>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</si>
  <si>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</si>
  <si>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</si>
  <si>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</si>
  <si>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</si>
  <si>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</si>
  <si>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</si>
  <si>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</si>
  <si>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</si>
  <si>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</si>
  <si>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</si>
  <si>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</si>
  <si>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</si>
  <si>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</si>
  <si>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</si>
  <si>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</si>
  <si>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</si>
  <si>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</si>
  <si>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</si>
  <si>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</si>
  <si>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</si>
  <si>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</si>
  <si>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</si>
  <si>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</si>
  <si>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</si>
  <si>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</si>
  <si>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</si>
  <si>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</si>
  <si>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</si>
  <si>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</si>
  <si>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</si>
  <si>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</si>
  <si>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</si>
  <si>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</si>
  <si>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</si>
  <si>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</si>
  <si>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</si>
  <si>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</si>
  <si>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</si>
  <si>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</si>
  <si>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</si>
  <si>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</si>
  <si>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</si>
  <si>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</si>
  <si>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</si>
  <si>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</si>
  <si>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</si>
  <si>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</si>
  <si>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</si>
  <si>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</si>
  <si>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</si>
  <si>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</si>
  <si>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</si>
  <si>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</si>
  <si>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</si>
  <si>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</si>
  <si>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</si>
  <si>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</si>
  <si>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</si>
  <si>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</si>
  <si>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</si>
  <si>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</si>
  <si>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</si>
  <si>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</si>
  <si>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</si>
  <si>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</si>
  <si>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</si>
  <si>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</si>
  <si>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</si>
  <si>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</si>
  <si>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</si>
  <si>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</si>
  <si>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</si>
  <si>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</si>
  <si>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</si>
  <si>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</si>
  <si>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</si>
  <si>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</si>
  <si>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</si>
  <si>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</si>
  <si>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</si>
  <si>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</si>
  <si>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</si>
  <si>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</si>
  <si>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</si>
  <si>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</si>
  <si>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</si>
  <si>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</si>
  <si>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</si>
  <si>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</si>
  <si>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</si>
  <si>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</si>
  <si>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</si>
  <si>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</si>
  <si>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</si>
  <si>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</si>
  <si>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</si>
  <si>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</si>
  <si>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</si>
  <si>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</si>
  <si>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</si>
  <si>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</si>
  <si>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</si>
  <si>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</si>
  <si>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</si>
  <si>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</si>
  <si>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</si>
  <si>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</si>
  <si>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</si>
  <si>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</si>
  <si>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</si>
  <si>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</si>
  <si>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</si>
  <si>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</si>
  <si>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</si>
  <si>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</si>
  <si>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</si>
  <si>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</si>
  <si>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</si>
  <si>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</si>
  <si>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</si>
  <si>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</si>
  <si>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</si>
  <si>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</si>
  <si>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</si>
  <si>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</si>
  <si>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</si>
  <si>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</si>
  <si>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</si>
  <si>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</si>
  <si>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</si>
  <si>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</si>
  <si>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</si>
  <si>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</si>
  <si>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</si>
  <si>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</si>
  <si>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</si>
  <si>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</si>
  <si>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</si>
  <si>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</si>
  <si>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</si>
  <si>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</si>
  <si>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</si>
  <si>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</si>
  <si>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</si>
  <si>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</si>
  <si>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</si>
  <si>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</si>
  <si>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</si>
  <si>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</si>
  <si>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</si>
  <si>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</si>
  <si>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</si>
  <si>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</si>
  <si>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</si>
  <si>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</si>
  <si>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</si>
  <si>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</si>
  <si>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</si>
  <si>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</si>
  <si>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</si>
  <si>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</si>
  <si>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</si>
  <si>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</si>
  <si>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</si>
  <si>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</si>
  <si>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</si>
  <si>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</si>
  <si>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</si>
  <si>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</si>
  <si>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</si>
  <si>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</si>
  <si>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</si>
  <si>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</si>
  <si>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</si>
  <si>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</si>
  <si>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</si>
  <si>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</si>
  <si>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</si>
  <si>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</si>
  <si>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</si>
  <si>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</si>
  <si>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</si>
  <si>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</si>
  <si>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</si>
  <si>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</si>
  <si>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</si>
  <si>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</si>
  <si>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</si>
  <si>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</si>
  <si>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</si>
  <si>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</si>
  <si>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</si>
  <si>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</si>
  <si>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</si>
  <si>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</si>
  <si>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</si>
  <si>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</si>
  <si>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</si>
  <si>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</si>
  <si>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</si>
  <si>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</si>
  <si>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</si>
  <si>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</si>
  <si>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</si>
  <si>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</si>
  <si>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</si>
  <si>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</si>
  <si>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</si>
  <si>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</si>
  <si>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</si>
  <si>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</si>
  <si>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</si>
  <si>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</si>
  <si>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</si>
  <si>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</si>
  <si>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</si>
  <si>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</si>
  <si>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</si>
  <si>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</si>
  <si>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</si>
  <si>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</si>
  <si>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</si>
  <si>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</si>
  <si>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</si>
  <si>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</si>
  <si>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</si>
  <si>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</si>
  <si>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</si>
  <si>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</si>
  <si>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</si>
  <si>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</si>
  <si>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</si>
  <si>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</si>
  <si>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</si>
  <si>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</si>
  <si>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</si>
  <si>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</si>
  <si>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</si>
  <si>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</si>
  <si>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</si>
  <si>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</si>
  <si>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</si>
  <si>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</si>
  <si>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</si>
  <si>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</si>
  <si>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</si>
  <si>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</si>
  <si>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</si>
  <si>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</si>
  <si>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</si>
  <si>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</si>
  <si>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</si>
  <si>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</si>
  <si>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</si>
  <si>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</si>
  <si>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</si>
  <si>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</si>
  <si>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</si>
  <si>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</si>
  <si>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</si>
  <si>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</si>
  <si>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</si>
  <si>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</si>
  <si>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</si>
  <si>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</si>
  <si>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</si>
  <si>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</si>
  <si>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</si>
  <si>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</si>
  <si>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</si>
  <si>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</si>
  <si>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</si>
  <si>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</si>
  <si>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</si>
  <si>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</si>
  <si>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</si>
  <si>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</si>
  <si>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</si>
  <si>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</si>
  <si>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</si>
  <si>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</si>
  <si>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</si>
  <si>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</si>
  <si>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</si>
  <si>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</si>
  <si>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</si>
  <si>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</si>
  <si>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</si>
  <si>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</si>
  <si>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</si>
  <si>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</si>
  <si>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</si>
  <si>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</si>
  <si>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</si>
  <si>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</si>
  <si>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</si>
  <si>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</si>
  <si>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</si>
  <si>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</si>
  <si>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</si>
  <si>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</si>
  <si>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</si>
  <si>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</si>
  <si>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</si>
  <si>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</si>
  <si>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</si>
  <si>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</si>
  <si>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</si>
  <si>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</si>
  <si>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</si>
  <si>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</si>
  <si>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</si>
  <si>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</si>
  <si>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</si>
  <si>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</si>
  <si>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</si>
  <si>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</si>
  <si>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</si>
  <si>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</si>
  <si>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</si>
  <si>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</si>
  <si>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</si>
  <si>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</si>
  <si>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</si>
  <si>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</si>
  <si>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</si>
  <si>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</si>
  <si>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</si>
  <si>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</si>
  <si>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</si>
  <si>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</si>
  <si>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</si>
  <si>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</si>
  <si>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</si>
  <si>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</si>
  <si>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</si>
  <si>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</si>
  <si>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</si>
  <si>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</si>
  <si>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</si>
  <si>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</si>
  <si>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</si>
  <si>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</si>
  <si>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</si>
  <si>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</si>
  <si>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</si>
  <si>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</si>
  <si>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</si>
  <si>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</si>
  <si>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</si>
  <si>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</si>
  <si>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</si>
  <si>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</si>
  <si>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</si>
  <si>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</si>
  <si>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</si>
  <si>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</si>
  <si>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</si>
  <si>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</si>
  <si>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</si>
  <si>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</si>
  <si>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</si>
  <si>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</si>
  <si>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</si>
  <si>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</si>
  <si>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</si>
  <si>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</si>
  <si>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</si>
  <si>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</si>
  <si>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</si>
  <si>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</si>
  <si>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</si>
  <si>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</si>
  <si>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</si>
  <si>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</si>
  <si>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</si>
  <si>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</si>
  <si>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</si>
  <si>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</si>
  <si>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</si>
  <si>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</si>
  <si>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</si>
  <si>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</si>
  <si>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</si>
  <si>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</si>
  <si>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</si>
  <si>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</si>
  <si>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</si>
  <si>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</si>
  <si>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</si>
  <si>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</si>
  <si>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</si>
  <si>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</si>
  <si>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</si>
  <si>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</si>
  <si>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</si>
  <si>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</si>
  <si>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</si>
  <si>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</si>
  <si>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</si>
  <si>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</si>
  <si>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</si>
  <si>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</si>
  <si>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</si>
  <si>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</si>
  <si>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</si>
  <si>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</si>
  <si>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</si>
  <si>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</si>
  <si>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</si>
  <si>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</si>
  <si>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</si>
  <si>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</si>
  <si>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</si>
  <si>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</si>
  <si>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</si>
  <si>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</si>
  <si>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</si>
  <si>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</si>
  <si>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</si>
  <si>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</si>
  <si>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</si>
  <si>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</si>
  <si>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</si>
  <si>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</si>
  <si>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</si>
  <si>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</si>
  <si>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</si>
  <si>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</si>
  <si>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</si>
  <si>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</si>
  <si>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</si>
  <si>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</si>
  <si>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</si>
  <si>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</si>
  <si>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</si>
  <si>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</si>
  <si>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</si>
  <si>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</si>
  <si>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</si>
  <si>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</si>
  <si>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</si>
  <si>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</si>
  <si>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</si>
  <si>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</si>
  <si>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</si>
  <si>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</si>
  <si>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</si>
  <si>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</si>
  <si>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</si>
  <si>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</si>
  <si>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</si>
  <si>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</si>
  <si>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</si>
  <si>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</si>
  <si>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</si>
  <si>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</si>
  <si>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</si>
  <si>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</si>
  <si>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</si>
  <si>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</si>
  <si>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</si>
  <si>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</si>
  <si>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</si>
  <si>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</si>
  <si>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</si>
  <si>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</si>
  <si>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</si>
  <si>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</si>
  <si>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</si>
  <si>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</si>
  <si>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</si>
  <si>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</si>
  <si>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</si>
  <si>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</si>
  <si>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</si>
  <si>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</si>
  <si>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</si>
  <si>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</si>
  <si>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</si>
  <si>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</si>
  <si>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</si>
  <si>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</si>
  <si>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</si>
  <si>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</si>
  <si>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</si>
  <si>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</si>
  <si>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</si>
  <si>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</si>
  <si>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</si>
  <si>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</si>
  <si>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</si>
  <si>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</si>
  <si>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</si>
  <si>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</si>
  <si>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</si>
  <si>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</si>
  <si>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</si>
  <si>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</si>
  <si>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</si>
  <si>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</si>
  <si>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</si>
  <si>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</si>
  <si>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</si>
  <si>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</si>
  <si>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</si>
  <si>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</si>
  <si>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</si>
  <si>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</si>
  <si>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</si>
  <si>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</si>
  <si>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</si>
  <si>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</si>
  <si>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</si>
  <si>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</si>
  <si>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</si>
  <si>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</si>
  <si>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</si>
  <si>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</si>
  <si>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</si>
  <si>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</si>
  <si>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</si>
  <si>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</si>
  <si>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</si>
  <si>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</si>
  <si>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</si>
  <si>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</si>
  <si>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</si>
  <si>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</si>
  <si>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</si>
  <si>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</si>
  <si>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</si>
  <si>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</si>
  <si>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</si>
  <si>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</si>
  <si>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</si>
  <si>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</si>
  <si>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</si>
  <si>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</si>
  <si>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</si>
  <si>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</si>
  <si>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</si>
  <si>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</si>
  <si>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</si>
  <si>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</si>
  <si>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</si>
  <si>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</si>
  <si>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</si>
  <si>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</si>
  <si>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</si>
  <si>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</si>
  <si>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</si>
  <si>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</si>
  <si>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</si>
  <si>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</si>
  <si>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</si>
  <si>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</si>
  <si>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</si>
  <si>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</si>
  <si>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</si>
  <si>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</si>
  <si>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</si>
  <si>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</si>
  <si>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</si>
  <si>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</si>
  <si>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</si>
  <si>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</si>
  <si>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</si>
  <si>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</si>
  <si>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</si>
  <si>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</si>
  <si>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</si>
  <si>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</si>
  <si>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</si>
  <si>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</si>
  <si>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</si>
  <si>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</si>
  <si>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</si>
  <si>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</si>
  <si>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</si>
  <si>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</si>
  <si>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</si>
  <si>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</si>
  <si>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</si>
  <si>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</si>
  <si>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</si>
  <si>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</si>
  <si>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</si>
  <si>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</si>
  <si>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</si>
  <si>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</si>
  <si>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</si>
  <si>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</si>
  <si>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</si>
  <si>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</si>
  <si>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</si>
  <si>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</si>
  <si>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</si>
  <si>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</si>
  <si>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</si>
  <si>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</si>
  <si>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</si>
  <si>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</si>
  <si>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</si>
  <si>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</si>
  <si>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</si>
  <si>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</si>
  <si>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</si>
  <si>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</si>
  <si>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</si>
  <si>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</si>
  <si>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</si>
  <si>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</si>
  <si>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</si>
  <si>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</si>
  <si>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</si>
  <si>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</si>
  <si>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</si>
  <si>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</si>
  <si>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</si>
  <si>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</si>
  <si>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</si>
  <si>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</si>
  <si>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</si>
  <si>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</si>
  <si>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</si>
  <si>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</si>
  <si>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</si>
  <si>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</si>
  <si>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</si>
  <si>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</si>
  <si>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</si>
  <si>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</si>
  <si>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</si>
  <si>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</si>
  <si>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</si>
  <si>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</si>
  <si>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</si>
  <si>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</si>
  <si>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</si>
  <si>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</si>
  <si>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</si>
  <si>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</si>
  <si>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</si>
  <si>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</si>
  <si>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</si>
  <si>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</si>
  <si>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</si>
  <si>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</si>
  <si>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</si>
  <si>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</si>
  <si>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</si>
  <si>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</si>
  <si>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</si>
  <si>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</si>
  <si>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</si>
  <si>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</si>
  <si>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</si>
  <si>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</si>
  <si>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</si>
  <si>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</si>
  <si>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</si>
  <si>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</si>
  <si>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</si>
  <si>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</si>
  <si>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</si>
  <si>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</si>
  <si>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</si>
  <si>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</si>
  <si>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</si>
  <si>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</si>
  <si>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</si>
  <si>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</si>
  <si>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</si>
  <si>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</si>
  <si>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</si>
  <si>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</si>
  <si>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</si>
  <si>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</si>
  <si>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</si>
  <si>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</si>
  <si>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</si>
  <si>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</si>
  <si>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</si>
  <si>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</si>
  <si>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</si>
  <si>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</si>
  <si>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</si>
  <si>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</si>
  <si>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</si>
  <si>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</si>
  <si>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</si>
  <si>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</si>
  <si>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</si>
  <si>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</si>
  <si>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</si>
  <si>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</si>
  <si>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</si>
  <si>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</si>
  <si>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</si>
  <si>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</si>
  <si>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</si>
  <si>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</si>
  <si>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</si>
  <si>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</si>
  <si>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</si>
  <si>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</si>
  <si>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</si>
  <si>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</si>
  <si>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</si>
  <si>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</si>
  <si>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</si>
  <si>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</si>
  <si>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</si>
  <si>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</si>
  <si>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</si>
  <si>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</si>
  <si>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</si>
  <si>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</si>
  <si>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</si>
  <si>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</si>
  <si>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</si>
  <si>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</si>
  <si>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</si>
  <si>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</si>
  <si>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</si>
  <si>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</si>
  <si>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</si>
  <si>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</si>
  <si>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</si>
  <si>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</si>
  <si>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</si>
  <si>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</si>
  <si>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</si>
  <si>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</si>
  <si>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</si>
  <si>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</si>
  <si>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</si>
  <si>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</si>
  <si>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</si>
  <si>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</si>
  <si>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</si>
  <si>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</si>
  <si>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</si>
  <si>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</si>
  <si>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</si>
  <si>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</si>
  <si>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</si>
  <si>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</si>
  <si>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</si>
  <si>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</si>
  <si>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</si>
  <si>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</si>
  <si>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</si>
  <si>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</si>
  <si>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</si>
  <si>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</si>
  <si>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</si>
  <si>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</si>
  <si>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</si>
  <si>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</si>
  <si>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</si>
  <si>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</si>
  <si>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</si>
  <si>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</si>
  <si>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</si>
  <si>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</si>
  <si>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</si>
  <si>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</si>
  <si>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</si>
  <si>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</si>
  <si>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</si>
  <si>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</si>
  <si>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</si>
  <si>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</si>
  <si>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</si>
  <si>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</si>
  <si>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</si>
  <si>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</si>
  <si>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</si>
  <si>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</si>
  <si>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</si>
  <si>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</si>
  <si>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</si>
  <si>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</si>
  <si>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</si>
  <si>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</si>
  <si>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</si>
  <si>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</si>
  <si>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</si>
  <si>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</si>
  <si>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</si>
  <si>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</si>
  <si>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</si>
  <si>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</si>
  <si>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</si>
  <si>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</si>
  <si>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</si>
  <si>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</si>
  <si>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</si>
  <si>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</si>
  <si>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</si>
  <si>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</si>
  <si>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</si>
  <si>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</si>
  <si>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</si>
  <si>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</si>
  <si>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</si>
  <si>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</si>
  <si>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</si>
  <si>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</si>
  <si>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</si>
  <si>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</si>
  <si>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</si>
  <si>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</si>
  <si>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</si>
  <si>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</si>
  <si>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</si>
  <si>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</si>
  <si>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</si>
  <si>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</si>
  <si>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</si>
  <si>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</si>
  <si>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</si>
  <si>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</si>
  <si>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</si>
  <si>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</si>
  <si>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</si>
  <si>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</si>
  <si>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</si>
  <si>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</si>
  <si>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</si>
  <si>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</si>
  <si>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</si>
  <si>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</si>
  <si>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</si>
  <si>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</si>
  <si>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</si>
  <si>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</si>
  <si>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</si>
  <si>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</si>
  <si>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</si>
  <si>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</si>
  <si>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</si>
  <si>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</si>
  <si>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</si>
  <si>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</si>
  <si>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</si>
  <si>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</si>
  <si>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</si>
  <si>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</si>
  <si>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</si>
  <si>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</si>
  <si>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</si>
  <si>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</si>
  <si>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</si>
  <si>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</si>
  <si>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</si>
  <si>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</si>
  <si>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</si>
  <si>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</si>
  <si>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</si>
  <si>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</si>
  <si>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</si>
  <si>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</si>
  <si>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</si>
  <si>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</si>
  <si>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</si>
  <si>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</si>
  <si>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</si>
  <si>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</si>
  <si>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</si>
  <si>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</si>
  <si>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</si>
  <si>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</si>
  <si>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</si>
  <si>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</si>
  <si>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</si>
  <si>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</si>
  <si>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</si>
  <si>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</si>
  <si>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</si>
  <si>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</si>
  <si>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</si>
  <si>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</si>
  <si>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</si>
  <si>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</si>
  <si>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</si>
  <si>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</si>
  <si>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</si>
  <si>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</si>
  <si>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</si>
  <si>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</si>
  <si>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</si>
  <si>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</si>
  <si>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</si>
  <si>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</si>
  <si>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</si>
  <si>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</si>
  <si>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</si>
  <si>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</si>
  <si>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</si>
  <si>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</si>
  <si>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</si>
  <si>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</si>
  <si>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</si>
  <si>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</si>
  <si>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</si>
  <si>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</si>
  <si>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</si>
  <si>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</si>
  <si>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</si>
  <si>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</si>
  <si>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</si>
  <si>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</si>
  <si>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</si>
  <si>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</si>
  <si>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</si>
  <si>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</si>
  <si>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</si>
  <si>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</si>
  <si>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</si>
  <si>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</si>
  <si>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</si>
  <si>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</si>
  <si>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</si>
  <si>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</si>
  <si>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</si>
  <si>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</si>
  <si>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</si>
  <si>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</si>
  <si>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</si>
  <si>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</si>
  <si>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</si>
  <si>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</si>
  <si>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</si>
  <si>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</si>
  <si>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</si>
  <si>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</si>
  <si>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</si>
  <si>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</si>
  <si>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</si>
  <si>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</si>
  <si>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</si>
  <si>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</si>
  <si>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</si>
  <si>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</si>
  <si>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</si>
  <si>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</si>
  <si>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</si>
  <si>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</si>
  <si>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</si>
  <si>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</si>
  <si>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</si>
  <si>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</si>
  <si>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</si>
  <si>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</si>
  <si>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</si>
  <si>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</si>
  <si>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</si>
  <si>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</si>
  <si>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</si>
  <si>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</si>
  <si>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</si>
  <si>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</si>
  <si>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</si>
  <si>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</si>
  <si>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</si>
  <si>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</si>
  <si>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</si>
  <si>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</si>
  <si>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</si>
  <si>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</si>
  <si>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</si>
  <si>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</si>
  <si>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</si>
  <si>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</si>
  <si>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</si>
  <si>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</si>
  <si>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</si>
  <si>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</si>
  <si>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</si>
  <si>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</si>
  <si>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</si>
  <si>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</si>
  <si>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</si>
  <si>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</si>
  <si>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</si>
  <si>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</si>
  <si>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</si>
  <si>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</si>
  <si>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</si>
  <si>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</si>
  <si>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</si>
  <si>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</si>
  <si>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</si>
  <si>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</si>
  <si>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</si>
  <si>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</si>
  <si>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</si>
  <si>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</si>
  <si>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</si>
  <si>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</si>
  <si>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</si>
  <si>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</si>
  <si>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</si>
  <si>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</si>
  <si>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</si>
  <si>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</si>
  <si>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</si>
  <si>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</si>
  <si>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</si>
  <si>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</si>
  <si>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</si>
  <si>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</si>
  <si>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</si>
  <si>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</si>
  <si>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</si>
  <si>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</si>
  <si>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</si>
  <si>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</si>
  <si>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</si>
  <si>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</si>
  <si>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</si>
  <si>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</si>
  <si>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</si>
  <si>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</si>
  <si>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</si>
  <si>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</si>
  <si>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</si>
  <si>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</si>
  <si>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</si>
  <si>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</si>
  <si>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</si>
  <si>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</si>
  <si>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</si>
  <si>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</si>
  <si>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</si>
  <si>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</si>
  <si>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</si>
  <si>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</si>
  <si>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</si>
  <si>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</si>
  <si>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</si>
  <si>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</si>
  <si>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</si>
  <si>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</si>
  <si>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</si>
  <si>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</si>
  <si>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</si>
  <si>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</si>
  <si>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</si>
  <si>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</si>
  <si>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</si>
  <si>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</si>
  <si>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</si>
  <si>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</si>
  <si>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</si>
  <si>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</si>
  <si>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</si>
  <si>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</si>
  <si>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</si>
  <si>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</si>
  <si>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</si>
  <si>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</si>
  <si>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</si>
  <si>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</si>
  <si>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</si>
  <si>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</si>
  <si>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</si>
  <si>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</si>
  <si>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</si>
  <si>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</si>
  <si>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</si>
  <si>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</si>
  <si>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</si>
  <si>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</si>
  <si>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</si>
  <si>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</si>
  <si>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</si>
  <si>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</si>
  <si>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</si>
  <si>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</si>
  <si>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</si>
  <si>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</si>
  <si>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</si>
  <si>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</si>
  <si>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</si>
  <si>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</si>
  <si>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</si>
  <si>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</si>
  <si>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</si>
  <si>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</si>
  <si>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</si>
  <si>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</si>
  <si>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</si>
  <si>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</si>
  <si>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</si>
  <si>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</si>
  <si>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</si>
  <si>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</si>
  <si>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</si>
  <si>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</si>
  <si>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</si>
  <si>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</si>
  <si>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</si>
  <si>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</si>
  <si>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</si>
  <si>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</si>
  <si>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</si>
  <si>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</si>
  <si>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</si>
  <si>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</si>
  <si>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</si>
  <si>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</si>
  <si>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</si>
  <si>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</si>
  <si>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</si>
  <si>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</si>
  <si>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</si>
  <si>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</si>
  <si>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</si>
  <si>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</si>
  <si>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</si>
  <si>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</si>
  <si>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</si>
  <si>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</si>
  <si>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</si>
  <si>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</si>
  <si>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</si>
  <si>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</si>
  <si>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</si>
  <si>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</si>
  <si>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</si>
  <si>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</si>
  <si>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</si>
  <si>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</si>
  <si>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</si>
  <si>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</si>
  <si>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</si>
  <si>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</si>
  <si>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</si>
  <si>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</si>
  <si>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</si>
  <si>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</si>
  <si>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</si>
  <si>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</si>
  <si>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</si>
  <si>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</si>
  <si>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</si>
  <si>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</si>
  <si>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</si>
  <si>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</si>
  <si>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</si>
  <si>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</si>
  <si>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</si>
  <si>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</si>
  <si>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</si>
  <si>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</si>
  <si>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</si>
  <si>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</si>
  <si>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</si>
  <si>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</si>
  <si>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</si>
  <si>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</si>
  <si>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</si>
  <si>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</si>
  <si>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</si>
  <si>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</si>
  <si>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</si>
  <si>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</si>
  <si>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</si>
  <si>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</si>
  <si>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</si>
  <si>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</si>
  <si>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</si>
  <si>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</si>
  <si>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</si>
  <si>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</si>
  <si>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</si>
  <si>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</si>
  <si>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</si>
  <si>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</si>
  <si>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</si>
  <si>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</si>
  <si>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</si>
  <si>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</si>
  <si>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</si>
  <si>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</si>
  <si>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</si>
  <si>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</si>
  <si>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</si>
  <si>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</si>
  <si>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</si>
  <si>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</si>
  <si>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</si>
  <si>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</si>
  <si>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</si>
  <si>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</si>
  <si>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</si>
  <si>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</si>
  <si>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</si>
  <si>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</si>
  <si>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</si>
  <si>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</si>
  <si>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</si>
  <si>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</si>
  <si>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</si>
  <si>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</si>
  <si>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</si>
  <si>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</si>
  <si>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</si>
  <si>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</si>
  <si>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</si>
  <si>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</si>
  <si>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</si>
  <si>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</si>
  <si>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</si>
  <si>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</si>
  <si>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</si>
  <si>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</si>
  <si>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</si>
  <si>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</si>
  <si>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</si>
  <si>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</si>
  <si>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</si>
  <si>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</si>
  <si>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</si>
  <si>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</si>
  <si>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</si>
  <si>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</si>
  <si>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</si>
  <si>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</si>
  <si>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</si>
  <si>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</si>
  <si>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</si>
  <si>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</si>
  <si>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</si>
  <si>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</si>
  <si>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</si>
  <si>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</si>
  <si>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</si>
  <si>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</si>
  <si>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</si>
  <si>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</si>
  <si>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</si>
  <si>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</si>
  <si>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</si>
  <si>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</si>
  <si>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</si>
  <si>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</si>
  <si>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</si>
  <si>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</si>
  <si>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</si>
  <si>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</si>
  <si>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</si>
  <si>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</si>
  <si>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</si>
  <si>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</si>
  <si>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</si>
  <si>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</si>
  <si>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</si>
  <si>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</si>
  <si>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</si>
  <si>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</si>
  <si>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</si>
  <si>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</si>
  <si>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</si>
  <si>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</si>
  <si>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</si>
  <si>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</si>
  <si>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</si>
  <si>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</si>
  <si>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</si>
  <si>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</si>
  <si>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</si>
  <si>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</si>
  <si>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</si>
  <si>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</si>
  <si>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</si>
  <si>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</si>
  <si>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</si>
  <si>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</si>
  <si>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</si>
  <si>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</si>
  <si>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</si>
  <si>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</si>
  <si>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</si>
  <si>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</si>
  <si>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</si>
  <si>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</si>
  <si>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</si>
  <si>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</si>
  <si>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</si>
  <si>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</si>
  <si>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</si>
  <si>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</si>
  <si>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</si>
  <si>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</si>
  <si>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</si>
  <si>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</si>
  <si>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</si>
  <si>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</si>
  <si>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</si>
  <si>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</si>
  <si>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</si>
  <si>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</si>
  <si>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</si>
  <si>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</si>
  <si>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</si>
  <si>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</si>
  <si>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</si>
  <si>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</si>
  <si>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</si>
  <si>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</si>
  <si>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</si>
  <si>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</si>
  <si>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</si>
  <si>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</si>
  <si>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</si>
  <si>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</si>
  <si>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</si>
  <si>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</si>
  <si>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</si>
  <si>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</si>
  <si>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</si>
  <si>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</si>
  <si>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</si>
  <si>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</si>
  <si>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</si>
  <si>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</si>
  <si>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</si>
  <si>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</si>
  <si>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</si>
  <si>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</si>
  <si>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</si>
  <si>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</si>
  <si>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</si>
  <si>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</si>
  <si>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</si>
  <si>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</si>
  <si>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</si>
  <si>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</si>
  <si>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</si>
  <si>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</si>
  <si>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</si>
  <si>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</si>
  <si>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</si>
  <si>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</si>
  <si>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</si>
  <si>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</si>
  <si>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</si>
  <si>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</si>
  <si>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</si>
  <si>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</si>
  <si>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</si>
  <si>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</si>
  <si>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</si>
  <si>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</si>
  <si>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</si>
  <si>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</si>
  <si>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</si>
  <si>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</si>
  <si>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</si>
  <si>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</si>
  <si>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</si>
  <si>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</si>
  <si>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</si>
  <si>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</si>
  <si>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</si>
  <si>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</si>
  <si>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</si>
  <si>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</si>
  <si>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</si>
  <si>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</si>
  <si>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</si>
  <si>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</si>
  <si>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</si>
  <si>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</si>
  <si>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</si>
  <si>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</si>
  <si>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</si>
  <si>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</si>
  <si>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</si>
  <si>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</si>
  <si>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</si>
  <si>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</si>
  <si>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</si>
  <si>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</si>
  <si>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</si>
  <si>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</si>
  <si>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</si>
  <si>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</si>
  <si>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</si>
  <si>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</si>
  <si>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</si>
  <si>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</si>
  <si>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</si>
  <si>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</si>
  <si>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</si>
  <si>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</si>
  <si>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</si>
  <si>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</si>
  <si>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</si>
  <si>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</si>
  <si>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</si>
  <si>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</si>
  <si>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</si>
  <si>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</si>
  <si>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</si>
  <si>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</si>
  <si>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</si>
  <si>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</si>
  <si>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</si>
  <si>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</si>
  <si>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</si>
  <si>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</si>
  <si>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</si>
  <si>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</si>
  <si>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</si>
  <si>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</si>
  <si>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</si>
  <si>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</si>
  <si>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</si>
  <si>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</si>
  <si>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</si>
  <si>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</si>
  <si>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</si>
  <si>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</si>
  <si>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</si>
  <si>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</si>
  <si>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</si>
  <si>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</si>
  <si>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</si>
  <si>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</si>
  <si>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</si>
  <si>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</si>
  <si>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</si>
  <si>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</si>
  <si>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</si>
  <si>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</si>
  <si>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</si>
  <si>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</si>
  <si>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</si>
  <si>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</si>
  <si>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</si>
  <si>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</si>
  <si>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</si>
  <si>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</si>
  <si>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</si>
  <si>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</si>
  <si>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</si>
  <si>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</si>
  <si>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</si>
  <si>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</si>
  <si>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</si>
  <si>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</si>
  <si>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</si>
  <si>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</si>
  <si>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</si>
  <si>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</si>
  <si>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</si>
  <si>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</si>
  <si>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</si>
  <si>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</si>
  <si>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</si>
  <si>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</si>
  <si>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</si>
  <si>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</si>
  <si>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</si>
  <si>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</si>
  <si>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</si>
  <si>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</si>
  <si>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</si>
  <si>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</si>
  <si>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</si>
  <si>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</si>
  <si>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</si>
  <si>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</si>
  <si>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</si>
  <si>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</si>
  <si>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</si>
  <si>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</si>
  <si>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</si>
  <si>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</si>
  <si>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</si>
  <si>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</si>
  <si>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</si>
  <si>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</si>
  <si>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</si>
  <si>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</si>
  <si>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</si>
  <si>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</si>
  <si>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</si>
  <si>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</si>
  <si>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</si>
  <si>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</si>
  <si>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</si>
  <si>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</si>
  <si>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</si>
  <si>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</si>
  <si>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</si>
  <si>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</si>
  <si>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</si>
  <si>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</si>
  <si>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</si>
  <si>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</si>
  <si>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</si>
  <si>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</si>
  <si>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</si>
  <si>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</si>
  <si>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</si>
  <si>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</si>
  <si>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</si>
  <si>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</si>
  <si>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</si>
  <si>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</si>
  <si>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</si>
  <si>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</si>
  <si>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</si>
  <si>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</si>
  <si>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</si>
  <si>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</si>
  <si>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</si>
  <si>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</si>
  <si>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</si>
  <si>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</si>
  <si>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</si>
  <si>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</si>
  <si>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</si>
  <si>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</si>
  <si>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</si>
  <si>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</si>
  <si>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</si>
  <si>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</si>
  <si>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</si>
  <si>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</si>
  <si>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</si>
  <si>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</si>
  <si>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</si>
  <si>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</si>
  <si>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</si>
  <si>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</si>
  <si>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</si>
  <si>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</si>
  <si>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</si>
  <si>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</si>
  <si>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</si>
  <si>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</si>
  <si>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</si>
  <si>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</si>
  <si>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</si>
  <si>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</si>
  <si>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</si>
  <si>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</si>
  <si>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</si>
  <si>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</si>
  <si>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</si>
  <si>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</si>
  <si>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</si>
  <si>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</si>
  <si>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</si>
  <si>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</si>
  <si>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</si>
  <si>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</si>
  <si>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</si>
  <si>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</si>
  <si>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</si>
  <si>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</si>
  <si>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</si>
  <si>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</si>
  <si>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</si>
  <si>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</si>
  <si>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</si>
  <si>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</si>
  <si>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</si>
  <si>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</si>
  <si>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</si>
  <si>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</si>
  <si>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</si>
  <si>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</si>
  <si>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</si>
  <si>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</si>
  <si>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</si>
  <si>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</si>
  <si>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</si>
  <si>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</si>
  <si>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</si>
  <si>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</si>
  <si>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</si>
  <si>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</si>
  <si>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</si>
  <si>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</si>
  <si>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</si>
  <si>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</si>
  <si>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</si>
  <si>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</si>
  <si>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</si>
  <si>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</si>
  <si>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</si>
  <si>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</si>
  <si>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</si>
  <si>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</si>
  <si>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</si>
  <si>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</si>
  <si>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</si>
  <si>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</si>
  <si>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</si>
  <si>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</si>
  <si>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</si>
  <si>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</si>
  <si>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</si>
  <si>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</si>
  <si>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</si>
  <si>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</si>
  <si>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</si>
  <si>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</si>
  <si>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</si>
  <si>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</si>
  <si>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</si>
  <si>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</si>
  <si>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</si>
  <si>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</si>
  <si>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</si>
  <si>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</si>
  <si>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</si>
  <si>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</si>
  <si>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</si>
  <si>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</si>
  <si>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</si>
  <si>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</si>
  <si>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</si>
  <si>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</si>
  <si>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</si>
  <si>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</si>
  <si>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</si>
  <si>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</si>
  <si>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</si>
  <si>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</si>
  <si>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</si>
  <si>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</si>
  <si>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</si>
  <si>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</si>
  <si>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</si>
  <si>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</si>
  <si>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</si>
  <si>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</si>
  <si>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</si>
  <si>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</si>
  <si>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</si>
  <si>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</si>
  <si>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</si>
  <si>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</si>
  <si>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</si>
  <si>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</si>
  <si>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</si>
  <si>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</si>
  <si>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</si>
  <si>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</si>
  <si>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</si>
  <si>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</si>
  <si>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</si>
  <si>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</si>
  <si>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</si>
  <si>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</si>
  <si>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</si>
  <si>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</si>
  <si>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</si>
  <si>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</si>
  <si>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</si>
  <si>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</si>
  <si>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</si>
  <si>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</si>
  <si>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</si>
  <si>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</si>
  <si>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</si>
  <si>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</si>
  <si>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</si>
  <si>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</si>
  <si>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</si>
  <si>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</si>
  <si>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</si>
  <si>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</si>
  <si>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</si>
  <si>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</si>
  <si>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</si>
  <si>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</si>
  <si>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</si>
  <si>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</si>
  <si>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</si>
  <si>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</si>
  <si>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</si>
  <si>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</si>
  <si>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</si>
  <si>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</si>
  <si>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</si>
  <si>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</si>
  <si>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</si>
  <si>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</si>
  <si>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</si>
  <si>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</si>
  <si>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</si>
  <si>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</si>
  <si>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</si>
  <si>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</si>
  <si>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</si>
  <si>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</si>
  <si>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</si>
  <si>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</si>
  <si>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</si>
  <si>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</si>
  <si>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</si>
  <si>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</si>
  <si>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</si>
  <si>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</si>
  <si>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</si>
  <si>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</si>
  <si>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Dennis G Koch &amp; Associates LLC</t>
  </si>
  <si>
    <t>Hancock</t>
  </si>
  <si>
    <t>Dennis G Koch</t>
  </si>
  <si>
    <t>1706 N 16th Street</t>
  </si>
  <si>
    <t>270 N 10th Street</t>
  </si>
  <si>
    <t>Quincy</t>
  </si>
  <si>
    <t>IL</t>
  </si>
  <si>
    <t>Hamilton</t>
  </si>
  <si>
    <t>217-224-8484</t>
  </si>
  <si>
    <t>217-224-0504</t>
  </si>
  <si>
    <t>yurkoja@hhs328.com</t>
  </si>
  <si>
    <t>066-004856</t>
  </si>
  <si>
    <t>dgkoch@dgkochcpa.com</t>
  </si>
  <si>
    <t>Joseph A. Yurko</t>
  </si>
  <si>
    <t>John Meixner</t>
  </si>
  <si>
    <t>jmeixner@roe26.net</t>
  </si>
  <si>
    <t>866-332-3880 ext 310</t>
  </si>
  <si>
    <t>217-847-3915</t>
  </si>
  <si>
    <t>309-837-4821</t>
  </si>
  <si>
    <t>309-837-2887</t>
  </si>
  <si>
    <t>GO Bonds Series 2019</t>
  </si>
  <si>
    <t>Support Services/Business/Fiscal Services</t>
  </si>
  <si>
    <t>Skyward</t>
  </si>
  <si>
    <t>Carl Sandburg College</t>
  </si>
  <si>
    <t>Warsaw School District, Illini West School District</t>
  </si>
  <si>
    <t>WCISEC</t>
  </si>
  <si>
    <t>West Central Purchasing Coop</t>
  </si>
  <si>
    <t>Illini West HSD, Warsaw School District, Carthage ESD</t>
  </si>
  <si>
    <t>WACS</t>
  </si>
  <si>
    <t>Warsaw School District (Sprots Coop)</t>
  </si>
  <si>
    <t>x</t>
  </si>
  <si>
    <t xml:space="preserve"> Hamilton CCSD 328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</si>
</sst>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105" xfId="18" applyFont="1" applyBorder="1" applyProtection="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605270</xdr:colOff>
          <xdr:row>5</xdr:row>
          <xdr:rowOff>12989</xdr:rowOff>
        </xdr:from>
        <xdr:to>
          <xdr:col>4</xdr:col>
          <xdr:colOff>297007</xdr:colOff>
          <xdr:row>9</xdr:row>
          <xdr:rowOff>61480</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1400-000001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605270</xdr:colOff>
          <xdr:row>10</xdr:row>
          <xdr:rowOff>25977</xdr:rowOff>
        </xdr:from>
        <xdr:to>
          <xdr:col>4</xdr:col>
          <xdr:colOff>297007</xdr:colOff>
          <xdr:row>14</xdr:row>
          <xdr:rowOff>74468</xdr:rowOff>
        </xdr:to>
        <xdr:sp macro="" textlink="">
          <xdr:nvSpPr>
            <xdr:cNvPr id="57346" name="Object 2" hidden="1">
              <a:extLst>
                <a:ext uri="{63B3BB69-23CF-44E3-9099-C40C66FF867C}">
                  <a14:compatExt spid="_x0000_s57346"/>
                </a:ext>
                <a:ext uri="{FF2B5EF4-FFF2-40B4-BE49-F238E27FC236}">
                  <a16:creationId xmlns:a16="http://schemas.microsoft.com/office/drawing/2014/main" id="{00000000-0008-0000-1400-000002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F0"/>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3">
        <f>+'AFR20'!F4</f>
        <v>44151</v>
      </c>
      <c r="C2" s="2123"/>
      <c r="D2" s="2124"/>
      <c r="I2" s="2082" t="s">
        <v>2003</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t="s">
        <v>2051</v>
      </c>
      <c r="C5" s="26" t="s">
        <v>904</v>
      </c>
      <c r="D5" s="81"/>
      <c r="E5" s="81"/>
      <c r="H5" s="38"/>
      <c r="I5" s="2090" t="s">
        <v>675</v>
      </c>
      <c r="J5" s="2089"/>
      <c r="K5" s="2089"/>
      <c r="L5" s="2089"/>
      <c r="M5" s="2089"/>
      <c r="N5" s="2089"/>
      <c r="O5" s="2089"/>
      <c r="P5" s="2089"/>
      <c r="Q5" s="2089"/>
      <c r="R5" s="2089"/>
      <c r="S5" s="2089"/>
      <c r="AF5" s="1827"/>
    </row>
    <row r="6" spans="1:32" ht="14.1" customHeight="1" x14ac:dyDescent="0.2">
      <c r="B6" s="101"/>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t="s">
        <v>2051</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v>26034328024</v>
      </c>
      <c r="B13" s="2102"/>
      <c r="C13" s="2102"/>
      <c r="D13" s="2102"/>
      <c r="E13" s="2102"/>
      <c r="F13" s="2102"/>
      <c r="G13" s="2102"/>
      <c r="H13" s="2103"/>
      <c r="I13" s="31"/>
      <c r="J13" s="30"/>
      <c r="K13" s="28"/>
      <c r="L13" s="30"/>
      <c r="M13" s="30"/>
      <c r="N13" s="30"/>
      <c r="O13" s="30"/>
      <c r="P13" s="30"/>
      <c r="Q13" s="30"/>
      <c r="R13" s="30"/>
      <c r="S13" s="30"/>
      <c r="T13" s="2107" t="s">
        <v>2052</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2053</v>
      </c>
      <c r="B15" s="2105"/>
      <c r="C15" s="2105"/>
      <c r="D15" s="2105"/>
      <c r="E15" s="2105"/>
      <c r="F15" s="2105"/>
      <c r="G15" s="2105"/>
      <c r="H15" s="2106"/>
      <c r="T15" s="2111" t="s">
        <v>2054</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2083</v>
      </c>
      <c r="B17" s="2075"/>
      <c r="C17" s="2075"/>
      <c r="D17" s="2075"/>
      <c r="E17" s="2075"/>
      <c r="F17" s="2075"/>
      <c r="G17" s="2075"/>
      <c r="H17" s="2100"/>
      <c r="T17" s="2118" t="s">
        <v>2055</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2056</v>
      </c>
      <c r="B19" s="2060"/>
      <c r="C19" s="2060"/>
      <c r="D19" s="2060"/>
      <c r="E19" s="2060"/>
      <c r="F19" s="2060"/>
      <c r="G19" s="2060"/>
      <c r="H19" s="2040"/>
      <c r="I19" s="30"/>
      <c r="J19" s="96"/>
      <c r="K19" s="40"/>
      <c r="L19" s="38"/>
      <c r="M19" s="109" t="s">
        <v>312</v>
      </c>
      <c r="P19" s="27"/>
      <c r="Q19" s="27"/>
      <c r="R19" s="27"/>
      <c r="S19" s="31"/>
      <c r="T19" s="2104" t="s">
        <v>2057</v>
      </c>
      <c r="U19" s="2039"/>
      <c r="V19" s="2039"/>
      <c r="W19" s="2040"/>
      <c r="X19" s="2116" t="s">
        <v>2058</v>
      </c>
      <c r="Y19" s="2117"/>
      <c r="Z19" s="2114">
        <v>62301</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2059</v>
      </c>
      <c r="B21" s="2039"/>
      <c r="C21" s="2039"/>
      <c r="D21" s="2039"/>
      <c r="E21" s="2039"/>
      <c r="F21" s="2039"/>
      <c r="G21" s="2039"/>
      <c r="H21" s="2040"/>
      <c r="I21" s="2094" t="s">
        <v>673</v>
      </c>
      <c r="J21" s="2089"/>
      <c r="K21" s="2089"/>
      <c r="L21" s="2089"/>
      <c r="M21" s="2089"/>
      <c r="N21" s="2089"/>
      <c r="O21" s="2089"/>
      <c r="P21" s="2089"/>
      <c r="Q21" s="2089"/>
      <c r="R21" s="2089"/>
      <c r="S21" s="2095"/>
      <c r="T21" s="2129" t="s">
        <v>2060</v>
      </c>
      <c r="U21" s="2130"/>
      <c r="V21" s="2130"/>
      <c r="W21" s="2130"/>
      <c r="X21" s="2135" t="s">
        <v>2061</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t="s">
        <v>2062</v>
      </c>
      <c r="B23" s="2092"/>
      <c r="C23" s="2092"/>
      <c r="D23" s="2092"/>
      <c r="E23" s="2092"/>
      <c r="F23" s="2092"/>
      <c r="G23" s="2092"/>
      <c r="H23" s="2093"/>
      <c r="T23" s="2074" t="s">
        <v>2063</v>
      </c>
      <c r="U23" s="2128"/>
      <c r="V23" s="2128"/>
      <c r="W23" s="2128"/>
      <c r="X23" s="2132">
        <v>44530</v>
      </c>
      <c r="Y23" s="2133"/>
      <c r="Z23" s="2133"/>
      <c r="AA23" s="2134"/>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2020-2021 Budget",)),"")</f>
        <v>0</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62341</v>
      </c>
      <c r="B25" s="2039"/>
      <c r="C25" s="2039"/>
      <c r="D25" s="2039"/>
      <c r="E25" s="2039"/>
      <c r="F25" s="2039"/>
      <c r="G25" s="2039"/>
      <c r="H25" s="2040"/>
      <c r="I25" s="110"/>
      <c r="J25" s="2063"/>
      <c r="K25" s="2063"/>
      <c r="L25" s="2063"/>
      <c r="M25" s="2063"/>
      <c r="N25" s="2063"/>
      <c r="O25" s="2063"/>
      <c r="P25" s="2063"/>
      <c r="Q25" s="2063"/>
      <c r="R25" s="2063"/>
      <c r="S25" s="2064"/>
      <c r="T25" s="2125" t="s">
        <v>2064</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t="s">
        <v>2051</v>
      </c>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2065</v>
      </c>
      <c r="B38" s="2075"/>
      <c r="C38" s="2075"/>
      <c r="D38" s="2075"/>
      <c r="E38" s="2075"/>
      <c r="F38" s="2039"/>
      <c r="G38" s="2039"/>
      <c r="H38" s="2040"/>
      <c r="I38" s="2067"/>
      <c r="J38" s="2068"/>
      <c r="K38" s="2068"/>
      <c r="L38" s="2068"/>
      <c r="M38" s="2068"/>
      <c r="N38" s="2068"/>
      <c r="O38" s="2068"/>
      <c r="P38" s="2069"/>
      <c r="Q38" s="2069"/>
      <c r="R38" s="2069"/>
      <c r="S38" s="2070"/>
      <c r="T38" s="2111" t="s">
        <v>2066</v>
      </c>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2062</v>
      </c>
      <c r="B40" s="2053"/>
      <c r="C40" s="2054"/>
      <c r="D40" s="2054"/>
      <c r="E40" s="2054"/>
      <c r="F40" s="2055"/>
      <c r="G40" s="2055"/>
      <c r="H40" s="2056"/>
      <c r="I40" s="2077"/>
      <c r="J40" s="2078"/>
      <c r="K40" s="2078"/>
      <c r="L40" s="2078"/>
      <c r="M40" s="2078"/>
      <c r="N40" s="2078"/>
      <c r="O40" s="2078"/>
      <c r="P40" s="2078"/>
      <c r="Q40" s="2078"/>
      <c r="R40" s="2078"/>
      <c r="S40" s="2079"/>
      <c r="T40" s="2077" t="s">
        <v>2067</v>
      </c>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2068</v>
      </c>
      <c r="B42" s="2058"/>
      <c r="C42" s="2059"/>
      <c r="D42" s="2057" t="s">
        <v>2069</v>
      </c>
      <c r="E42" s="2058"/>
      <c r="F42" s="2058"/>
      <c r="G42" s="2058"/>
      <c r="H42" s="2059"/>
      <c r="I42" s="2041"/>
      <c r="J42" s="2042"/>
      <c r="K42" s="2042"/>
      <c r="L42" s="2042"/>
      <c r="M42" s="2042"/>
      <c r="N42" s="2042"/>
      <c r="O42" s="2043"/>
      <c r="P42" s="2076"/>
      <c r="Q42" s="2042"/>
      <c r="R42" s="2042"/>
      <c r="S42" s="2043"/>
      <c r="T42" s="2041" t="s">
        <v>2070</v>
      </c>
      <c r="U42" s="2042"/>
      <c r="V42" s="2042"/>
      <c r="W42" s="2043"/>
      <c r="X42" s="2076" t="s">
        <v>2071</v>
      </c>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H36"/>
  <sheetViews>
    <sheetView showGridLines="0" defaultGridColor="0" colorId="8" zoomScale="110" zoomScaleNormal="110" workbookViewId="0">
      <selection activeCell="E12" sqref="E12"/>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2070382</v>
      </c>
      <c r="C4" s="1722"/>
      <c r="D4" s="1723">
        <f>B4-C4</f>
        <v>2070382</v>
      </c>
      <c r="E4" s="1722">
        <v>2059368</v>
      </c>
      <c r="F4" s="1723">
        <f>E4-C4</f>
        <v>2059368</v>
      </c>
    </row>
    <row r="5" spans="1:8" ht="13.7" customHeight="1" x14ac:dyDescent="0.2">
      <c r="A5" s="579" t="s">
        <v>865</v>
      </c>
      <c r="B5" s="1724">
        <f>'Revenues 9-14'!D5</f>
        <v>369711</v>
      </c>
      <c r="C5" s="1664"/>
      <c r="D5" s="1725">
        <f t="shared" ref="D5:D18" si="0">B5-C5</f>
        <v>369711</v>
      </c>
      <c r="E5" s="1664">
        <v>367744</v>
      </c>
      <c r="F5" s="1725">
        <f>E5-C5</f>
        <v>367744</v>
      </c>
    </row>
    <row r="6" spans="1:8" ht="13.7" customHeight="1" x14ac:dyDescent="0.2">
      <c r="A6" s="579" t="s">
        <v>408</v>
      </c>
      <c r="B6" s="1724">
        <f>'Revenues 9-14'!E5</f>
        <v>557922</v>
      </c>
      <c r="C6" s="1664"/>
      <c r="D6" s="1725">
        <f t="shared" si="0"/>
        <v>557922</v>
      </c>
      <c r="E6" s="1664">
        <v>526720</v>
      </c>
      <c r="F6" s="1725">
        <f t="shared" ref="F6:F18" si="1">E6-C6</f>
        <v>526720</v>
      </c>
    </row>
    <row r="7" spans="1:8" ht="13.7" customHeight="1" x14ac:dyDescent="0.2">
      <c r="A7" s="579" t="s">
        <v>154</v>
      </c>
      <c r="B7" s="1724">
        <f>'Revenues 9-14'!F5</f>
        <v>147884</v>
      </c>
      <c r="C7" s="1664"/>
      <c r="D7" s="1725">
        <f t="shared" si="0"/>
        <v>147884</v>
      </c>
      <c r="E7" s="1664">
        <v>147098</v>
      </c>
      <c r="F7" s="1725">
        <f t="shared" si="1"/>
        <v>147098</v>
      </c>
    </row>
    <row r="8" spans="1:8" ht="13.7" customHeight="1" x14ac:dyDescent="0.2">
      <c r="A8" s="579" t="s">
        <v>1169</v>
      </c>
      <c r="B8" s="1724">
        <f>'Revenues 9-14'!G5</f>
        <v>77033</v>
      </c>
      <c r="C8" s="1664"/>
      <c r="D8" s="1725">
        <f t="shared" si="0"/>
        <v>77033</v>
      </c>
      <c r="E8" s="1664">
        <v>77006</v>
      </c>
      <c r="F8" s="1725">
        <f t="shared" si="1"/>
        <v>77006</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36972</v>
      </c>
      <c r="C10" s="1664"/>
      <c r="D10" s="1725">
        <f t="shared" si="0"/>
        <v>36972</v>
      </c>
      <c r="E10" s="1664">
        <v>36774</v>
      </c>
      <c r="F10" s="1725">
        <f t="shared" si="1"/>
        <v>36774</v>
      </c>
    </row>
    <row r="11" spans="1:8" x14ac:dyDescent="0.2">
      <c r="A11" s="579" t="s">
        <v>406</v>
      </c>
      <c r="B11" s="1724">
        <f>'Revenues 9-14'!J5</f>
        <v>200078</v>
      </c>
      <c r="C11" s="1664"/>
      <c r="D11" s="1725">
        <f t="shared" si="0"/>
        <v>200078</v>
      </c>
      <c r="E11" s="1664">
        <v>200001</v>
      </c>
      <c r="F11" s="1725">
        <f t="shared" si="1"/>
        <v>200001</v>
      </c>
    </row>
    <row r="12" spans="1:8" ht="13.7" customHeight="1" x14ac:dyDescent="0.2">
      <c r="A12" s="579" t="s">
        <v>156</v>
      </c>
      <c r="B12" s="1724">
        <f>'Revenues 9-14'!K5</f>
        <v>36972</v>
      </c>
      <c r="C12" s="1664"/>
      <c r="D12" s="1725">
        <f t="shared" si="0"/>
        <v>36972</v>
      </c>
      <c r="E12" s="1664">
        <v>36774</v>
      </c>
      <c r="F12" s="1725">
        <f t="shared" si="1"/>
        <v>36774</v>
      </c>
    </row>
    <row r="13" spans="1:8" ht="13.7" customHeight="1" x14ac:dyDescent="0.2">
      <c r="A13" s="579" t="s">
        <v>930</v>
      </c>
      <c r="B13" s="1724">
        <f>SUM('Revenues 9-14'!C6:D6)</f>
        <v>36972</v>
      </c>
      <c r="C13" s="1664"/>
      <c r="D13" s="1725">
        <f t="shared" si="0"/>
        <v>36972</v>
      </c>
      <c r="E13" s="1664">
        <v>36774</v>
      </c>
      <c r="F13" s="1725">
        <f t="shared" si="1"/>
        <v>36774</v>
      </c>
    </row>
    <row r="14" spans="1:8" ht="13.7" customHeight="1" x14ac:dyDescent="0.2">
      <c r="A14" s="579" t="s">
        <v>407</v>
      </c>
      <c r="B14" s="1724">
        <f>SUM('Revenues 9-14'!C7:D7,'Revenues 9-14'!F7:H7)</f>
        <v>29577</v>
      </c>
      <c r="C14" s="1664"/>
      <c r="D14" s="1725">
        <f t="shared" si="0"/>
        <v>29577</v>
      </c>
      <c r="E14" s="1664">
        <v>29420</v>
      </c>
      <c r="F14" s="1725">
        <f t="shared" si="1"/>
        <v>29420</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88035</v>
      </c>
      <c r="C16" s="1664"/>
      <c r="D16" s="1725">
        <f t="shared" si="0"/>
        <v>88035</v>
      </c>
      <c r="E16" s="1664">
        <v>88001</v>
      </c>
      <c r="F16" s="1725">
        <f t="shared" si="1"/>
        <v>88001</v>
      </c>
    </row>
    <row r="17" spans="1:6" ht="13.7" customHeight="1" x14ac:dyDescent="0.2">
      <c r="A17" s="579" t="s">
        <v>1150</v>
      </c>
      <c r="B17" s="1724">
        <f>'Revenues 9-14'!C10</f>
        <v>0</v>
      </c>
      <c r="C17" s="1664"/>
      <c r="D17" s="1725">
        <f t="shared" si="0"/>
        <v>0</v>
      </c>
      <c r="E17" s="1664">
        <v>0</v>
      </c>
      <c r="F17" s="1725">
        <f t="shared" si="1"/>
        <v>0</v>
      </c>
    </row>
    <row r="18" spans="1:6" ht="13.7" customHeight="1" x14ac:dyDescent="0.2">
      <c r="A18" s="579" t="s">
        <v>757</v>
      </c>
      <c r="B18" s="1724">
        <f>SUM('Revenues 9-14'!C11:K11)</f>
        <v>0</v>
      </c>
      <c r="C18" s="1664"/>
      <c r="D18" s="1725">
        <f t="shared" si="0"/>
        <v>0</v>
      </c>
      <c r="E18" s="1664">
        <v>0</v>
      </c>
      <c r="F18" s="1725">
        <f t="shared" si="1"/>
        <v>0</v>
      </c>
    </row>
    <row r="19" spans="1:6" ht="13.7" customHeight="1" thickBot="1" x14ac:dyDescent="0.25">
      <c r="A19" s="1432" t="s">
        <v>1151</v>
      </c>
      <c r="B19" s="1726">
        <f>SUM(B4:B18)</f>
        <v>3651538</v>
      </c>
      <c r="C19" s="1726">
        <f>SUM(C4:C18)</f>
        <v>0</v>
      </c>
      <c r="D19" s="1726">
        <f>SUM(D4:D18)</f>
        <v>3651538</v>
      </c>
      <c r="E19" s="1726">
        <f>SUM(E4:E18)</f>
        <v>3605680</v>
      </c>
      <c r="F19" s="1726">
        <f>SUM(F4:F18)</f>
        <v>3605680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pageSetUpPr fitToPage="1"/>
  </sheetPr>
  <dimension ref="A1:K59"/>
  <sheetViews>
    <sheetView showGridLines="0" defaultGridColor="0"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1779</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2006</v>
      </c>
      <c r="B24" s="2305"/>
      <c r="C24" s="2299"/>
      <c r="D24" s="2300"/>
      <c r="E24" s="2300"/>
      <c r="F24" s="2301"/>
    </row>
    <row r="25" spans="1:11" ht="13.5" thickBot="1" x14ac:dyDescent="0.25">
      <c r="A25" s="2306" t="s">
        <v>2007</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t="s">
        <v>2072</v>
      </c>
      <c r="B32" s="595">
        <v>43580</v>
      </c>
      <c r="C32" s="1734">
        <v>7370000</v>
      </c>
      <c r="D32" s="1735">
        <v>2</v>
      </c>
      <c r="E32" s="1734">
        <v>7370000</v>
      </c>
      <c r="F32" s="1734"/>
      <c r="G32" s="1734"/>
      <c r="H32" s="1734">
        <v>250000</v>
      </c>
      <c r="I32" s="1736">
        <f>((E32+F32)-H32)+G32</f>
        <v>7120000</v>
      </c>
      <c r="J32" s="1734">
        <v>7102528</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7370000</v>
      </c>
      <c r="D49" s="1742"/>
      <c r="E49" s="1736">
        <f t="shared" ref="E49:J49" si="2">SUM(E31:E48)</f>
        <v>7370000</v>
      </c>
      <c r="F49" s="1736">
        <f t="shared" si="2"/>
        <v>0</v>
      </c>
      <c r="G49" s="1736">
        <f t="shared" si="2"/>
        <v>0</v>
      </c>
      <c r="H49" s="1736">
        <f t="shared" si="2"/>
        <v>250000</v>
      </c>
      <c r="I49" s="1736">
        <f t="shared" si="2"/>
        <v>7120000</v>
      </c>
      <c r="J49" s="1736">
        <f t="shared" si="2"/>
        <v>7102528</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O48"/>
  <sheetViews>
    <sheetView showGridLines="0" defaultGridColor="0" colorId="8" zoomScale="110" zoomScaleNormal="110" workbookViewId="0">
      <selection activeCell="K14" sqref="K1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1789</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v>29577</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5351</v>
      </c>
    </row>
    <row r="10" spans="1:11" x14ac:dyDescent="0.2">
      <c r="A10" s="2323" t="s">
        <v>1790</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29577</v>
      </c>
      <c r="I12" s="1755">
        <f>SUM(I5:I11)</f>
        <v>0</v>
      </c>
      <c r="J12" s="1755">
        <f>SUM(J5:J11)</f>
        <v>0</v>
      </c>
      <c r="K12" s="1755">
        <f>SUM(K5:K11)</f>
        <v>5351</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v>29577</v>
      </c>
      <c r="I14" s="1749"/>
      <c r="J14" s="1751"/>
      <c r="K14" s="1745">
        <v>5351</v>
      </c>
    </row>
    <row r="15" spans="1:11" x14ac:dyDescent="0.2">
      <c r="A15" s="2324" t="s">
        <v>4</v>
      </c>
      <c r="B15" s="2324"/>
      <c r="C15" s="2324"/>
      <c r="D15" s="2324"/>
      <c r="E15" s="2325"/>
      <c r="F15" s="635" t="s">
        <v>850</v>
      </c>
      <c r="G15" s="1749"/>
      <c r="H15" s="1744"/>
      <c r="I15" s="1744"/>
      <c r="J15" s="1745"/>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1786</v>
      </c>
      <c r="B19" s="2332"/>
      <c r="C19" s="2332"/>
      <c r="D19" s="2332"/>
      <c r="E19" s="2333"/>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1792</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29577</v>
      </c>
      <c r="I23" s="1755">
        <f>SUM(I14:I16,I21,I22)</f>
        <v>0</v>
      </c>
      <c r="J23" s="1755">
        <f>SUM(J14:J16,J21,J22)</f>
        <v>0</v>
      </c>
      <c r="K23" s="1755">
        <f>SUM(K14:K16,K21,K22)</f>
        <v>5351</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306843</v>
      </c>
      <c r="D5" s="1770"/>
      <c r="E5" s="1770"/>
      <c r="F5" s="1765">
        <f>(C5+D5)-E5</f>
        <v>306843</v>
      </c>
      <c r="G5" s="676"/>
      <c r="H5" s="680"/>
      <c r="I5" s="680"/>
      <c r="J5" s="680"/>
      <c r="K5" s="637"/>
      <c r="L5" s="1442">
        <f>F5-K5</f>
        <v>306843</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7389596</v>
      </c>
      <c r="D8" s="1771">
        <v>1327317</v>
      </c>
      <c r="E8" s="1771"/>
      <c r="F8" s="1765">
        <f>(C8+D8)-E8</f>
        <v>8716913</v>
      </c>
      <c r="G8" s="681">
        <v>50</v>
      </c>
      <c r="H8" s="619">
        <v>4817069</v>
      </c>
      <c r="I8" s="619">
        <v>136488</v>
      </c>
      <c r="J8" s="619"/>
      <c r="K8" s="1442">
        <f>(H8+I8)-J8</f>
        <v>4953557</v>
      </c>
      <c r="L8" s="1442">
        <f>F8-K8</f>
        <v>3763356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79283</v>
      </c>
      <c r="D10" s="1772"/>
      <c r="E10" s="1772"/>
      <c r="F10" s="1773">
        <f>(C10+D10)-E10</f>
        <v>79283</v>
      </c>
      <c r="G10" s="681">
        <v>20</v>
      </c>
      <c r="H10" s="683">
        <v>61441</v>
      </c>
      <c r="I10" s="683">
        <v>3847</v>
      </c>
      <c r="J10" s="683"/>
      <c r="K10" s="1442">
        <f>(H10+I10)-J10</f>
        <v>65288</v>
      </c>
      <c r="L10" s="1442">
        <f>F10-K10</f>
        <v>13995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485043</v>
      </c>
      <c r="D12" s="1771">
        <v>5643</v>
      </c>
      <c r="E12" s="1771">
        <v>173835</v>
      </c>
      <c r="F12" s="1765">
        <f>(C12+D12)-E12</f>
        <v>316851</v>
      </c>
      <c r="G12" s="681">
        <v>10</v>
      </c>
      <c r="H12" s="619">
        <v>382472</v>
      </c>
      <c r="I12" s="619">
        <f>21191+1289</f>
        <v>22480</v>
      </c>
      <c r="J12" s="619">
        <v>173835</v>
      </c>
      <c r="K12" s="1442">
        <f>(H12+I12)-J12</f>
        <v>231117</v>
      </c>
      <c r="L12" s="1442">
        <f>F12-K12</f>
        <v>85734</v>
      </c>
    </row>
    <row r="13" spans="1:14" ht="14.25" thickTop="1" thickBot="1" x14ac:dyDescent="0.25">
      <c r="A13" s="684" t="s">
        <v>1112</v>
      </c>
      <c r="B13" s="679">
        <v>252</v>
      </c>
      <c r="C13" s="1771">
        <v>871882</v>
      </c>
      <c r="D13" s="1771">
        <v>71185</v>
      </c>
      <c r="E13" s="1771">
        <v>43057</v>
      </c>
      <c r="F13" s="1765">
        <f>(C13+D13)-E13</f>
        <v>900010</v>
      </c>
      <c r="G13" s="681">
        <v>5</v>
      </c>
      <c r="H13" s="619">
        <v>638098</v>
      </c>
      <c r="I13" s="619">
        <f>36285+92717</f>
        <v>129002</v>
      </c>
      <c r="J13" s="619">
        <v>43057</v>
      </c>
      <c r="K13" s="1442">
        <f>(H13+I13)-J13</f>
        <v>724043</v>
      </c>
      <c r="L13" s="1442">
        <f>F13-K13</f>
        <v>175967</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9132647</v>
      </c>
      <c r="D16" s="1765">
        <f>SUM(D3,D5:D6,D8:D10,D12:D15)</f>
        <v>1404145</v>
      </c>
      <c r="E16" s="1765">
        <f>SUM(E3,E5:E6,E8:E10,E12:E15)</f>
        <v>216892</v>
      </c>
      <c r="F16" s="1765">
        <f>SUM(F3,F5:F6,F8:F10,F12:F15)</f>
        <v>10319900</v>
      </c>
      <c r="G16" s="681"/>
      <c r="H16" s="1435">
        <f>SUM(H3,H6,H8:H10,H12:H14,)</f>
        <v>5899080</v>
      </c>
      <c r="I16" s="1435">
        <f>SUM(I3,I6,I8:I10,I12:I14,)</f>
        <v>291817</v>
      </c>
      <c r="J16" s="1435">
        <f>SUM(J3,J6,J8:J10,J12:J14,)</f>
        <v>216892</v>
      </c>
      <c r="K16" s="1435">
        <f>(H16+I16)-J16</f>
        <v>5974005</v>
      </c>
      <c r="L16" s="1435">
        <f>F16-K16</f>
        <v>4345895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291817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F0"/>
  </sheetPr>
  <dimension ref="A1:I203"/>
  <sheetViews>
    <sheetView showGridLines="0" defaultGridColor="0" topLeftCell="A158" colorId="8" zoomScale="110" zoomScaleNormal="110" workbookViewId="0">
      <selection activeCell="J179" sqref="J1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4457738</v>
      </c>
      <c r="G8" s="701"/>
    </row>
    <row r="9" spans="1:9" x14ac:dyDescent="0.2">
      <c r="A9" s="705" t="s">
        <v>457</v>
      </c>
      <c r="B9" s="706" t="s">
        <v>1848</v>
      </c>
      <c r="C9" s="707"/>
      <c r="D9" s="705" t="s">
        <v>498</v>
      </c>
      <c r="E9" s="704"/>
      <c r="F9" s="1775">
        <f>'Expenditures 15-22'!K151</f>
        <v>434248</v>
      </c>
      <c r="G9" s="708"/>
    </row>
    <row r="10" spans="1:9" x14ac:dyDescent="0.2">
      <c r="A10" s="705" t="s">
        <v>496</v>
      </c>
      <c r="B10" s="706" t="s">
        <v>1849</v>
      </c>
      <c r="C10" s="707"/>
      <c r="D10" s="705" t="s">
        <v>498</v>
      </c>
      <c r="E10" s="704"/>
      <c r="F10" s="1775">
        <f>'Expenditures 15-22'!K174</f>
        <v>547088</v>
      </c>
      <c r="G10" s="708"/>
    </row>
    <row r="11" spans="1:9" x14ac:dyDescent="0.2">
      <c r="A11" s="705" t="s">
        <v>458</v>
      </c>
      <c r="B11" s="706" t="s">
        <v>1850</v>
      </c>
      <c r="C11" s="707"/>
      <c r="D11" s="705" t="s">
        <v>498</v>
      </c>
      <c r="E11" s="704"/>
      <c r="F11" s="1775">
        <f>'Expenditures 15-22'!K210</f>
        <v>257519</v>
      </c>
      <c r="G11" s="708"/>
    </row>
    <row r="12" spans="1:9" x14ac:dyDescent="0.2">
      <c r="A12" s="705" t="s">
        <v>459</v>
      </c>
      <c r="B12" s="706" t="s">
        <v>1851</v>
      </c>
      <c r="C12" s="707"/>
      <c r="D12" s="705" t="s">
        <v>498</v>
      </c>
      <c r="E12" s="704"/>
      <c r="F12" s="1775">
        <f>'Expenditures 15-22'!K295</f>
        <v>138308</v>
      </c>
      <c r="G12" s="708"/>
    </row>
    <row r="13" spans="1:9" x14ac:dyDescent="0.2">
      <c r="A13" s="705" t="s">
        <v>106</v>
      </c>
      <c r="B13" s="706" t="s">
        <v>1852</v>
      </c>
      <c r="C13" s="707"/>
      <c r="D13" s="705" t="s">
        <v>498</v>
      </c>
      <c r="E13" s="704"/>
      <c r="F13" s="1775">
        <f>'Expenditures 15-22'!K342</f>
        <v>148156</v>
      </c>
      <c r="G13" s="709"/>
    </row>
    <row r="14" spans="1:9" ht="12" customHeight="1" thickBot="1" x14ac:dyDescent="0.25">
      <c r="A14" s="1443"/>
      <c r="B14" s="1444"/>
      <c r="C14" s="1445"/>
      <c r="D14" s="1446" t="s">
        <v>498</v>
      </c>
      <c r="E14" s="1447" t="s">
        <v>952</v>
      </c>
      <c r="F14" s="1776">
        <f>SUM(F8:F13)</f>
        <v>5983057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97837</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307857</v>
      </c>
      <c r="G53" s="701"/>
    </row>
    <row r="54" spans="1:7" x14ac:dyDescent="0.2">
      <c r="A54" s="705" t="s">
        <v>456</v>
      </c>
      <c r="B54" s="705" t="s">
        <v>1459</v>
      </c>
      <c r="C54" s="724" t="s">
        <v>975</v>
      </c>
      <c r="D54" s="720" t="s">
        <v>1086</v>
      </c>
      <c r="E54" s="704"/>
      <c r="F54" s="1782">
        <f>'Expenditures 15-22'!G114</f>
        <v>71658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4467</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250000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702</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4589</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737110</v>
      </c>
      <c r="G77" s="701"/>
    </row>
    <row r="78" spans="1:9" s="728" customFormat="1" ht="12" customHeight="1" thickTop="1" thickBot="1" x14ac:dyDescent="0.25">
      <c r="A78" s="1450"/>
      <c r="B78" s="1448"/>
      <c r="C78" s="1445"/>
      <c r="D78" s="1449" t="s">
        <v>2012</v>
      </c>
      <c r="E78" s="1447"/>
      <c r="F78" s="1788">
        <f>(F14-F77)</f>
        <v>5245947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497.9</v>
      </c>
      <c r="G79" s="733"/>
      <c r="H79" s="705"/>
      <c r="I79" s="705"/>
    </row>
    <row r="80" spans="1:9" s="728" customFormat="1" ht="12" customHeight="1" thickBot="1" x14ac:dyDescent="0.25">
      <c r="A80" s="1452"/>
      <c r="B80" s="1448"/>
      <c r="C80" s="1445"/>
      <c r="D80" s="1449" t="s">
        <v>2013</v>
      </c>
      <c r="E80" s="1447" t="s">
        <v>952</v>
      </c>
      <c r="F80" s="1790">
        <f>IF(F79&gt;0,F78/F79," Complete Line 79")</f>
        <v>10536.145812412131</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81892</v>
      </c>
      <c r="G95" s="745"/>
    </row>
    <row r="96" spans="1:7" x14ac:dyDescent="0.2">
      <c r="A96" s="741" t="s">
        <v>139</v>
      </c>
      <c r="B96" s="741" t="s">
        <v>174</v>
      </c>
      <c r="C96" s="743">
        <v>1700</v>
      </c>
      <c r="D96" s="751" t="str">
        <f>'Revenues 9-14'!A82</f>
        <v>Total District/School Activity Income</v>
      </c>
      <c r="E96" s="739"/>
      <c r="F96" s="1793">
        <f>SUM('Revenues 9-14'!C82,'Revenues 9-14'!D82)</f>
        <v>26077</v>
      </c>
      <c r="G96" s="745"/>
    </row>
    <row r="97" spans="1:7" x14ac:dyDescent="0.2">
      <c r="A97" s="741" t="s">
        <v>456</v>
      </c>
      <c r="B97" s="741" t="s">
        <v>175</v>
      </c>
      <c r="C97" s="743">
        <f>'Revenues 9-14'!B84</f>
        <v>1811</v>
      </c>
      <c r="D97" s="744" t="str">
        <f>'Revenues 9-14'!A84</f>
        <v>Rentals - Regular Textbooks</v>
      </c>
      <c r="E97" s="739"/>
      <c r="F97" s="1793">
        <f>'Revenues 9-14'!C84</f>
        <v>13356</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13472</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39097</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1080</v>
      </c>
      <c r="G105" s="745"/>
    </row>
    <row r="106" spans="1:7" x14ac:dyDescent="0.2">
      <c r="A106" s="741" t="s">
        <v>500</v>
      </c>
      <c r="B106" s="741" t="s">
        <v>1910</v>
      </c>
      <c r="C106" s="746">
        <v>3100</v>
      </c>
      <c r="D106" s="752" t="str">
        <f>'Revenues 9-14'!A132</f>
        <v>Total Special Education</v>
      </c>
      <c r="E106" s="739"/>
      <c r="F106" s="1793">
        <f>SUM('Revenues 9-14'!C132:D132,'Revenues 9-14'!F132)</f>
        <v>9781</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10230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1793</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5351</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55209</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4728</v>
      </c>
      <c r="G125" s="763"/>
    </row>
    <row r="126" spans="1:7" x14ac:dyDescent="0.2">
      <c r="A126" s="760" t="s">
        <v>659</v>
      </c>
      <c r="B126" s="760" t="s">
        <v>1930</v>
      </c>
      <c r="C126" s="765">
        <v>4200</v>
      </c>
      <c r="D126" s="762" t="str">
        <f>'Revenues 9-14'!A198</f>
        <v>Total Food Service</v>
      </c>
      <c r="E126" s="739"/>
      <c r="F126" s="1793">
        <f>SUM('Revenues 9-14'!C198,'Revenues 9-14'!G198)</f>
        <v>159177</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203363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5195</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38617</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5459</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12392</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191723</v>
      </c>
      <c r="G172" s="760"/>
    </row>
    <row r="173" spans="1:7" x14ac:dyDescent="0.2">
      <c r="A173" s="1529" t="s">
        <v>659</v>
      </c>
      <c r="B173" s="1530" t="s">
        <v>1885</v>
      </c>
      <c r="C173" s="1531">
        <v>3300</v>
      </c>
      <c r="D173" s="1532" t="s">
        <v>1888</v>
      </c>
      <c r="E173" s="739"/>
      <c r="F173" s="1794">
        <v>116</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878858</v>
      </c>
    </row>
    <row r="176" spans="1:7" ht="12" customHeight="1" x14ac:dyDescent="0.2">
      <c r="A176" s="1443"/>
      <c r="B176" s="1453"/>
      <c r="C176" s="1454"/>
      <c r="D176" s="1455" t="s">
        <v>2014</v>
      </c>
      <c r="E176" s="1456"/>
      <c r="F176" s="1793">
        <f>'PCTC-OEPP 27-28'!F78-F175</f>
        <v>4367089</v>
      </c>
    </row>
    <row r="177" spans="1:9" ht="12" customHeight="1" x14ac:dyDescent="0.2">
      <c r="A177" s="1443"/>
      <c r="B177" s="1453"/>
      <c r="C177" s="1454"/>
      <c r="D177" s="1455" t="s">
        <v>1794</v>
      </c>
      <c r="E177" s="1456"/>
      <c r="F177" s="1793">
        <f>'Cap Outlay Deprec 26'!I18</f>
        <v>291817</v>
      </c>
    </row>
    <row r="178" spans="1:9" ht="12" customHeight="1" x14ac:dyDescent="0.2">
      <c r="A178" s="1443"/>
      <c r="B178" s="1453"/>
      <c r="C178" s="1454"/>
      <c r="D178" s="1455" t="s">
        <v>2015</v>
      </c>
      <c r="E178" s="1456"/>
      <c r="F178" s="1793">
        <f>F176+F177</f>
        <v>4658906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497.9</v>
      </c>
      <c r="G179" s="763"/>
      <c r="I179" s="701"/>
    </row>
    <row r="180" spans="1:9" ht="12" customHeight="1" thickBot="1" x14ac:dyDescent="0.25">
      <c r="A180" s="1443"/>
      <c r="B180" s="1457"/>
      <c r="C180" s="1454"/>
      <c r="D180" s="1455" t="s">
        <v>2017</v>
      </c>
      <c r="E180" s="1456" t="s">
        <v>1528</v>
      </c>
      <c r="F180" s="1798">
        <f>F178/F179</f>
        <v>9357.1118698533846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G142"/>
  <sheetViews>
    <sheetView showGridLines="0" zoomScaleNormal="100" workbookViewId="0">
      <selection activeCell="D20" sqref="D20"/>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2073</v>
      </c>
      <c r="B18" s="1908">
        <v>102520300</v>
      </c>
      <c r="C18" s="2036" t="s">
        <v>2052</v>
      </c>
      <c r="D18" s="1886">
        <v>11400</v>
      </c>
      <c r="E18" s="1906">
        <f t="shared" ref="E18:E81" si="0">IF(D18&lt;25000,D18,"25,000")</f>
        <v>11400</v>
      </c>
      <c r="F18" s="1906" t="str">
        <f t="shared" ref="F18:F81" si="1">IF(D18&gt;=25000,(D18-E18),"0")</f>
        <v>0</v>
      </c>
      <c r="G18" s="1887"/>
    </row>
    <row r="19" spans="1:7" x14ac:dyDescent="0.25">
      <c r="A19" s="2035" t="s">
        <v>2073</v>
      </c>
      <c r="B19" s="1908">
        <v>102520300</v>
      </c>
      <c r="C19" s="2036" t="s">
        <v>2074</v>
      </c>
      <c r="D19" s="1886">
        <v>33882</v>
      </c>
      <c r="E19" s="1906" t="str">
        <f t="shared" si="0"/>
        <v>25,000</v>
      </c>
      <c r="F19" s="1906">
        <f t="shared" si="1"/>
        <v>8882</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45282</v>
      </c>
      <c r="E142" s="1893">
        <f>SUM(E18:E141)</f>
        <v>11400</v>
      </c>
      <c r="F142" s="1894">
        <f>SUM(F18:F141)</f>
        <v>8882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F0"/>
  </sheetPr>
  <dimension ref="A1:M46"/>
  <sheetViews>
    <sheetView showGridLines="0" defaultGridColor="0" topLeftCell="A1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19036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3026427</v>
      </c>
      <c r="F19" s="1802"/>
      <c r="G19" s="1804">
        <f>'Expenditures 15-22'!K33-SUM('Expenditures 15-22'!G33,'Expenditures 15-22'!I33)+'Expenditures 15-22'!D229</f>
        <v>3026427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92148</v>
      </c>
      <c r="F21" s="1805"/>
      <c r="G21" s="1808">
        <f>'Expenditures 15-22'!K42-SUM('Expenditures 15-22'!G42,'Expenditures 15-22'!I42)+'Expenditures 15-22'!K120-SUM('Expenditures 15-22'!G120,'Expenditures 15-22'!I120)+'Expenditures 15-22'!K180-SUM('Expenditures 15-22'!G180,'Expenditures 15-22'!I180)+'Expenditures 15-22'!D238</f>
        <v>92148</v>
      </c>
      <c r="H21" s="817"/>
      <c r="I21" s="157"/>
    </row>
    <row r="22" spans="1:9" s="542" customFormat="1" ht="12" customHeight="1" x14ac:dyDescent="0.2">
      <c r="A22" s="824" t="s">
        <v>560</v>
      </c>
      <c r="B22" s="825"/>
      <c r="C22" s="823">
        <v>2200</v>
      </c>
      <c r="D22" s="1805"/>
      <c r="E22" s="1807">
        <f>'Expenditures 15-22'!K47-SUM('Expenditures 15-22'!G47,'Expenditures 15-22'!I47)+'Expenditures 15-22'!D243</f>
        <v>157206</v>
      </c>
      <c r="F22" s="1805"/>
      <c r="G22" s="1808">
        <f>'Expenditures 15-22'!K47-SUM('Expenditures 15-22'!G47,'Expenditures 15-22'!I47)+'Expenditures 15-22'!D243</f>
        <v>157206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370677</v>
      </c>
      <c r="F23" s="1805"/>
      <c r="G23" s="1807">
        <f>'Expenditures 15-22'!K53-SUM('Expenditures 15-22'!G53,'Expenditures 15-22'!I53)+'Expenditures 15-22'!D257+'Expenditures 15-22'!K330-SUM('Expenditures 15-22'!G330,'Expenditures 15-22'!I330)</f>
        <v>370677</v>
      </c>
      <c r="H23" s="817"/>
      <c r="I23" s="157"/>
    </row>
    <row r="24" spans="1:9" s="542" customFormat="1" ht="12" customHeight="1" x14ac:dyDescent="0.2">
      <c r="A24" s="824" t="s">
        <v>562</v>
      </c>
      <c r="B24" s="825"/>
      <c r="C24" s="823">
        <v>2400</v>
      </c>
      <c r="D24" s="1805"/>
      <c r="E24" s="1807">
        <f>'Expenditures 15-22'!K57-SUM('Expenditures 15-22'!G57,'Expenditures 15-22'!I57)+'Expenditures 15-22'!D261</f>
        <v>295447</v>
      </c>
      <c r="F24" s="1805"/>
      <c r="G24" s="1808">
        <f>'Expenditures 15-22'!K57-SUM('Expenditures 15-22'!G57,'Expenditures 15-22'!I57)+'Expenditures 15-22'!D261</f>
        <v>295447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104747</v>
      </c>
      <c r="E27" s="1807">
        <f>E8</f>
        <v>0</v>
      </c>
      <c r="F27" s="1807">
        <f>'Expenditures 15-22'!K60-SUM('Expenditures 15-22'!G60,'Expenditures 15-22'!I60)+'Expenditures 15-22'!D264-E8</f>
        <v>104747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448988</v>
      </c>
      <c r="F28" s="1809">
        <f>'Expenditures 15-22'!K61-SUM('Expenditures 15-22'!G61,'Expenditures 15-22'!I61)+'Expenditures 15-22'!K124-SUM('Expenditures 15-22'!G124,'Expenditures 15-22'!I124)+'Expenditures 15-22'!D266-E9</f>
        <v>448988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271012</v>
      </c>
      <c r="F29" s="1805"/>
      <c r="G29" s="1808">
        <f>'Expenditures 15-22'!K62-SUM('Expenditures 15-22'!G62,'Expenditures 15-22'!I62)+'Expenditures 15-22'!K125-SUM('Expenditures 15-22'!G125,'Expenditures 15-22'!I125)+'Expenditures 15-22'!K182-SUM('Expenditures 15-22'!G182,'Expenditures 15-22'!I182)+'Expenditures 15-22'!D267</f>
        <v>271012</v>
      </c>
      <c r="H29" s="815"/>
    </row>
    <row r="30" spans="1:9" ht="12" customHeight="1" x14ac:dyDescent="0.2">
      <c r="A30" s="824" t="s">
        <v>100</v>
      </c>
      <c r="B30" s="827"/>
      <c r="C30" s="823">
        <v>2560</v>
      </c>
      <c r="D30" s="1805"/>
      <c r="E30" s="1807">
        <f>'Expenditures 15-22'!K63-SUM('Expenditures 15-22'!G63,'Expenditures 15-22'!I63)+'Expenditures 15-22'!D268-E10</f>
        <v>284633</v>
      </c>
      <c r="F30" s="1805"/>
      <c r="G30" s="1807">
        <f>'Expenditures 15-22'!K63-SUM('Expenditures 15-22'!G63,'Expenditures 15-22'!I63)+'Expenditures 15-22'!D268-E10</f>
        <v>284633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-8882</v>
      </c>
      <c r="F40" s="1805"/>
      <c r="G40" s="1809">
        <f>-'Contracts Paid in CY 29'!F142</f>
        <v>-8882</v>
      </c>
    </row>
    <row r="41" spans="1:7" ht="12" customHeight="1" x14ac:dyDescent="0.2">
      <c r="A41" s="828" t="s">
        <v>155</v>
      </c>
      <c r="B41" s="829"/>
      <c r="C41" s="830"/>
      <c r="D41" s="1809">
        <f>SUM(D19:D39)</f>
        <v>104747</v>
      </c>
      <c r="E41" s="1809">
        <f>SUM(E19:E40)</f>
        <v>4937656</v>
      </c>
      <c r="F41" s="1809">
        <f>SUM(F19:F39)</f>
        <v>553735</v>
      </c>
      <c r="G41" s="1809">
        <f>SUM(G19:G40)</f>
        <v>4488668</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104747</v>
      </c>
      <c r="F43" s="1458" t="s">
        <v>470</v>
      </c>
      <c r="G43" s="1810">
        <f>F41</f>
        <v>553735</v>
      </c>
    </row>
    <row r="44" spans="1:7" ht="12" customHeight="1" x14ac:dyDescent="0.2">
      <c r="A44" s="817"/>
      <c r="B44" s="157"/>
      <c r="C44" s="831"/>
      <c r="D44" s="1458" t="s">
        <v>471</v>
      </c>
      <c r="E44" s="1810">
        <f>E41</f>
        <v>4937656</v>
      </c>
      <c r="F44" s="1458" t="s">
        <v>471</v>
      </c>
      <c r="G44" s="1810">
        <f>G41</f>
        <v>4488668</v>
      </c>
    </row>
    <row r="45" spans="1:7" ht="12" customHeight="1" x14ac:dyDescent="0.2">
      <c r="A45" s="817"/>
      <c r="B45" s="157"/>
      <c r="C45" s="157"/>
      <c r="D45" s="1459" t="s">
        <v>999</v>
      </c>
      <c r="E45" s="1811">
        <f>(E43/E44)</f>
        <v>2.1213912026273197E-2</v>
      </c>
      <c r="F45" s="1459" t="s">
        <v>999</v>
      </c>
      <c r="G45" s="1811">
        <f>(G43/G44)</f>
        <v>0.12336287736139095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F0"/>
  </sheetPr>
  <dimension ref="A1:O97"/>
  <sheetViews>
    <sheetView showGridLines="0" zoomScale="110" zoomScaleNormal="110" workbookViewId="0">
      <selection activeCell="F33" sqref="F3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 xml:space="preserve"> Hamilton CCSD 328</v>
      </c>
      <c r="D6" s="2416"/>
      <c r="E6" s="2416"/>
      <c r="F6" s="1482"/>
      <c r="G6" s="1507"/>
      <c r="L6" s="1507"/>
      <c r="M6" s="1855"/>
      <c r="N6" s="1855"/>
      <c r="O6" s="1855"/>
    </row>
    <row r="7" spans="1:15" ht="11.25" customHeight="1" thickBot="1" x14ac:dyDescent="0.3">
      <c r="A7" s="1480"/>
      <c r="B7" s="1481"/>
      <c r="C7" s="2417">
        <f>COVER!A13</f>
        <v>26034328024</v>
      </c>
      <c r="D7" s="2417"/>
      <c r="E7" s="241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2051</v>
      </c>
      <c r="D13" s="1495" t="s">
        <v>2051</v>
      </c>
      <c r="E13" s="1498"/>
      <c r="F13" s="2037" t="s">
        <v>2075</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c r="F25" s="2037" t="s">
        <v>2076</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2051</v>
      </c>
      <c r="D26" s="1495" t="s">
        <v>2051</v>
      </c>
      <c r="E26" s="1498"/>
      <c r="F26" s="2037" t="s">
        <v>2077</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2051</v>
      </c>
      <c r="D28" s="1495" t="s">
        <v>2051</v>
      </c>
      <c r="E28" s="1498"/>
      <c r="F28" s="2037" t="s">
        <v>2078</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2051</v>
      </c>
      <c r="D30" s="1495" t="s">
        <v>2051</v>
      </c>
      <c r="E30" s="1498"/>
      <c r="F30" s="2037" t="s">
        <v>2079</v>
      </c>
      <c r="G30" s="1507"/>
      <c r="H30" s="1507">
        <f t="shared" si="0"/>
        <v>5</v>
      </c>
      <c r="I30" s="1507">
        <f t="shared" si="1"/>
        <v>5</v>
      </c>
      <c r="J30" s="1507">
        <f t="shared" si="2"/>
        <v>0</v>
      </c>
      <c r="L30" s="1507"/>
      <c r="M30" s="1855"/>
      <c r="N30" s="1855"/>
      <c r="O30" s="1855"/>
    </row>
    <row r="31" spans="1:15" ht="12" customHeight="1" x14ac:dyDescent="0.2">
      <c r="A31" s="1493" t="s">
        <v>1522</v>
      </c>
      <c r="B31" s="1494"/>
      <c r="C31" s="1495" t="s">
        <v>2051</v>
      </c>
      <c r="D31" s="1495" t="s">
        <v>2051</v>
      </c>
      <c r="E31" s="1498"/>
      <c r="F31" s="2037" t="s">
        <v>2080</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2051</v>
      </c>
      <c r="D32" s="1495" t="s">
        <v>2051</v>
      </c>
      <c r="E32" s="1498"/>
      <c r="F32" s="2037" t="s">
        <v>2081</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35</v>
      </c>
      <c r="I34" s="1507">
        <f>SUM(I11:I32)</f>
        <v>35</v>
      </c>
      <c r="J34" s="1507">
        <f>SUM(J11:J32)</f>
        <v>0</v>
      </c>
      <c r="K34" s="1507">
        <f>SUM(H34:J34)</f>
        <v>70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A1:N83"/>
  <sheetViews>
    <sheetView showGridLines="0" topLeftCell="A10" zoomScaleNormal="100" workbookViewId="0">
      <selection activeCell="K18" sqref="K18"/>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8" t="str">
        <f>COVER!A17</f>
        <v xml:space="preserve"> Hamilton CCSD 328</v>
      </c>
      <c r="K6" s="2438"/>
      <c r="L6" s="2452"/>
      <c r="M6" s="838"/>
      <c r="N6" s="1998"/>
    </row>
    <row r="7" spans="1:14" x14ac:dyDescent="0.2">
      <c r="A7" s="2453" t="s">
        <v>864</v>
      </c>
      <c r="B7" s="2454"/>
      <c r="C7" s="2454"/>
      <c r="D7" s="2454"/>
      <c r="E7" s="2455"/>
      <c r="F7" s="839"/>
      <c r="G7" s="838"/>
      <c r="H7" s="838"/>
      <c r="I7" s="1924" t="s">
        <v>369</v>
      </c>
      <c r="J7" s="2440">
        <f>COVER!A13</f>
        <v>26034328024</v>
      </c>
      <c r="K7" s="2440"/>
      <c r="L7" s="244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6" t="s">
        <v>478</v>
      </c>
      <c r="B11" s="2457"/>
      <c r="C11" s="245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204760</v>
      </c>
      <c r="F12" s="1942"/>
      <c r="G12" s="1968">
        <f>G68</f>
        <v>0</v>
      </c>
      <c r="H12" s="1944">
        <f t="shared" ref="H12:H18" si="0">SUM(E12:G12)</f>
        <v>204760</v>
      </c>
      <c r="I12" s="1943">
        <v>197933</v>
      </c>
      <c r="J12" s="1942"/>
      <c r="K12" s="1943"/>
      <c r="L12" s="1944">
        <f t="shared" ref="L12:L18" si="1">SUM(I12:K12)</f>
        <v>197933</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148156</v>
      </c>
      <c r="H17" s="1944">
        <f t="shared" si="0"/>
        <v>148156</v>
      </c>
      <c r="I17" s="1943"/>
      <c r="J17" s="1942"/>
      <c r="K17" s="1943">
        <v>161532</v>
      </c>
      <c r="L17" s="1944">
        <f t="shared" si="1"/>
        <v>161532</v>
      </c>
      <c r="M17" s="838"/>
      <c r="N17" s="1998"/>
    </row>
    <row r="18" spans="1:14" ht="26.25" customHeight="1" x14ac:dyDescent="0.2">
      <c r="A18" s="2004">
        <v>7</v>
      </c>
      <c r="B18" s="2459" t="s">
        <v>7</v>
      </c>
      <c r="C18" s="2460"/>
      <c r="D18" s="246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204760</v>
      </c>
      <c r="F19" s="1950">
        <f t="shared" si="2"/>
        <v>0</v>
      </c>
      <c r="G19" s="1950">
        <f t="shared" ref="G19" si="3">SUM(G12:G17)-G18</f>
        <v>148156</v>
      </c>
      <c r="H19" s="1950">
        <f t="shared" si="2"/>
        <v>352916</v>
      </c>
      <c r="I19" s="1950">
        <f t="shared" si="2"/>
        <v>197933</v>
      </c>
      <c r="J19" s="1950">
        <f t="shared" si="2"/>
        <v>0</v>
      </c>
      <c r="K19" s="1950">
        <f t="shared" si="2"/>
        <v>161532</v>
      </c>
      <c r="L19" s="1950">
        <f t="shared" si="2"/>
        <v>359465</v>
      </c>
      <c r="M19" s="838"/>
      <c r="N19" s="1998"/>
    </row>
    <row r="20" spans="1:14" ht="13.5" thickTop="1" x14ac:dyDescent="0.2">
      <c r="A20" s="2003">
        <v>9</v>
      </c>
      <c r="B20" s="2462" t="s">
        <v>2021</v>
      </c>
      <c r="C20" s="2462"/>
      <c r="D20" s="2463"/>
      <c r="E20" s="1951"/>
      <c r="F20" s="1951"/>
      <c r="G20" s="1951"/>
      <c r="H20" s="1951"/>
      <c r="I20" s="1951"/>
      <c r="J20" s="1951"/>
      <c r="K20" s="1951"/>
      <c r="L20" s="1952">
        <f>IF(AND(H19&gt;0,L19&gt;0),(((L19-H19)/H19)),"Enter Budget Data")</f>
        <v>1.8556823720092035E-2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4"/>
      <c r="D27" s="2464"/>
      <c r="E27" s="843"/>
      <c r="F27" s="2465"/>
      <c r="G27" s="2465"/>
      <c r="H27" s="2465"/>
      <c r="I27" s="838"/>
      <c r="J27" s="838"/>
      <c r="K27" s="838"/>
      <c r="L27" s="838"/>
      <c r="M27" s="838"/>
      <c r="N27" s="1998"/>
    </row>
    <row r="28" spans="1:14" x14ac:dyDescent="0.2">
      <c r="A28" s="1997"/>
      <c r="B28" s="2007"/>
      <c r="C28" s="1957" t="s">
        <v>1026</v>
      </c>
      <c r="D28" s="844"/>
      <c r="E28" s="1958"/>
      <c r="F28" s="2466" t="s">
        <v>1492</v>
      </c>
      <c r="G28" s="2466"/>
      <c r="H28" s="2466"/>
      <c r="I28" s="838"/>
      <c r="J28" s="838"/>
      <c r="K28" s="838"/>
      <c r="L28" s="838"/>
      <c r="M28" s="838"/>
      <c r="N28" s="1998"/>
    </row>
    <row r="29" spans="1:14" x14ac:dyDescent="0.2">
      <c r="A29" s="1997"/>
      <c r="B29" s="2007"/>
      <c r="C29" s="2467"/>
      <c r="D29" s="2467"/>
      <c r="E29" s="845"/>
      <c r="F29" s="2467"/>
      <c r="G29" s="2467"/>
      <c r="H29" s="2467"/>
      <c r="I29" s="838"/>
      <c r="J29" s="838"/>
      <c r="K29" s="838"/>
      <c r="L29" s="838"/>
      <c r="M29" s="838"/>
      <c r="N29" s="1998"/>
    </row>
    <row r="30" spans="1:14" x14ac:dyDescent="0.2">
      <c r="A30" s="1997"/>
      <c r="B30" s="2007"/>
      <c r="C30" s="1960" t="s">
        <v>1544</v>
      </c>
      <c r="D30" s="838"/>
      <c r="E30" s="1959"/>
      <c r="F30" s="2451" t="s">
        <v>1493</v>
      </c>
      <c r="G30" s="2451"/>
      <c r="H30" s="245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8" t="s">
        <v>2024</v>
      </c>
      <c r="D34" s="2429"/>
      <c r="E34" s="2429"/>
      <c r="F34" s="2429"/>
      <c r="G34" s="2429"/>
      <c r="H34" s="2429"/>
      <c r="I34" s="2429"/>
      <c r="J34" s="2429"/>
      <c r="K34" s="2016"/>
      <c r="L34" s="838"/>
      <c r="M34" s="838"/>
      <c r="N34" s="1998"/>
    </row>
    <row r="35" spans="1:14" x14ac:dyDescent="0.2">
      <c r="A35" s="1997"/>
      <c r="B35" s="838"/>
      <c r="C35" s="2429"/>
      <c r="D35" s="2429"/>
      <c r="E35" s="2429"/>
      <c r="F35" s="2429"/>
      <c r="G35" s="2429"/>
      <c r="H35" s="2429"/>
      <c r="I35" s="2429"/>
      <c r="J35" s="242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8" t="s">
        <v>2025</v>
      </c>
      <c r="D37" s="2429"/>
      <c r="E37" s="2429"/>
      <c r="F37" s="2429"/>
      <c r="G37" s="2429"/>
      <c r="H37" s="2429"/>
      <c r="I37" s="2429"/>
      <c r="J37" s="2429"/>
      <c r="K37" s="2016"/>
      <c r="L37" s="2018"/>
      <c r="M37" s="838"/>
      <c r="N37" s="1998"/>
    </row>
    <row r="38" spans="1:14" x14ac:dyDescent="0.2">
      <c r="A38" s="1997"/>
      <c r="B38" s="838"/>
      <c r="C38" s="2429"/>
      <c r="D38" s="2429"/>
      <c r="E38" s="2429"/>
      <c r="F38" s="2429"/>
      <c r="G38" s="2429"/>
      <c r="H38" s="2429"/>
      <c r="I38" s="2429"/>
      <c r="J38" s="242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0" t="s">
        <v>2026</v>
      </c>
      <c r="D40" s="2431"/>
      <c r="E40" s="2431"/>
      <c r="F40" s="2431"/>
      <c r="G40" s="2431"/>
      <c r="H40" s="2431"/>
      <c r="I40" s="2431"/>
      <c r="J40" s="243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2" t="s">
        <v>2027</v>
      </c>
      <c r="B43" s="2433"/>
      <c r="C43" s="2433"/>
      <c r="D43" s="2433"/>
      <c r="E43" s="2433"/>
      <c r="F43" s="2433"/>
      <c r="G43" s="2433"/>
      <c r="H43" s="2433"/>
      <c r="I43" s="2433"/>
      <c r="J43" s="2433"/>
      <c r="K43" s="2433"/>
      <c r="L43" s="2433"/>
      <c r="M43" s="2433"/>
      <c r="N43" s="243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5" t="s">
        <v>2029</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8" t="str">
        <f>J6</f>
        <v xml:space="preserve"> Hamilton CCSD 328</v>
      </c>
      <c r="M52" s="2438"/>
      <c r="N52" s="2439"/>
    </row>
    <row r="53" spans="1:14" x14ac:dyDescent="0.2">
      <c r="A53" s="1982"/>
      <c r="B53" s="1983"/>
      <c r="C53" s="1983"/>
      <c r="D53" s="1983"/>
      <c r="E53" s="1983"/>
      <c r="F53" s="1983"/>
      <c r="G53" s="1983"/>
      <c r="H53" s="1983"/>
      <c r="I53" s="1983"/>
      <c r="J53" s="1983"/>
      <c r="K53" s="1924" t="s">
        <v>369</v>
      </c>
      <c r="L53" s="2440">
        <f>J7</f>
        <v>26034328024</v>
      </c>
      <c r="M53" s="2440"/>
      <c r="N53" s="244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2"/>
      <c r="B55" s="2443"/>
      <c r="C55" s="2443"/>
      <c r="D55" s="1970"/>
      <c r="E55" s="1970"/>
      <c r="F55" s="1970"/>
      <c r="G55" s="2444" t="s">
        <v>2030</v>
      </c>
      <c r="H55" s="2444"/>
      <c r="I55" s="2444"/>
      <c r="J55" s="2444"/>
      <c r="K55" s="2444"/>
      <c r="L55" s="2444"/>
      <c r="M55" s="2444"/>
      <c r="N55" s="2445"/>
    </row>
    <row r="56" spans="1:14" ht="63.75" x14ac:dyDescent="0.2">
      <c r="A56" s="2446" t="s">
        <v>2031</v>
      </c>
      <c r="B56" s="2447"/>
      <c r="C56" s="244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9" t="s">
        <v>296</v>
      </c>
      <c r="B57" s="2450"/>
      <c r="C57" s="245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6" t="s">
        <v>2041</v>
      </c>
      <c r="B58" s="2427"/>
      <c r="C58" s="2427"/>
      <c r="D58" s="1967">
        <v>2362</v>
      </c>
      <c r="E58" s="1977">
        <f>'Expenditures 15-22'!K320</f>
        <v>12805</v>
      </c>
      <c r="F58" s="1972"/>
      <c r="G58" s="2031"/>
      <c r="H58" s="2032"/>
      <c r="I58" s="2032"/>
      <c r="J58" s="2032"/>
      <c r="K58" s="2032"/>
      <c r="L58" s="2032">
        <v>12805</v>
      </c>
      <c r="M58" s="2032"/>
      <c r="N58" s="1975">
        <f>IF((SUM(G58:M58))=E58,SUM(G58:M58),"Column N does not agree with Column E")</f>
        <v>12805</v>
      </c>
    </row>
    <row r="59" spans="1:14" ht="24.75" customHeight="1" x14ac:dyDescent="0.2">
      <c r="A59" s="2420" t="s">
        <v>297</v>
      </c>
      <c r="B59" s="2421"/>
      <c r="C59" s="2421"/>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0" t="s">
        <v>236</v>
      </c>
      <c r="B60" s="2421"/>
      <c r="C60" s="2421"/>
      <c r="D60" s="1967">
        <v>2364</v>
      </c>
      <c r="E60" s="1977">
        <f>'Expenditures 15-22'!K322</f>
        <v>32961</v>
      </c>
      <c r="F60" s="1972"/>
      <c r="G60" s="2031"/>
      <c r="H60" s="2032"/>
      <c r="I60" s="2032"/>
      <c r="J60" s="2032"/>
      <c r="K60" s="2032"/>
      <c r="L60" s="2032">
        <v>32961</v>
      </c>
      <c r="M60" s="2032"/>
      <c r="N60" s="1975">
        <f t="shared" ref="N60:N67" si="4">IF((SUM(G60:M60))=E60,SUM(G60:M60),"Column N does not agree with Column E")</f>
        <v>32961</v>
      </c>
    </row>
    <row r="61" spans="1:14" ht="24.75" customHeight="1" x14ac:dyDescent="0.2">
      <c r="A61" s="2420" t="s">
        <v>697</v>
      </c>
      <c r="B61" s="2421"/>
      <c r="C61" s="2421"/>
      <c r="D61" s="1967">
        <v>2365</v>
      </c>
      <c r="E61" s="1977">
        <f>'Expenditures 15-22'!K323</f>
        <v>9163</v>
      </c>
      <c r="F61" s="1972"/>
      <c r="G61" s="2031"/>
      <c r="H61" s="2032"/>
      <c r="I61" s="2032"/>
      <c r="J61" s="2032"/>
      <c r="K61" s="2032"/>
      <c r="L61" s="2032">
        <v>9163</v>
      </c>
      <c r="M61" s="2032"/>
      <c r="N61" s="1975">
        <f t="shared" si="4"/>
        <v>9163</v>
      </c>
    </row>
    <row r="62" spans="1:14" ht="24" customHeight="1" x14ac:dyDescent="0.2">
      <c r="A62" s="2420" t="s">
        <v>237</v>
      </c>
      <c r="B62" s="2421"/>
      <c r="C62" s="2421"/>
      <c r="D62" s="1967">
        <v>2366</v>
      </c>
      <c r="E62" s="1977">
        <f>'Expenditures 15-22'!K324</f>
        <v>0</v>
      </c>
      <c r="F62" s="1972"/>
      <c r="G62" s="2031"/>
      <c r="H62" s="2032"/>
      <c r="I62" s="2032"/>
      <c r="J62" s="2032"/>
      <c r="K62" s="2032"/>
      <c r="L62" s="2032"/>
      <c r="M62" s="2032"/>
      <c r="N62" s="1975">
        <f t="shared" si="4"/>
        <v>0</v>
      </c>
    </row>
    <row r="63" spans="1:14" ht="24" customHeight="1" x14ac:dyDescent="0.2">
      <c r="A63" s="2426" t="s">
        <v>1022</v>
      </c>
      <c r="B63" s="2427"/>
      <c r="C63" s="2427"/>
      <c r="D63" s="1967">
        <v>2367</v>
      </c>
      <c r="E63" s="1977">
        <f>'Expenditures 15-22'!K325</f>
        <v>36614</v>
      </c>
      <c r="F63" s="1972"/>
      <c r="G63" s="2031"/>
      <c r="H63" s="2032"/>
      <c r="I63" s="2032"/>
      <c r="J63" s="2032"/>
      <c r="K63" s="2032"/>
      <c r="L63" s="2032">
        <v>36614</v>
      </c>
      <c r="M63" s="2032"/>
      <c r="N63" s="1975">
        <f t="shared" si="4"/>
        <v>36614</v>
      </c>
    </row>
    <row r="64" spans="1:14" ht="24" customHeight="1" x14ac:dyDescent="0.2">
      <c r="A64" s="2420" t="s">
        <v>1023</v>
      </c>
      <c r="B64" s="2421"/>
      <c r="C64" s="2421"/>
      <c r="D64" s="1967">
        <v>2368</v>
      </c>
      <c r="E64" s="1977">
        <f>'Expenditures 15-22'!K326</f>
        <v>0</v>
      </c>
      <c r="F64" s="1972"/>
      <c r="G64" s="2031"/>
      <c r="H64" s="2032"/>
      <c r="I64" s="2032"/>
      <c r="J64" s="2032"/>
      <c r="K64" s="2032"/>
      <c r="L64" s="2032"/>
      <c r="M64" s="2032"/>
      <c r="N64" s="1975">
        <f t="shared" si="4"/>
        <v>0</v>
      </c>
    </row>
    <row r="65" spans="1:14" ht="24" customHeight="1" x14ac:dyDescent="0.2">
      <c r="A65" s="2420" t="s">
        <v>965</v>
      </c>
      <c r="B65" s="2421"/>
      <c r="C65" s="2421"/>
      <c r="D65" s="1967">
        <v>2369</v>
      </c>
      <c r="E65" s="1977">
        <f>'Expenditures 15-22'!K327</f>
        <v>4800</v>
      </c>
      <c r="F65" s="1972"/>
      <c r="G65" s="2031"/>
      <c r="H65" s="2032"/>
      <c r="I65" s="2032"/>
      <c r="J65" s="2032"/>
      <c r="K65" s="2032"/>
      <c r="L65" s="2032">
        <v>4800</v>
      </c>
      <c r="M65" s="2032"/>
      <c r="N65" s="1975">
        <f t="shared" si="4"/>
        <v>4800</v>
      </c>
    </row>
    <row r="66" spans="1:14" ht="24" customHeight="1" x14ac:dyDescent="0.2">
      <c r="A66" s="2420" t="s">
        <v>469</v>
      </c>
      <c r="B66" s="2421"/>
      <c r="C66" s="2421"/>
      <c r="D66" s="1967">
        <v>2371</v>
      </c>
      <c r="E66" s="1977">
        <f>'Expenditures 15-22'!K328</f>
        <v>37551</v>
      </c>
      <c r="F66" s="1972"/>
      <c r="G66" s="2031"/>
      <c r="H66" s="2032"/>
      <c r="I66" s="2032"/>
      <c r="J66" s="2032"/>
      <c r="K66" s="2032"/>
      <c r="L66" s="2032">
        <v>37551</v>
      </c>
      <c r="M66" s="2032"/>
      <c r="N66" s="1975">
        <f t="shared" si="4"/>
        <v>37551</v>
      </c>
    </row>
    <row r="67" spans="1:14" ht="24.75" customHeight="1" x14ac:dyDescent="0.2">
      <c r="A67" s="2422" t="s">
        <v>2042</v>
      </c>
      <c r="B67" s="2423"/>
      <c r="C67" s="2423"/>
      <c r="D67" s="1969">
        <v>2372</v>
      </c>
      <c r="E67" s="1978">
        <f>'Expenditures 15-22'!K329</f>
        <v>14262</v>
      </c>
      <c r="F67" s="1972"/>
      <c r="G67" s="2033"/>
      <c r="H67" s="2034"/>
      <c r="I67" s="2034"/>
      <c r="J67" s="2034"/>
      <c r="K67" s="2034"/>
      <c r="L67" s="2034">
        <v>14262</v>
      </c>
      <c r="M67" s="2034"/>
      <c r="N67" s="1975">
        <f t="shared" si="4"/>
        <v>14262</v>
      </c>
    </row>
    <row r="68" spans="1:14" x14ac:dyDescent="0.2">
      <c r="A68" s="2424" t="s">
        <v>1151</v>
      </c>
      <c r="B68" s="2425"/>
      <c r="C68" s="2425"/>
      <c r="D68" s="1970"/>
      <c r="E68" s="1974">
        <f>SUM(E57:E67)</f>
        <v>148156</v>
      </c>
      <c r="F68" s="1973"/>
      <c r="G68" s="1974">
        <f t="shared" ref="G68:N68" si="5">SUM(G57:G67)</f>
        <v>0</v>
      </c>
      <c r="H68" s="1974">
        <f t="shared" si="5"/>
        <v>0</v>
      </c>
      <c r="I68" s="1974">
        <f t="shared" si="5"/>
        <v>0</v>
      </c>
      <c r="J68" s="1974">
        <f t="shared" si="5"/>
        <v>0</v>
      </c>
      <c r="K68" s="1974">
        <f t="shared" si="5"/>
        <v>0</v>
      </c>
      <c r="L68" s="1974">
        <f t="shared" si="5"/>
        <v>148156</v>
      </c>
      <c r="M68" s="1974">
        <f t="shared" si="5"/>
        <v>0</v>
      </c>
      <c r="N68" s="1988">
        <f t="shared" si="5"/>
        <v>148156</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F0"/>
  </sheetPr>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Hamilton CCSD 328</v>
      </c>
    </row>
    <row r="65" spans="2:2" x14ac:dyDescent="0.2">
      <c r="B65" s="849">
        <f>COVER!A13</f>
        <v>26034328024</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F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F0"/>
  </sheetPr>
  <dimension ref="A11:F18"/>
  <sheetViews>
    <sheetView showGridLines="0" zoomScale="110" zoomScaleNormal="110" workbookViewId="0">
      <selection activeCell="D16" sqref="D1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7345" r:id="rId4">
          <objectPr defaultSize="0" r:id="rId5">
            <anchor moveWithCells="1">
              <from>
                <xdr:col>3</xdr:col>
                <xdr:colOff>0</xdr:colOff>
                <xdr:row>5</xdr:row>
                <xdr:rowOff>0</xdr:rowOff>
              </from>
              <to>
                <xdr:col>4</xdr:col>
                <xdr:colOff>304800</xdr:colOff>
                <xdr:row>9</xdr:row>
                <xdr:rowOff>38100</xdr:rowOff>
              </to>
            </anchor>
          </objectPr>
        </oleObject>
      </mc:Choice>
      <mc:Fallback>
        <oleObject progId="Acrobat Document" dvAspect="DVASPECT_ICON" shapeId="57345" r:id="rId4"/>
      </mc:Fallback>
    </mc:AlternateContent>
    <mc:AlternateContent xmlns:mc="http://schemas.openxmlformats.org/markup-compatibility/2006">
      <mc:Choice Requires="x14">
        <oleObject progId="Acrobat Document" dvAspect="DVASPECT_ICON" shapeId="57346" r:id="rId6">
          <objectPr defaultSize="0" r:id="rId7">
            <anchor moveWithCells="1">
              <from>
                <xdr:col>3</xdr:col>
                <xdr:colOff>0</xdr:colOff>
                <xdr:row>10</xdr:row>
                <xdr:rowOff>0</xdr:rowOff>
              </from>
              <to>
                <xdr:col>4</xdr:col>
                <xdr:colOff>304800</xdr:colOff>
                <xdr:row>14</xdr:row>
                <xdr:rowOff>38100</xdr:rowOff>
              </to>
            </anchor>
          </objectPr>
        </oleObject>
      </mc:Choice>
      <mc:Fallback>
        <oleObject progId="Acrobat Document" dvAspect="DVASPECT_ICON" shapeId="5734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F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4569831</v>
      </c>
      <c r="C8" s="1813">
        <f>'Acct Summary 7-8'!D8</f>
        <v>460225</v>
      </c>
      <c r="D8" s="1813">
        <f>'Acct Summary 7-8'!F8</f>
        <v>206095</v>
      </c>
      <c r="E8" s="1813">
        <f>'Acct Summary 7-8'!I8</f>
        <v>38204</v>
      </c>
      <c r="F8" s="1813">
        <f>SUM(B8:E8)</f>
        <v>5274355</v>
      </c>
    </row>
    <row r="9" spans="1:8" s="858" customFormat="1" ht="14.25" customHeight="1" thickBot="1" x14ac:dyDescent="0.25">
      <c r="A9" s="857" t="s">
        <v>1353</v>
      </c>
      <c r="B9" s="1814">
        <f>'Acct Summary 7-8'!C17</f>
        <v>4457738</v>
      </c>
      <c r="C9" s="1814">
        <f>'Acct Summary 7-8'!D17</f>
        <v>434248</v>
      </c>
      <c r="D9" s="1814">
        <f>'Acct Summary 7-8'!F17</f>
        <v>257519</v>
      </c>
      <c r="E9" s="1813"/>
      <c r="F9" s="1813">
        <f>SUM(B9:E9)</f>
        <v>5149505</v>
      </c>
    </row>
    <row r="10" spans="1:8" s="858" customFormat="1" ht="14.25" thickTop="1" thickBot="1" x14ac:dyDescent="0.25">
      <c r="A10" s="859" t="s">
        <v>1354</v>
      </c>
      <c r="B10" s="1815">
        <f>(B8-B9)</f>
        <v>112093</v>
      </c>
      <c r="C10" s="1815">
        <f>(C8-C9)</f>
        <v>25977</v>
      </c>
      <c r="D10" s="1815">
        <f>(D8-D9)</f>
        <v>-51424</v>
      </c>
      <c r="E10" s="1814">
        <f>(E8-E9)</f>
        <v>38204</v>
      </c>
      <c r="F10" s="1816">
        <f>SUM(F8-F9)</f>
        <v>124850</v>
      </c>
    </row>
    <row r="11" spans="1:8" s="858" customFormat="1" ht="14.25" thickTop="1" thickBot="1" x14ac:dyDescent="0.25">
      <c r="A11" s="860" t="s">
        <v>1903</v>
      </c>
      <c r="B11" s="1817">
        <f>'Acct Summary 7-8'!C81</f>
        <v>381940</v>
      </c>
      <c r="C11" s="1817">
        <f>'Acct Summary 7-8'!D81</f>
        <v>339360</v>
      </c>
      <c r="D11" s="1817">
        <f>'Acct Summary 7-8'!F81</f>
        <v>-4681</v>
      </c>
      <c r="E11" s="1817">
        <f>'Acct Summary 7-8'!I81</f>
        <v>849629</v>
      </c>
      <c r="F11" s="1818">
        <f>SUM(B11:E11)</f>
        <v>1566248</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D63" sqref="D6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26034328024</v>
      </c>
      <c r="E2" s="1542">
        <v>2020</v>
      </c>
      <c r="F2" s="1542">
        <v>1</v>
      </c>
      <c r="G2" s="1899">
        <v>101000300</v>
      </c>
    </row>
    <row r="3" spans="1:7" ht="15" x14ac:dyDescent="0.25">
      <c r="A3" t="s">
        <v>950</v>
      </c>
      <c r="B3" s="135" t="str">
        <f>COVER!A15</f>
        <v>Hancock</v>
      </c>
      <c r="E3" s="1830" t="s">
        <v>1971</v>
      </c>
      <c r="F3" s="1830" t="s">
        <v>1970</v>
      </c>
      <c r="G3" s="1899">
        <v>101000400</v>
      </c>
    </row>
    <row r="4" spans="1:7" ht="15" x14ac:dyDescent="0.25">
      <c r="A4" t="s">
        <v>1000</v>
      </c>
      <c r="B4" s="135" t="str">
        <f>COVER!A17</f>
        <v xml:space="preserve"> Hamilton CCSD 328</v>
      </c>
      <c r="E4" s="1828">
        <v>44119</v>
      </c>
      <c r="F4" s="1829">
        <v>44151</v>
      </c>
      <c r="G4" s="1899">
        <v>101000600</v>
      </c>
    </row>
    <row r="5" spans="1:7" ht="15" x14ac:dyDescent="0.25">
      <c r="A5" t="s">
        <v>699</v>
      </c>
      <c r="B5" s="135" t="str">
        <f>COVER!A38</f>
        <v>Joseph A. Yurko</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John Meixner</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066-004856</v>
      </c>
      <c r="G15" s="1899">
        <v>402100400</v>
      </c>
    </row>
    <row r="16" spans="1:7" ht="15" x14ac:dyDescent="0.25">
      <c r="A16" t="s">
        <v>419</v>
      </c>
      <c r="B16" s="135" t="str">
        <f>COVER!T13</f>
        <v>Dennis G Koch &amp; Associates LLC</v>
      </c>
      <c r="G16" s="1899">
        <v>402100600</v>
      </c>
    </row>
    <row r="17" spans="1:7" ht="15" x14ac:dyDescent="0.25">
      <c r="A17" t="s">
        <v>878</v>
      </c>
      <c r="B17" s="135" t="str">
        <f>COVER!T15</f>
        <v>Dennis G Koch</v>
      </c>
      <c r="G17" s="1899">
        <v>402100800</v>
      </c>
    </row>
    <row r="18" spans="1:7" ht="15" x14ac:dyDescent="0.25">
      <c r="A18" t="s">
        <v>1140</v>
      </c>
      <c r="B18" s="135" t="str">
        <f>COVER!T17</f>
        <v>1706 N 16th Street</v>
      </c>
      <c r="G18" s="1899">
        <v>102200300</v>
      </c>
    </row>
    <row r="19" spans="1:7" ht="15" x14ac:dyDescent="0.25">
      <c r="A19" t="s">
        <v>880</v>
      </c>
      <c r="B19" s="135" t="str">
        <f>COVER!T25</f>
        <v>dgkoch@dgkochcpa.com</v>
      </c>
      <c r="G19" s="1899">
        <v>102200400</v>
      </c>
    </row>
    <row r="20" spans="1:7" ht="15" x14ac:dyDescent="0.25">
      <c r="A20" t="s">
        <v>881</v>
      </c>
      <c r="B20" s="135" t="str">
        <f>COVER!T19</f>
        <v>Quincy</v>
      </c>
      <c r="G20" s="1899">
        <v>102200600</v>
      </c>
    </row>
    <row r="21" spans="1:7" ht="15" x14ac:dyDescent="0.25">
      <c r="A21" t="s">
        <v>476</v>
      </c>
      <c r="B21" s="135" t="str">
        <f>COVER!X19</f>
        <v>IL</v>
      </c>
      <c r="G21" s="1899">
        <v>102200800</v>
      </c>
    </row>
    <row r="22" spans="1:7" ht="15" x14ac:dyDescent="0.25">
      <c r="A22" t="s">
        <v>882</v>
      </c>
      <c r="B22" s="135">
        <f>COVER!Z19</f>
        <v>62301</v>
      </c>
      <c r="G22" s="1899">
        <v>102300300</v>
      </c>
    </row>
    <row r="23" spans="1:7" ht="15" x14ac:dyDescent="0.25">
      <c r="A23" t="s">
        <v>1142</v>
      </c>
      <c r="B23" s="135" t="str">
        <f>COVER!T21</f>
        <v>217-224-8484</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381940</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381940</v>
      </c>
      <c r="D92" s="2" t="str">
        <f t="shared" si="0"/>
        <v>Error?</v>
      </c>
      <c r="G92" s="1899">
        <v>102640600</v>
      </c>
    </row>
    <row r="93" spans="1:7" ht="15" x14ac:dyDescent="0.25">
      <c r="A93" s="5">
        <v>32</v>
      </c>
      <c r="B93" s="1832">
        <f>'Assets-Liab 5-6'!C41</f>
        <v>381940</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339360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339360</v>
      </c>
      <c r="D123" s="2" t="str">
        <f t="shared" si="0"/>
        <v>Error?</v>
      </c>
      <c r="G123" s="1899">
        <v>203000400</v>
      </c>
    </row>
    <row r="124" spans="1:7" ht="15" x14ac:dyDescent="0.25">
      <c r="A124" s="5">
        <v>63</v>
      </c>
      <c r="B124" s="1832">
        <f>'Assets-Liab 5-6'!D41</f>
        <v>339360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17472</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17472</v>
      </c>
      <c r="D140" s="2" t="str">
        <f t="shared" si="1"/>
        <v>Error?</v>
      </c>
    </row>
    <row r="141" spans="1:7" x14ac:dyDescent="0.2">
      <c r="A141" s="5">
        <v>80</v>
      </c>
      <c r="B141" s="1832">
        <f>'Assets-Liab 5-6'!E41</f>
        <v>17472</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22311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26992</v>
      </c>
      <c r="C169" s="2" t="s">
        <v>569</v>
      </c>
      <c r="D169" s="2" t="str">
        <f t="shared" si="1"/>
        <v>Error?</v>
      </c>
    </row>
    <row r="170" spans="1:4" x14ac:dyDescent="0.2">
      <c r="A170" s="5">
        <v>109</v>
      </c>
      <c r="B170" s="1832">
        <f>'Assets-Liab 5-6'!F39</f>
        <v>-4681</v>
      </c>
      <c r="D170" s="2" t="str">
        <f t="shared" si="1"/>
        <v>Error?</v>
      </c>
    </row>
    <row r="171" spans="1:4" x14ac:dyDescent="0.2">
      <c r="A171" s="5">
        <v>110</v>
      </c>
      <c r="B171" s="1832">
        <f>'Assets-Liab 5-6'!F41</f>
        <v>22311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235956</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235956</v>
      </c>
      <c r="D189" s="2" t="str">
        <f t="shared" si="1"/>
        <v>Error?</v>
      </c>
    </row>
    <row r="190" spans="1:4" x14ac:dyDescent="0.2">
      <c r="A190" s="5">
        <v>129</v>
      </c>
      <c r="B190" s="1832">
        <f>'Assets-Liab 5-6'!G41</f>
        <v>235956</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306843</v>
      </c>
      <c r="D273" s="2" t="str">
        <f t="shared" si="3"/>
        <v>Error?</v>
      </c>
    </row>
    <row r="274" spans="1:4" x14ac:dyDescent="0.2">
      <c r="A274" s="5">
        <v>213</v>
      </c>
      <c r="B274" s="1832">
        <f>'Assets-Liab 5-6'!M17</f>
        <v>2778025</v>
      </c>
      <c r="D274" s="2" t="str">
        <f t="shared" si="3"/>
        <v>Error?</v>
      </c>
    </row>
    <row r="275" spans="1:4" x14ac:dyDescent="0.2">
      <c r="A275" s="5">
        <v>214</v>
      </c>
      <c r="B275" s="1832">
        <f>'Assets-Liab 5-6'!M18</f>
        <v>13994</v>
      </c>
      <c r="D275" s="2" t="str">
        <f t="shared" si="3"/>
        <v>Error?</v>
      </c>
    </row>
    <row r="276" spans="1:4" x14ac:dyDescent="0.2">
      <c r="A276" s="5">
        <v>215</v>
      </c>
      <c r="B276" s="1832">
        <f>'Assets-Liab 5-6'!M19</f>
        <v>261704</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4345895</v>
      </c>
      <c r="C279" s="2" t="s">
        <v>569</v>
      </c>
      <c r="D279" s="2" t="str">
        <f t="shared" si="3"/>
        <v>Error?</v>
      </c>
    </row>
    <row r="280" spans="1:4" x14ac:dyDescent="0.2">
      <c r="A280" s="5">
        <v>219</v>
      </c>
      <c r="B280" s="1832">
        <f>'Assets-Liab 5-6'!M40</f>
        <v>4345895</v>
      </c>
      <c r="D280" s="2" t="str">
        <f t="shared" si="3"/>
        <v>Error?</v>
      </c>
    </row>
    <row r="281" spans="1:4" x14ac:dyDescent="0.2">
      <c r="A281" s="5">
        <v>220</v>
      </c>
      <c r="B281" s="1832">
        <f>'Assets-Liab 5-6'!M41</f>
        <v>4345895</v>
      </c>
      <c r="C281" s="2" t="s">
        <v>569</v>
      </c>
      <c r="D281" s="2" t="str">
        <f t="shared" si="3"/>
        <v>Error?</v>
      </c>
    </row>
    <row r="282" spans="1:4" x14ac:dyDescent="0.2">
      <c r="A282" s="5">
        <v>221</v>
      </c>
      <c r="B282" s="1832">
        <f>'Assets-Liab 5-6'!N21</f>
        <v>17472</v>
      </c>
      <c r="D282" s="2" t="str">
        <f t="shared" si="3"/>
        <v>Error?</v>
      </c>
    </row>
    <row r="283" spans="1:4" x14ac:dyDescent="0.2">
      <c r="A283" s="5">
        <v>222</v>
      </c>
      <c r="B283" s="1832">
        <f>'Assets-Liab 5-6'!N22</f>
        <v>7102528</v>
      </c>
      <c r="D283" s="2" t="str">
        <f t="shared" si="3"/>
        <v>Error?</v>
      </c>
    </row>
    <row r="284" spans="1:4" x14ac:dyDescent="0.2">
      <c r="A284" s="5">
        <v>223</v>
      </c>
      <c r="B284" s="1832">
        <f>'Assets-Liab 5-6'!N23</f>
        <v>7120000</v>
      </c>
      <c r="C284" s="2" t="s">
        <v>569</v>
      </c>
      <c r="D284" s="2" t="str">
        <f t="shared" si="3"/>
        <v>Error?</v>
      </c>
    </row>
    <row r="285" spans="1:4" x14ac:dyDescent="0.2">
      <c r="A285" s="5">
        <v>224</v>
      </c>
      <c r="B285" s="1832">
        <f>'Assets-Liab 5-6'!N36</f>
        <v>7120000</v>
      </c>
      <c r="D285" s="2" t="str">
        <f t="shared" si="3"/>
        <v>Error?</v>
      </c>
    </row>
    <row r="286" spans="1:4" x14ac:dyDescent="0.2">
      <c r="A286" s="10">
        <v>225</v>
      </c>
      <c r="B286" s="1832"/>
      <c r="D286" s="2" t="str">
        <f t="shared" si="3"/>
        <v>OK</v>
      </c>
    </row>
    <row r="287" spans="1:4" x14ac:dyDescent="0.2">
      <c r="A287" s="5">
        <v>226</v>
      </c>
      <c r="B287" s="1832">
        <f>'Assets-Liab 5-6'!N37</f>
        <v>7120000</v>
      </c>
      <c r="C287" s="2" t="s">
        <v>569</v>
      </c>
      <c r="D287" s="2" t="str">
        <f t="shared" si="3"/>
        <v>Error?</v>
      </c>
    </row>
    <row r="288" spans="1:4" x14ac:dyDescent="0.2">
      <c r="A288" s="5">
        <v>227</v>
      </c>
      <c r="B288" s="1832">
        <f>'Assets-Liab 5-6'!N41</f>
        <v>7120000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1490171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56832</v>
      </c>
      <c r="D717" s="2" t="str">
        <f t="shared" si="10"/>
        <v>Error?</v>
      </c>
    </row>
    <row r="718" spans="1:4" x14ac:dyDescent="0.2">
      <c r="A718" s="5">
        <v>657</v>
      </c>
      <c r="B718" s="1832">
        <f>'Expenditures 15-22'!C14</f>
        <v>117069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2320783</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49730</v>
      </c>
      <c r="D722" s="2" t="str">
        <f t="shared" si="10"/>
        <v>Error?</v>
      </c>
    </row>
    <row r="723" spans="1:4" x14ac:dyDescent="0.2">
      <c r="A723" s="5">
        <v>662</v>
      </c>
      <c r="B723" s="1832">
        <f>'Expenditures 15-22'!C38</f>
        <v>18712</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68442</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85389</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85389</v>
      </c>
      <c r="C731" s="2" t="s">
        <v>569</v>
      </c>
      <c r="D731" s="2" t="str">
        <f t="shared" si="10"/>
        <v>Error?</v>
      </c>
    </row>
    <row r="732" spans="1:4" x14ac:dyDescent="0.2">
      <c r="A732" s="5">
        <v>671</v>
      </c>
      <c r="B732" s="1832">
        <f>'Expenditures 15-22'!C49</f>
        <v>2500</v>
      </c>
      <c r="D732" s="2" t="str">
        <f t="shared" si="10"/>
        <v>Error?</v>
      </c>
    </row>
    <row r="733" spans="1:4" x14ac:dyDescent="0.2">
      <c r="A733" s="5">
        <v>672</v>
      </c>
      <c r="B733" s="1832">
        <f>'Expenditures 15-22'!C50</f>
        <v>157095</v>
      </c>
      <c r="D733" s="2" t="str">
        <f t="shared" si="10"/>
        <v>Error?</v>
      </c>
    </row>
    <row r="734" spans="1:4" x14ac:dyDescent="0.2">
      <c r="A734" s="5">
        <v>673</v>
      </c>
      <c r="B734" s="1832">
        <f>'Expenditures 15-22'!C53</f>
        <v>159595</v>
      </c>
      <c r="C734" s="2" t="s">
        <v>569</v>
      </c>
      <c r="D734" s="2" t="str">
        <f t="shared" si="10"/>
        <v>Error?</v>
      </c>
    </row>
    <row r="735" spans="1:4" x14ac:dyDescent="0.2">
      <c r="A735" s="5">
        <v>674</v>
      </c>
      <c r="B735" s="1832">
        <f>'Expenditures 15-22'!C55</f>
        <v>244734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244734</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39715</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114719</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154434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712594</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3033377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325560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10087</v>
      </c>
      <c r="D775" s="2" t="str">
        <f t="shared" si="11"/>
        <v>Error?</v>
      </c>
    </row>
    <row r="776" spans="1:4" x14ac:dyDescent="0.2">
      <c r="A776" s="5">
        <v>715</v>
      </c>
      <c r="B776" s="1832">
        <f>'Expenditures 15-22'!D14</f>
        <v>2212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495697</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10136</v>
      </c>
      <c r="D780" s="2" t="str">
        <f t="shared" si="11"/>
        <v>Error?</v>
      </c>
    </row>
    <row r="781" spans="1:4" x14ac:dyDescent="0.2">
      <c r="A781" s="5">
        <v>720</v>
      </c>
      <c r="B781" s="1832">
        <f>'Expenditures 15-22'!D38</f>
        <v>8658</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18794</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16776</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16776</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31888</v>
      </c>
      <c r="D791" s="2" t="str">
        <f t="shared" si="11"/>
        <v>Error?</v>
      </c>
    </row>
    <row r="792" spans="1:4" x14ac:dyDescent="0.2">
      <c r="A792" s="5">
        <v>731</v>
      </c>
      <c r="B792" s="1832">
        <f>'Expenditures 15-22'!D53</f>
        <v>31888</v>
      </c>
      <c r="C792" s="2" t="s">
        <v>569</v>
      </c>
      <c r="D792" s="2" t="str">
        <f t="shared" si="11"/>
        <v>Error?</v>
      </c>
    </row>
    <row r="793" spans="1:4" x14ac:dyDescent="0.2">
      <c r="A793" s="5">
        <v>732</v>
      </c>
      <c r="B793" s="1832">
        <f>'Expenditures 15-22'!D55</f>
        <v>31812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31812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8388</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41940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50328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149598</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645295</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35794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20374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56386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45</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45</v>
      </c>
      <c r="C843" s="2" t="s">
        <v>569</v>
      </c>
      <c r="D843" s="2" t="str">
        <f t="shared" si="12"/>
        <v>Error?</v>
      </c>
    </row>
    <row r="844" spans="1:4" x14ac:dyDescent="0.2">
      <c r="A844" s="5">
        <v>783</v>
      </c>
      <c r="B844" s="1832">
        <f>'Expenditures 15-22'!E44</f>
        <v>4442</v>
      </c>
      <c r="D844" s="2" t="str">
        <f t="shared" si="12"/>
        <v>Error?</v>
      </c>
    </row>
    <row r="845" spans="1:4" x14ac:dyDescent="0.2">
      <c r="A845" s="5">
        <v>784</v>
      </c>
      <c r="B845" s="1832">
        <f>'Expenditures 15-22'!E45</f>
        <v>25641</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30083</v>
      </c>
      <c r="C847" s="2" t="s">
        <v>569</v>
      </c>
      <c r="D847" s="2" t="str">
        <f t="shared" si="12"/>
        <v>Error?</v>
      </c>
    </row>
    <row r="848" spans="1:4" x14ac:dyDescent="0.2">
      <c r="A848" s="5">
        <v>787</v>
      </c>
      <c r="B848" s="1832">
        <f>'Expenditures 15-22'!E49</f>
        <v>8397</v>
      </c>
      <c r="D848" s="2" t="str">
        <f t="shared" si="12"/>
        <v>Error?</v>
      </c>
    </row>
    <row r="849" spans="1:4" x14ac:dyDescent="0.2">
      <c r="A849" s="5">
        <v>788</v>
      </c>
      <c r="B849" s="1832">
        <f>'Expenditures 15-22'!E50</f>
        <v>4424</v>
      </c>
      <c r="D849" s="2" t="str">
        <f t="shared" si="12"/>
        <v>Error?</v>
      </c>
    </row>
    <row r="850" spans="1:4" x14ac:dyDescent="0.2">
      <c r="A850" s="5">
        <v>789</v>
      </c>
      <c r="B850" s="1832">
        <f>'Expenditures 15-22'!E53</f>
        <v>12821</v>
      </c>
      <c r="C850" s="2" t="s">
        <v>569</v>
      </c>
      <c r="D850" s="2" t="str">
        <f t="shared" si="12"/>
        <v>Error?</v>
      </c>
    </row>
    <row r="851" spans="1:4" x14ac:dyDescent="0.2">
      <c r="A851" s="5">
        <v>790</v>
      </c>
      <c r="B851" s="1832">
        <f>'Expenditures 15-22'!E55</f>
        <v>309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309</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49981</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2864</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52845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96103</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413883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42776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20276</v>
      </c>
      <c r="D891" s="2" t="str">
        <f t="shared" si="12"/>
        <v>Error?</v>
      </c>
    </row>
    <row r="892" spans="1:4" x14ac:dyDescent="0.2">
      <c r="A892" s="5">
        <v>831</v>
      </c>
      <c r="B892" s="1832">
        <f>'Expenditures 15-22'!F14</f>
        <v>28122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102491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564</v>
      </c>
      <c r="D896" s="2" t="str">
        <f t="shared" si="13"/>
        <v>Error?</v>
      </c>
    </row>
    <row r="897" spans="1:4" x14ac:dyDescent="0.2">
      <c r="A897" s="5">
        <v>836</v>
      </c>
      <c r="B897" s="1832">
        <f>'Expenditures 15-22'!F38</f>
        <v>134</v>
      </c>
      <c r="D897" s="2" t="str">
        <f t="shared" si="13"/>
        <v>Error?</v>
      </c>
    </row>
    <row r="898" spans="1:4" x14ac:dyDescent="0.2">
      <c r="A898" s="5">
        <v>837</v>
      </c>
      <c r="B898" s="1832">
        <f>'Expenditures 15-22'!F39</f>
        <v>1382</v>
      </c>
      <c r="D898" s="2" t="str">
        <f t="shared" si="13"/>
        <v>Error?</v>
      </c>
    </row>
    <row r="899" spans="1:4" x14ac:dyDescent="0.2">
      <c r="A899" s="5">
        <v>838</v>
      </c>
      <c r="B899" s="1832">
        <f>'Expenditures 15-22'!F40</f>
        <v>140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2220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12974</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12974</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3228</v>
      </c>
      <c r="D907" s="2" t="str">
        <f t="shared" si="13"/>
        <v>Error?</v>
      </c>
    </row>
    <row r="908" spans="1:4" x14ac:dyDescent="0.2">
      <c r="A908" s="5">
        <v>847</v>
      </c>
      <c r="B908" s="1832">
        <f>'Expenditures 15-22'!F53</f>
        <v>3228</v>
      </c>
      <c r="C908" s="2" t="s">
        <v>569</v>
      </c>
      <c r="D908" s="2" t="str">
        <f t="shared" si="13"/>
        <v>Error?</v>
      </c>
    </row>
    <row r="909" spans="1:4" x14ac:dyDescent="0.2">
      <c r="A909" s="5">
        <v>848</v>
      </c>
      <c r="B909" s="1832">
        <f>'Expenditures 15-22'!F55</f>
        <v>6433</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6433</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1165</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109443</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110608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135463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237954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32428</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41884</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17108</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17108</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7023</v>
      </c>
      <c r="D965" s="2" t="str">
        <f t="shared" si="14"/>
        <v>Error?</v>
      </c>
    </row>
    <row r="966" spans="1:4" x14ac:dyDescent="0.2">
      <c r="A966" s="5">
        <v>905</v>
      </c>
      <c r="B966" s="1832">
        <f>'Expenditures 15-22'!G53</f>
        <v>7023</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5643</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5643</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29774</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71658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983</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983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6254</v>
      </c>
      <c r="D1022" s="2" t="str">
        <f t="shared" si="14"/>
        <v>Error?</v>
      </c>
    </row>
    <row r="1023" spans="1:4" x14ac:dyDescent="0.2">
      <c r="A1023" s="5">
        <v>962</v>
      </c>
      <c r="B1023" s="1832">
        <f>'Expenditures 15-22'!H50</f>
        <v>1102</v>
      </c>
      <c r="D1023" s="2" t="str">
        <f t="shared" ref="D1023:D1086" si="15">IF(ISBLANK(B1023),"OK",IF(A1023-B1023=0,"OK","Error?"))</f>
        <v>Error?</v>
      </c>
    </row>
    <row r="1024" spans="1:4" x14ac:dyDescent="0.2">
      <c r="A1024" s="5">
        <v>963</v>
      </c>
      <c r="B1024" s="1832">
        <f>'Expenditures 15-22'!H53</f>
        <v>7356</v>
      </c>
      <c r="C1024" s="2" t="s">
        <v>569</v>
      </c>
      <c r="D1024" s="2" t="str">
        <f t="shared" si="15"/>
        <v>Error?</v>
      </c>
    </row>
    <row r="1025" spans="1:4" x14ac:dyDescent="0.2">
      <c r="A1025" s="5">
        <v>964</v>
      </c>
      <c r="B1025" s="1832">
        <f>'Expenditures 15-22'!H55</f>
        <v>769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769</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8125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46463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55571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1926729</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87195</v>
      </c>
      <c r="C1105" s="2" t="s">
        <v>569</v>
      </c>
      <c r="D1105" s="2" t="str">
        <f t="shared" si="16"/>
        <v>Error?</v>
      </c>
    </row>
    <row r="1106" spans="1:4" x14ac:dyDescent="0.2">
      <c r="A1106" s="5">
        <v>1045</v>
      </c>
      <c r="B1106" s="1832">
        <f>'Expenditures 15-22'!K14</f>
        <v>168760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3018224</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60430</v>
      </c>
      <c r="C1110" s="2" t="s">
        <v>569</v>
      </c>
      <c r="D1110" s="2" t="str">
        <f t="shared" si="16"/>
        <v>Error?</v>
      </c>
    </row>
    <row r="1111" spans="1:4" x14ac:dyDescent="0.2">
      <c r="A1111" s="5">
        <v>1050</v>
      </c>
      <c r="B1111" s="1832">
        <f>'Expenditures 15-22'!K38</f>
        <v>27549</v>
      </c>
      <c r="C1111" s="2" t="s">
        <v>569</v>
      </c>
      <c r="D1111" s="2" t="str">
        <f t="shared" si="16"/>
        <v>Error?</v>
      </c>
    </row>
    <row r="1112" spans="1:4" x14ac:dyDescent="0.2">
      <c r="A1112" s="5">
        <v>1051</v>
      </c>
      <c r="B1112" s="1832">
        <f>'Expenditures 15-22'!K39</f>
        <v>1382</v>
      </c>
      <c r="C1112" s="2" t="s">
        <v>569</v>
      </c>
      <c r="D1112" s="2" t="str">
        <f t="shared" si="16"/>
        <v>Error?</v>
      </c>
    </row>
    <row r="1113" spans="1:4" x14ac:dyDescent="0.2">
      <c r="A1113" s="5">
        <v>1052</v>
      </c>
      <c r="B1113" s="1832">
        <f>'Expenditures 15-22'!K40</f>
        <v>140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89501</v>
      </c>
      <c r="C1115" s="2" t="s">
        <v>569</v>
      </c>
      <c r="D1115" s="2" t="str">
        <f t="shared" si="16"/>
        <v>Error?</v>
      </c>
    </row>
    <row r="1116" spans="1:4" x14ac:dyDescent="0.2">
      <c r="A1116" s="5">
        <v>1055</v>
      </c>
      <c r="B1116" s="1832">
        <f>'Expenditures 15-22'!K44</f>
        <v>4442</v>
      </c>
      <c r="C1116" s="2" t="s">
        <v>569</v>
      </c>
      <c r="D1116" s="2" t="str">
        <f t="shared" si="16"/>
        <v>Error?</v>
      </c>
    </row>
    <row r="1117" spans="1:4" x14ac:dyDescent="0.2">
      <c r="A1117" s="5">
        <v>1056</v>
      </c>
      <c r="B1117" s="1832">
        <f>'Expenditures 15-22'!K45</f>
        <v>157888</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162330</v>
      </c>
      <c r="C1119" s="2" t="s">
        <v>569</v>
      </c>
      <c r="D1119" s="2" t="str">
        <f t="shared" si="16"/>
        <v>Error?</v>
      </c>
    </row>
    <row r="1120" spans="1:4" x14ac:dyDescent="0.2">
      <c r="A1120" s="5">
        <v>1059</v>
      </c>
      <c r="B1120" s="1832">
        <f>'Expenditures 15-22'!K49</f>
        <v>17151</v>
      </c>
      <c r="C1120" s="2" t="s">
        <v>569</v>
      </c>
      <c r="D1120" s="2" t="str">
        <f t="shared" si="16"/>
        <v>Error?</v>
      </c>
    </row>
    <row r="1121" spans="1:4" x14ac:dyDescent="0.2">
      <c r="A1121" s="5">
        <v>1060</v>
      </c>
      <c r="B1121" s="1832">
        <f>'Expenditures 15-22'!K50</f>
        <v>204760</v>
      </c>
      <c r="C1121" s="2" t="s">
        <v>569</v>
      </c>
      <c r="D1121" s="2" t="str">
        <f t="shared" si="16"/>
        <v>Error?</v>
      </c>
    </row>
    <row r="1122" spans="1:4" x14ac:dyDescent="0.2">
      <c r="A1122" s="5">
        <v>1061</v>
      </c>
      <c r="B1122" s="1832">
        <f>'Expenditures 15-22'!K53</f>
        <v>221911</v>
      </c>
      <c r="C1122" s="2" t="s">
        <v>569</v>
      </c>
      <c r="D1122" s="2" t="str">
        <f t="shared" si="16"/>
        <v>Error?</v>
      </c>
    </row>
    <row r="1123" spans="1:4" x14ac:dyDescent="0.2">
      <c r="A1123" s="5">
        <v>1062</v>
      </c>
      <c r="B1123" s="1832">
        <f>'Expenditures 15-22'!K55</f>
        <v>284057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284057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99249</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274609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373858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1131657</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307857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4457738</v>
      </c>
      <c r="C1152" s="2" t="s">
        <v>569</v>
      </c>
      <c r="D1152" s="2" t="str">
        <f t="shared" si="17"/>
        <v>Error?</v>
      </c>
    </row>
    <row r="1153" spans="1:4" x14ac:dyDescent="0.2">
      <c r="A1153" s="5">
        <v>1092</v>
      </c>
      <c r="B1153" s="1832">
        <f>'Expenditures 15-22'!K115</f>
        <v>112093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143481</v>
      </c>
      <c r="D1221" s="2" t="str">
        <f t="shared" si="18"/>
        <v>Error?</v>
      </c>
    </row>
    <row r="1222" spans="1:4" x14ac:dyDescent="0.2">
      <c r="A1222" s="10">
        <v>1161</v>
      </c>
      <c r="B1222" s="1832"/>
      <c r="D1222" s="2" t="str">
        <f t="shared" si="18"/>
        <v>OK</v>
      </c>
    </row>
    <row r="1223" spans="1:4" x14ac:dyDescent="0.2">
      <c r="A1223" s="5">
        <v>1162</v>
      </c>
      <c r="B1223" s="1832">
        <f>'Expenditures 15-22'!C127</f>
        <v>143481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143481</v>
      </c>
      <c r="C1225" s="2" t="s">
        <v>569</v>
      </c>
      <c r="D1225" s="2" t="str">
        <f t="shared" si="18"/>
        <v>Error?</v>
      </c>
    </row>
    <row r="1226" spans="1:4" x14ac:dyDescent="0.2">
      <c r="A1226" s="5">
        <v>1165</v>
      </c>
      <c r="B1226" s="1832">
        <f>'Expenditures 15-22'!C151</f>
        <v>143481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25164</v>
      </c>
      <c r="D1229" s="2" t="str">
        <f t="shared" si="18"/>
        <v>Error?</v>
      </c>
    </row>
    <row r="1230" spans="1:4" x14ac:dyDescent="0.2">
      <c r="A1230" s="10">
        <v>1169</v>
      </c>
      <c r="B1230" s="1832"/>
      <c r="D1230" s="2" t="str">
        <f t="shared" si="18"/>
        <v>OK</v>
      </c>
    </row>
    <row r="1231" spans="1:4" x14ac:dyDescent="0.2">
      <c r="A1231" s="5">
        <v>1170</v>
      </c>
      <c r="B1231" s="1832">
        <f>'Expenditures 15-22'!D127</f>
        <v>25164</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25164</v>
      </c>
      <c r="C1233" s="2" t="s">
        <v>569</v>
      </c>
      <c r="D1233" s="2" t="str">
        <f t="shared" si="18"/>
        <v>Error?</v>
      </c>
    </row>
    <row r="1234" spans="1:4" x14ac:dyDescent="0.2">
      <c r="A1234" s="5">
        <v>1173</v>
      </c>
      <c r="B1234" s="1832">
        <f>'Expenditures 15-22'!D151</f>
        <v>25164</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93296</v>
      </c>
      <c r="D1237" s="2" t="str">
        <f t="shared" si="18"/>
        <v>Error?</v>
      </c>
    </row>
    <row r="1238" spans="1:4" x14ac:dyDescent="0.2">
      <c r="A1238" s="10">
        <v>1177</v>
      </c>
      <c r="B1238" s="1832"/>
      <c r="D1238" s="2" t="str">
        <f t="shared" si="18"/>
        <v>OK</v>
      </c>
    </row>
    <row r="1239" spans="1:4" x14ac:dyDescent="0.2">
      <c r="A1239" s="5">
        <v>1178</v>
      </c>
      <c r="B1239" s="1832">
        <f>'Expenditures 15-22'!E127</f>
        <v>93296</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93296</v>
      </c>
      <c r="C1241" s="2" t="s">
        <v>569</v>
      </c>
      <c r="D1241" s="2" t="str">
        <f t="shared" si="18"/>
        <v>Error?</v>
      </c>
    </row>
    <row r="1242" spans="1:4" x14ac:dyDescent="0.2">
      <c r="A1242" s="5">
        <v>1181</v>
      </c>
      <c r="B1242" s="1832">
        <f>'Expenditures 15-22'!E151</f>
        <v>93296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165802</v>
      </c>
      <c r="D1245" s="2" t="str">
        <f t="shared" si="18"/>
        <v>Error?</v>
      </c>
    </row>
    <row r="1246" spans="1:4" x14ac:dyDescent="0.2">
      <c r="A1246" s="10">
        <v>1185</v>
      </c>
      <c r="B1246" s="1832"/>
      <c r="D1246" s="2" t="str">
        <f t="shared" si="18"/>
        <v>OK</v>
      </c>
    </row>
    <row r="1247" spans="1:4" x14ac:dyDescent="0.2">
      <c r="A1247" s="5">
        <v>1186</v>
      </c>
      <c r="B1247" s="1832">
        <f>'Expenditures 15-22'!F127</f>
        <v>165802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165802</v>
      </c>
      <c r="C1249" s="2" t="s">
        <v>569</v>
      </c>
      <c r="D1249" s="2" t="str">
        <f t="shared" si="18"/>
        <v>Error?</v>
      </c>
    </row>
    <row r="1250" spans="1:4" x14ac:dyDescent="0.2">
      <c r="A1250" s="5">
        <v>1189</v>
      </c>
      <c r="B1250" s="1832">
        <f>'Expenditures 15-22'!F151</f>
        <v>165802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4467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4467</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4467</v>
      </c>
      <c r="C1258" s="2" t="s">
        <v>569</v>
      </c>
      <c r="D1258" s="2" t="str">
        <f t="shared" si="18"/>
        <v>Error?</v>
      </c>
    </row>
    <row r="1259" spans="1:4" x14ac:dyDescent="0.2">
      <c r="A1259" s="5">
        <v>1198</v>
      </c>
      <c r="B1259" s="1832">
        <f>'Expenditures 15-22'!G151</f>
        <v>4467</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2038</v>
      </c>
      <c r="D1262" s="2" t="str">
        <f t="shared" si="18"/>
        <v>Error?</v>
      </c>
    </row>
    <row r="1263" spans="1:4" x14ac:dyDescent="0.2">
      <c r="A1263" s="10">
        <v>1202</v>
      </c>
      <c r="B1263" s="1832"/>
      <c r="D1263" s="2" t="str">
        <f t="shared" si="18"/>
        <v>OK</v>
      </c>
    </row>
    <row r="1264" spans="1:4" x14ac:dyDescent="0.2">
      <c r="A1264" s="5">
        <v>1203</v>
      </c>
      <c r="B1264" s="1832">
        <f>'Expenditures 15-22'!H127</f>
        <v>2038</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2038</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2038</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434248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434248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434248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434248</v>
      </c>
      <c r="C1288" s="2" t="s">
        <v>569</v>
      </c>
      <c r="D1288" s="2" t="str">
        <f t="shared" si="19"/>
        <v>Error?</v>
      </c>
    </row>
    <row r="1289" spans="1:4" x14ac:dyDescent="0.2">
      <c r="A1289" s="5">
        <v>1228</v>
      </c>
      <c r="B1289" s="1832">
        <f>'Expenditures 15-22'!K152</f>
        <v>25977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296770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250000</v>
      </c>
      <c r="D1315" s="2" t="str">
        <f t="shared" si="19"/>
        <v>Error?</v>
      </c>
    </row>
    <row r="1316" spans="1:4" x14ac:dyDescent="0.2">
      <c r="A1316" s="5">
        <v>1255</v>
      </c>
      <c r="B1316" s="1832">
        <f>'Expenditures 15-22'!H171</f>
        <v>318</v>
      </c>
      <c r="D1316" s="2" t="str">
        <f t="shared" si="19"/>
        <v>Error?</v>
      </c>
    </row>
    <row r="1317" spans="1:4" x14ac:dyDescent="0.2">
      <c r="A1317" s="5">
        <v>1256</v>
      </c>
      <c r="B1317" s="1832">
        <f>'Expenditures 15-22'!H172</f>
        <v>547088</v>
      </c>
      <c r="C1317" s="2" t="s">
        <v>569</v>
      </c>
      <c r="D1317" s="2" t="str">
        <f t="shared" si="19"/>
        <v>Error?</v>
      </c>
    </row>
    <row r="1318" spans="1:4" x14ac:dyDescent="0.2">
      <c r="A1318" s="5">
        <v>1257</v>
      </c>
      <c r="B1318" s="1832">
        <f>'Expenditures 15-22'!H174</f>
        <v>547088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296770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250000</v>
      </c>
      <c r="C1329" s="2" t="s">
        <v>569</v>
      </c>
      <c r="D1329" s="2" t="str">
        <f t="shared" si="19"/>
        <v>Error?</v>
      </c>
    </row>
    <row r="1330" spans="1:4" x14ac:dyDescent="0.2">
      <c r="A1330" s="5">
        <v>1269</v>
      </c>
      <c r="B1330" s="1832">
        <f>'Expenditures 15-22'!K171</f>
        <v>318</v>
      </c>
      <c r="C1330" s="2" t="s">
        <v>569</v>
      </c>
      <c r="D1330" s="2" t="str">
        <f t="shared" si="19"/>
        <v>Error?</v>
      </c>
    </row>
    <row r="1331" spans="1:4" x14ac:dyDescent="0.2">
      <c r="A1331" s="5">
        <v>1270</v>
      </c>
      <c r="B1331" s="1832">
        <f>'Expenditures 15-22'!K172</f>
        <v>547088</v>
      </c>
      <c r="C1331" s="2" t="s">
        <v>569</v>
      </c>
      <c r="D1331" s="2" t="str">
        <f t="shared" si="19"/>
        <v>Error?</v>
      </c>
    </row>
    <row r="1332" spans="1:4" x14ac:dyDescent="0.2">
      <c r="A1332" s="5">
        <v>1271</v>
      </c>
      <c r="B1332" s="1832">
        <f>'Expenditures 15-22'!K174</f>
        <v>547088</v>
      </c>
      <c r="C1332" s="2" t="s">
        <v>569</v>
      </c>
      <c r="D1332" s="2" t="str">
        <f t="shared" si="19"/>
        <v>Error?</v>
      </c>
    </row>
    <row r="1333" spans="1:4" x14ac:dyDescent="0.2">
      <c r="A1333" s="5">
        <v>1272</v>
      </c>
      <c r="B1333" s="1832">
        <f>'Expenditures 15-22'!K175</f>
        <v>11572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104229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104229</v>
      </c>
      <c r="C1339" s="2" t="s">
        <v>569</v>
      </c>
      <c r="D1339" s="2" t="str">
        <f t="shared" si="19"/>
        <v>Error?</v>
      </c>
    </row>
    <row r="1340" spans="1:4" x14ac:dyDescent="0.2">
      <c r="A1340" s="5">
        <v>1279</v>
      </c>
      <c r="B1340" s="1832">
        <f>'Expenditures 15-22'!C210</f>
        <v>104229</v>
      </c>
      <c r="C1340" s="2" t="s">
        <v>569</v>
      </c>
      <c r="D1340" s="2" t="str">
        <f t="shared" si="19"/>
        <v>Error?</v>
      </c>
    </row>
    <row r="1341" spans="1:4" x14ac:dyDescent="0.2">
      <c r="A1341" s="5">
        <v>1280</v>
      </c>
      <c r="B1341" s="1832">
        <f>'Expenditures 15-22'!D182</f>
        <v>9309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9309</v>
      </c>
      <c r="C1345" s="2" t="s">
        <v>569</v>
      </c>
      <c r="D1345" s="2" t="str">
        <f t="shared" si="20"/>
        <v>Error?</v>
      </c>
    </row>
    <row r="1346" spans="1:4" x14ac:dyDescent="0.2">
      <c r="A1346" s="5">
        <v>1285</v>
      </c>
      <c r="B1346" s="1832">
        <f>'Expenditures 15-22'!D210</f>
        <v>9309</v>
      </c>
      <c r="C1346" s="2" t="s">
        <v>569</v>
      </c>
      <c r="D1346" s="2" t="str">
        <f t="shared" si="20"/>
        <v>Error?</v>
      </c>
    </row>
    <row r="1347" spans="1:4" x14ac:dyDescent="0.2">
      <c r="A1347" s="5">
        <v>1286</v>
      </c>
      <c r="B1347" s="1832">
        <f>'Expenditures 15-22'!E182</f>
        <v>108782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108782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108782</v>
      </c>
      <c r="C1353" s="2" t="s">
        <v>569</v>
      </c>
      <c r="D1353" s="2" t="str">
        <f t="shared" si="20"/>
        <v>Error?</v>
      </c>
    </row>
    <row r="1354" spans="1:4" x14ac:dyDescent="0.2">
      <c r="A1354" s="5">
        <v>1293</v>
      </c>
      <c r="B1354" s="1832">
        <f>'Expenditures 15-22'!F182</f>
        <v>34497</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34497</v>
      </c>
      <c r="C1358" s="2" t="s">
        <v>569</v>
      </c>
      <c r="D1358" s="2" t="str">
        <f t="shared" si="20"/>
        <v>Error?</v>
      </c>
    </row>
    <row r="1359" spans="1:4" x14ac:dyDescent="0.2">
      <c r="A1359" s="5">
        <v>1298</v>
      </c>
      <c r="B1359" s="1832">
        <f>'Expenditures 15-22'!F210</f>
        <v>34497</v>
      </c>
      <c r="C1359" s="2" t="s">
        <v>569</v>
      </c>
      <c r="D1359" s="2" t="str">
        <f t="shared" si="20"/>
        <v>Error?</v>
      </c>
    </row>
    <row r="1360" spans="1:4" x14ac:dyDescent="0.2">
      <c r="A1360" s="5">
        <v>1299</v>
      </c>
      <c r="B1360" s="1832">
        <f>'Expenditures 15-22'!G182</f>
        <v>702</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702</v>
      </c>
      <c r="C1364" s="2" t="s">
        <v>569</v>
      </c>
      <c r="D1364" s="2" t="str">
        <f t="shared" si="20"/>
        <v>Error?</v>
      </c>
    </row>
    <row r="1365" spans="1:4" x14ac:dyDescent="0.2">
      <c r="A1365" s="5">
        <v>1304</v>
      </c>
      <c r="B1365" s="1832">
        <f>'Expenditures 15-22'!G210</f>
        <v>702</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257519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257519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257519</v>
      </c>
      <c r="C1388" s="2" t="s">
        <v>569</v>
      </c>
      <c r="D1388" s="2" t="str">
        <f t="shared" si="20"/>
        <v>Error?</v>
      </c>
    </row>
    <row r="1389" spans="1:4" x14ac:dyDescent="0.2">
      <c r="A1389" s="5">
        <v>1328</v>
      </c>
      <c r="B1389" s="1832">
        <f>'Expenditures 15-22'!K211</f>
        <v>-51424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1602</v>
      </c>
      <c r="D1407" s="2" t="str">
        <f t="shared" ref="D1407:D1470" si="21">IF(ISBLANK(B1407),"OK",IF(A1407-B1407=0,"OK","Error?"))</f>
        <v>Error?</v>
      </c>
    </row>
    <row r="1408" spans="1:4" x14ac:dyDescent="0.2">
      <c r="A1408" s="5">
        <v>1347</v>
      </c>
      <c r="B1408" s="1832">
        <f>'Expenditures 15-22'!D223</f>
        <v>2614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50087</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714</v>
      </c>
      <c r="D1412" s="2" t="str">
        <f t="shared" si="21"/>
        <v>Error?</v>
      </c>
    </row>
    <row r="1413" spans="1:4" x14ac:dyDescent="0.2">
      <c r="A1413" s="5">
        <v>1352</v>
      </c>
      <c r="B1413" s="1832">
        <f>'Expenditures 15-22'!D234</f>
        <v>1933</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2647</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11984</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11984</v>
      </c>
      <c r="C1421" s="2" t="s">
        <v>569</v>
      </c>
      <c r="D1421" s="2" t="str">
        <f t="shared" si="21"/>
        <v>Error?</v>
      </c>
    </row>
    <row r="1422" spans="1:4" x14ac:dyDescent="0.2">
      <c r="A1422" s="5">
        <v>1361</v>
      </c>
      <c r="B1422" s="1832">
        <f>'Expenditures 15-22'!D245</f>
        <v>353</v>
      </c>
      <c r="D1422" s="2" t="str">
        <f t="shared" si="21"/>
        <v>Error?</v>
      </c>
    </row>
    <row r="1423" spans="1:4" x14ac:dyDescent="0.2">
      <c r="A1423" s="5">
        <v>1362</v>
      </c>
      <c r="B1423" s="1832">
        <f>'Expenditures 15-22'!D246</f>
        <v>7280</v>
      </c>
      <c r="D1423" s="2" t="str">
        <f t="shared" si="21"/>
        <v>Error?</v>
      </c>
    </row>
    <row r="1424" spans="1:4" x14ac:dyDescent="0.2">
      <c r="A1424" s="5">
        <v>1363</v>
      </c>
      <c r="B1424" s="1832">
        <f>'Expenditures 15-22'!D257</f>
        <v>7633</v>
      </c>
      <c r="C1424" s="2" t="s">
        <v>569</v>
      </c>
      <c r="D1424" s="2" t="str">
        <f t="shared" si="21"/>
        <v>Error?</v>
      </c>
    </row>
    <row r="1425" spans="1:4" x14ac:dyDescent="0.2">
      <c r="A1425" s="5">
        <v>1364</v>
      </c>
      <c r="B1425" s="1832">
        <f>'Expenditures 15-22'!D259</f>
        <v>11390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11390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5498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19207</v>
      </c>
      <c r="D1431" s="2" t="str">
        <f t="shared" si="21"/>
        <v>Error?</v>
      </c>
    </row>
    <row r="1432" spans="1:4" x14ac:dyDescent="0.2">
      <c r="A1432" s="5">
        <v>1371</v>
      </c>
      <c r="B1432" s="1832">
        <f>'Expenditures 15-22'!D267</f>
        <v>14195</v>
      </c>
      <c r="D1432" s="2" t="str">
        <f t="shared" si="21"/>
        <v>Error?</v>
      </c>
    </row>
    <row r="1433" spans="1:4" x14ac:dyDescent="0.2">
      <c r="A1433" s="5">
        <v>1372</v>
      </c>
      <c r="B1433" s="1832">
        <f>'Expenditures 15-22'!D268</f>
        <v>15667</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54567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88221</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138308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1602</v>
      </c>
      <c r="C1471" s="2" t="s">
        <v>569</v>
      </c>
      <c r="D1471" s="2" t="str">
        <f t="shared" ref="D1471:D1534" si="22">IF(ISBLANK(B1471),"OK",IF(A1471-B1471=0,"OK","Error?"))</f>
        <v>Error?</v>
      </c>
    </row>
    <row r="1472" spans="1:4" x14ac:dyDescent="0.2">
      <c r="A1472" s="5">
        <v>1411</v>
      </c>
      <c r="B1472" s="1832">
        <f>'Expenditures 15-22'!K223</f>
        <v>2614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50087</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714</v>
      </c>
      <c r="C1476" s="2" t="s">
        <v>569</v>
      </c>
      <c r="D1476" s="2" t="str">
        <f t="shared" si="22"/>
        <v>Error?</v>
      </c>
    </row>
    <row r="1477" spans="1:4" x14ac:dyDescent="0.2">
      <c r="A1477" s="5">
        <v>1416</v>
      </c>
      <c r="B1477" s="1832">
        <f>'Expenditures 15-22'!K234</f>
        <v>1933</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2647</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11984</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11984</v>
      </c>
      <c r="C1485" s="2" t="s">
        <v>569</v>
      </c>
      <c r="D1485" s="2" t="str">
        <f t="shared" si="22"/>
        <v>Error?</v>
      </c>
    </row>
    <row r="1486" spans="1:4" x14ac:dyDescent="0.2">
      <c r="A1486" s="5">
        <v>1425</v>
      </c>
      <c r="B1486" s="1832">
        <f>'Expenditures 15-22'!K245</f>
        <v>353</v>
      </c>
      <c r="C1486" s="2" t="s">
        <v>569</v>
      </c>
      <c r="D1486" s="2" t="str">
        <f t="shared" si="22"/>
        <v>Error?</v>
      </c>
    </row>
    <row r="1487" spans="1:4" x14ac:dyDescent="0.2">
      <c r="A1487" s="5">
        <v>1426</v>
      </c>
      <c r="B1487" s="1832">
        <f>'Expenditures 15-22'!K246</f>
        <v>7280</v>
      </c>
      <c r="C1487" s="2" t="s">
        <v>569</v>
      </c>
      <c r="D1487" s="2" t="str">
        <f t="shared" si="22"/>
        <v>Error?</v>
      </c>
    </row>
    <row r="1488" spans="1:4" x14ac:dyDescent="0.2">
      <c r="A1488" s="5">
        <v>1427</v>
      </c>
      <c r="B1488" s="1832">
        <f>'Expenditures 15-22'!K257</f>
        <v>7633</v>
      </c>
      <c r="C1488" s="2" t="s">
        <v>569</v>
      </c>
      <c r="D1488" s="2" t="str">
        <f t="shared" si="22"/>
        <v>Error?</v>
      </c>
    </row>
    <row r="1489" spans="1:4" x14ac:dyDescent="0.2">
      <c r="A1489" s="5">
        <v>1428</v>
      </c>
      <c r="B1489" s="1832">
        <f>'Expenditures 15-22'!K259</f>
        <v>11390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11390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5498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19207</v>
      </c>
      <c r="C1495" s="2" t="s">
        <v>569</v>
      </c>
      <c r="D1495" s="2" t="str">
        <f t="shared" si="22"/>
        <v>Error?</v>
      </c>
    </row>
    <row r="1496" spans="1:4" x14ac:dyDescent="0.2">
      <c r="A1496" s="5">
        <v>1435</v>
      </c>
      <c r="B1496" s="1832">
        <f>'Expenditures 15-22'!K267</f>
        <v>14195</v>
      </c>
      <c r="C1496" s="2" t="s">
        <v>569</v>
      </c>
      <c r="D1496" s="2" t="str">
        <f t="shared" si="22"/>
        <v>Error?</v>
      </c>
    </row>
    <row r="1497" spans="1:4" x14ac:dyDescent="0.2">
      <c r="A1497" s="5">
        <v>1436</v>
      </c>
      <c r="B1497" s="1832">
        <f>'Expenditures 15-22'!K268</f>
        <v>15667</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54567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88221</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138308</v>
      </c>
      <c r="C1517" s="2" t="s">
        <v>569</v>
      </c>
      <c r="D1517" s="2" t="str">
        <f t="shared" si="22"/>
        <v>Error?</v>
      </c>
    </row>
    <row r="1518" spans="1:4" x14ac:dyDescent="0.2">
      <c r="A1518" s="5">
        <v>1457</v>
      </c>
      <c r="B1518" s="1832">
        <f>'Expenditures 15-22'!K296</f>
        <v>27438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269847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381940</v>
      </c>
      <c r="C1630" s="2" t="s">
        <v>569</v>
      </c>
      <c r="D1630" s="2" t="str">
        <f t="shared" si="24"/>
        <v>Error?</v>
      </c>
    </row>
    <row r="1631" spans="1:4" x14ac:dyDescent="0.2">
      <c r="A1631" s="5">
        <v>1570</v>
      </c>
      <c r="B1631" s="1832">
        <f>'Acct Summary 7-8'!D79</f>
        <v>313383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339360</v>
      </c>
      <c r="C1644" s="2" t="s">
        <v>569</v>
      </c>
      <c r="D1644" s="2" t="str">
        <f t="shared" si="24"/>
        <v>Error?</v>
      </c>
    </row>
    <row r="1645" spans="1:4" x14ac:dyDescent="0.2">
      <c r="A1645" s="5">
        <v>1584</v>
      </c>
      <c r="B1645" s="1832">
        <f>'Acct Summary 7-8'!E79</f>
        <v>5900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17472</v>
      </c>
      <c r="C1658" s="2" t="s">
        <v>569</v>
      </c>
      <c r="D1658" s="2" t="str">
        <f t="shared" si="24"/>
        <v>Error?</v>
      </c>
    </row>
    <row r="1659" spans="1:4" x14ac:dyDescent="0.2">
      <c r="A1659" s="5">
        <v>1598</v>
      </c>
      <c r="B1659" s="1832">
        <f>'Acct Summary 7-8'!F79</f>
        <v>46743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-4681</v>
      </c>
      <c r="C1672" s="2" t="s">
        <v>569</v>
      </c>
      <c r="D1672" s="2" t="str">
        <f t="shared" si="25"/>
        <v>Error?</v>
      </c>
    </row>
    <row r="1673" spans="1:4" x14ac:dyDescent="0.2">
      <c r="A1673" s="5">
        <v>1612</v>
      </c>
      <c r="B1673" s="1832">
        <f>'Acct Summary 7-8'!G79</f>
        <v>208518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235956</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2070382</v>
      </c>
      <c r="C1744" s="2" t="s">
        <v>569</v>
      </c>
      <c r="D1744" s="2" t="str">
        <f t="shared" si="26"/>
        <v>Error?</v>
      </c>
    </row>
    <row r="1745" spans="1:5" x14ac:dyDescent="0.2">
      <c r="A1745" s="5">
        <v>1684</v>
      </c>
      <c r="B1745" s="1832">
        <f>'Tax Sched 23'!B5</f>
        <v>369711</v>
      </c>
      <c r="C1745" s="2" t="s">
        <v>569</v>
      </c>
      <c r="D1745" s="2" t="str">
        <f t="shared" si="26"/>
        <v>Error?</v>
      </c>
    </row>
    <row r="1746" spans="1:5" x14ac:dyDescent="0.2">
      <c r="A1746" s="5">
        <v>1685</v>
      </c>
      <c r="B1746" s="1832">
        <f>'Tax Sched 23'!B6</f>
        <v>557922</v>
      </c>
      <c r="C1746" s="2" t="s">
        <v>569</v>
      </c>
      <c r="D1746" s="2" t="str">
        <f t="shared" si="26"/>
        <v>Error?</v>
      </c>
    </row>
    <row r="1747" spans="1:5" x14ac:dyDescent="0.2">
      <c r="A1747" s="5">
        <v>1686</v>
      </c>
      <c r="B1747" s="1832">
        <f>'Tax Sched 23'!B7</f>
        <v>147884</v>
      </c>
      <c r="C1747" s="2" t="s">
        <v>569</v>
      </c>
      <c r="D1747" s="2" t="str">
        <f t="shared" si="26"/>
        <v>Error?</v>
      </c>
    </row>
    <row r="1748" spans="1:5" x14ac:dyDescent="0.2">
      <c r="A1748" s="5">
        <v>1687</v>
      </c>
      <c r="B1748" s="1832">
        <f>'Tax Sched 23'!B8</f>
        <v>77033</v>
      </c>
      <c r="C1748" s="2" t="s">
        <v>569</v>
      </c>
      <c r="D1748" s="2" t="str">
        <f t="shared" si="26"/>
        <v>Error?</v>
      </c>
    </row>
    <row r="1749" spans="1:5" x14ac:dyDescent="0.2">
      <c r="A1749" s="5">
        <v>1688</v>
      </c>
      <c r="B1749" s="1832">
        <f>'Tax Sched 23'!B10</f>
        <v>36972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200078</v>
      </c>
      <c r="C1752" s="2" t="s">
        <v>569</v>
      </c>
      <c r="D1752" s="2" t="str">
        <f t="shared" si="26"/>
        <v>Error?</v>
      </c>
    </row>
    <row r="1753" spans="1:5" x14ac:dyDescent="0.2">
      <c r="A1753" s="5">
        <v>1692</v>
      </c>
      <c r="B1753" s="1832">
        <f>'Tax Sched 23'!B12</f>
        <v>36972</v>
      </c>
      <c r="C1753" s="2" t="s">
        <v>569</v>
      </c>
      <c r="D1753" s="2" t="str">
        <f t="shared" si="26"/>
        <v>Error?</v>
      </c>
    </row>
    <row r="1754" spans="1:5" x14ac:dyDescent="0.2">
      <c r="A1754" s="5">
        <v>1693</v>
      </c>
      <c r="B1754" s="1832">
        <f>'Tax Sched 23'!B14</f>
        <v>29577</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3651538</v>
      </c>
      <c r="C1759" s="2" t="s">
        <v>569</v>
      </c>
      <c r="D1759" s="2" t="str">
        <f t="shared" si="26"/>
        <v>Error?</v>
      </c>
    </row>
    <row r="1760" spans="1:5" x14ac:dyDescent="0.2">
      <c r="A1760" s="5">
        <v>1699</v>
      </c>
      <c r="B1760" s="1832">
        <f>'Tax Sched 23'!D4</f>
        <v>2070382</v>
      </c>
      <c r="C1760" s="2" t="s">
        <v>569</v>
      </c>
      <c r="D1760" s="2" t="str">
        <f t="shared" si="26"/>
        <v>Error?</v>
      </c>
    </row>
    <row r="1761" spans="1:7" x14ac:dyDescent="0.2">
      <c r="A1761" s="5">
        <v>1700</v>
      </c>
      <c r="B1761" s="1832">
        <f>'Tax Sched 23'!D5</f>
        <v>369711</v>
      </c>
      <c r="C1761" s="2" t="s">
        <v>569</v>
      </c>
      <c r="D1761" s="2" t="str">
        <f t="shared" si="26"/>
        <v>Error?</v>
      </c>
    </row>
    <row r="1762" spans="1:7" s="8" customFormat="1" x14ac:dyDescent="0.2">
      <c r="A1762" s="5">
        <v>1701</v>
      </c>
      <c r="B1762" s="1832">
        <f>'Tax Sched 23'!D6</f>
        <v>557922</v>
      </c>
      <c r="C1762" s="2" t="s">
        <v>569</v>
      </c>
      <c r="D1762" s="2" t="str">
        <f t="shared" si="26"/>
        <v>Error?</v>
      </c>
      <c r="E1762" s="9"/>
      <c r="G1762"/>
    </row>
    <row r="1763" spans="1:7" x14ac:dyDescent="0.2">
      <c r="A1763" s="5">
        <v>1702</v>
      </c>
      <c r="B1763" s="1832">
        <f>'Tax Sched 23'!D7</f>
        <v>147884</v>
      </c>
      <c r="C1763" s="2" t="s">
        <v>569</v>
      </c>
      <c r="D1763" s="2" t="str">
        <f t="shared" si="26"/>
        <v>Error?</v>
      </c>
    </row>
    <row r="1764" spans="1:7" x14ac:dyDescent="0.2">
      <c r="A1764" s="5">
        <v>1703</v>
      </c>
      <c r="B1764" s="1832">
        <f>'Tax Sched 23'!D8</f>
        <v>77033</v>
      </c>
      <c r="C1764" s="2" t="s">
        <v>569</v>
      </c>
      <c r="D1764" s="2" t="str">
        <f t="shared" si="26"/>
        <v>Error?</v>
      </c>
    </row>
    <row r="1765" spans="1:7" x14ac:dyDescent="0.2">
      <c r="A1765" s="5">
        <v>1704</v>
      </c>
      <c r="B1765" s="1832">
        <f>'Tax Sched 23'!D10</f>
        <v>36972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200078</v>
      </c>
      <c r="C1768" s="2" t="s">
        <v>569</v>
      </c>
      <c r="D1768" s="2" t="str">
        <f t="shared" si="26"/>
        <v>Error?</v>
      </c>
    </row>
    <row r="1769" spans="1:7" x14ac:dyDescent="0.2">
      <c r="A1769" s="5">
        <v>1708</v>
      </c>
      <c r="B1769" s="1832">
        <f>'Tax Sched 23'!D12</f>
        <v>36972</v>
      </c>
      <c r="C1769" s="2" t="s">
        <v>569</v>
      </c>
      <c r="D1769" s="2" t="str">
        <f t="shared" si="26"/>
        <v>Error?</v>
      </c>
    </row>
    <row r="1770" spans="1:7" x14ac:dyDescent="0.2">
      <c r="A1770" s="5">
        <v>1709</v>
      </c>
      <c r="B1770" s="1832">
        <f>'Tax Sched 23'!D14</f>
        <v>29577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3651538</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2059368</v>
      </c>
      <c r="C1792" s="2" t="s">
        <v>569</v>
      </c>
      <c r="D1792" s="2" t="str">
        <f t="shared" si="27"/>
        <v>Error?</v>
      </c>
    </row>
    <row r="1793" spans="1:4" x14ac:dyDescent="0.2">
      <c r="A1793" s="5">
        <v>1732</v>
      </c>
      <c r="B1793" s="1832">
        <f>'Tax Sched 23'!F5</f>
        <v>367744</v>
      </c>
      <c r="C1793" s="2" t="s">
        <v>569</v>
      </c>
      <c r="D1793" s="2" t="str">
        <f t="shared" si="27"/>
        <v>Error?</v>
      </c>
    </row>
    <row r="1794" spans="1:4" x14ac:dyDescent="0.2">
      <c r="A1794" s="5">
        <v>1733</v>
      </c>
      <c r="B1794" s="1832">
        <f>'Tax Sched 23'!F6</f>
        <v>526720</v>
      </c>
      <c r="C1794" s="2" t="s">
        <v>569</v>
      </c>
      <c r="D1794" s="2" t="str">
        <f t="shared" si="27"/>
        <v>Error?</v>
      </c>
    </row>
    <row r="1795" spans="1:4" x14ac:dyDescent="0.2">
      <c r="A1795" s="5">
        <v>1734</v>
      </c>
      <c r="B1795" s="1832">
        <f>'Tax Sched 23'!F7</f>
        <v>147098</v>
      </c>
      <c r="C1795" s="2" t="s">
        <v>569</v>
      </c>
      <c r="D1795" s="2" t="str">
        <f t="shared" si="27"/>
        <v>Error?</v>
      </c>
    </row>
    <row r="1796" spans="1:4" x14ac:dyDescent="0.2">
      <c r="A1796" s="5">
        <v>1735</v>
      </c>
      <c r="B1796" s="1832">
        <f>'Tax Sched 23'!F8</f>
        <v>77006</v>
      </c>
      <c r="C1796" s="2" t="s">
        <v>569</v>
      </c>
      <c r="D1796" s="2" t="str">
        <f t="shared" si="27"/>
        <v>Error?</v>
      </c>
    </row>
    <row r="1797" spans="1:4" x14ac:dyDescent="0.2">
      <c r="A1797" s="5">
        <v>1736</v>
      </c>
      <c r="B1797" s="1832">
        <f>'Tax Sched 23'!F10</f>
        <v>36774</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200001</v>
      </c>
      <c r="C1800" s="2" t="s">
        <v>569</v>
      </c>
      <c r="D1800" s="2" t="str">
        <f t="shared" si="27"/>
        <v>Error?</v>
      </c>
    </row>
    <row r="1801" spans="1:4" x14ac:dyDescent="0.2">
      <c r="A1801" s="5">
        <v>1740</v>
      </c>
      <c r="B1801" s="1832">
        <f>'Tax Sched 23'!F12</f>
        <v>36774</v>
      </c>
      <c r="C1801" s="2" t="s">
        <v>569</v>
      </c>
      <c r="D1801" s="2" t="str">
        <f t="shared" si="27"/>
        <v>Error?</v>
      </c>
    </row>
    <row r="1802" spans="1:4" x14ac:dyDescent="0.2">
      <c r="A1802" s="5">
        <v>1741</v>
      </c>
      <c r="B1802" s="1832">
        <f>'Tax Sched 23'!F14</f>
        <v>29420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3605680</v>
      </c>
      <c r="C1807" s="2" t="s">
        <v>569</v>
      </c>
      <c r="D1807" s="2" t="str">
        <f t="shared" si="27"/>
        <v>Error?</v>
      </c>
    </row>
    <row r="1808" spans="1:4" x14ac:dyDescent="0.2">
      <c r="A1808" s="5">
        <v>1747</v>
      </c>
      <c r="B1808" s="1832">
        <f>'Tax Sched 23'!E4</f>
        <v>2059368</v>
      </c>
      <c r="D1808" s="2" t="str">
        <f t="shared" si="27"/>
        <v>Error?</v>
      </c>
    </row>
    <row r="1809" spans="1:4" x14ac:dyDescent="0.2">
      <c r="A1809" s="5">
        <v>1748</v>
      </c>
      <c r="B1809" s="1832">
        <f>'Tax Sched 23'!E5</f>
        <v>367744</v>
      </c>
      <c r="D1809" s="2" t="str">
        <f t="shared" si="27"/>
        <v>Error?</v>
      </c>
    </row>
    <row r="1810" spans="1:4" x14ac:dyDescent="0.2">
      <c r="A1810" s="5">
        <v>1749</v>
      </c>
      <c r="B1810" s="1832">
        <f>'Tax Sched 23'!E6</f>
        <v>526720</v>
      </c>
      <c r="D1810" s="2" t="str">
        <f t="shared" si="27"/>
        <v>Error?</v>
      </c>
    </row>
    <row r="1811" spans="1:4" x14ac:dyDescent="0.2">
      <c r="A1811" s="5">
        <v>1750</v>
      </c>
      <c r="B1811" s="1832">
        <f>'Tax Sched 23'!E7</f>
        <v>147098</v>
      </c>
      <c r="D1811" s="2" t="str">
        <f t="shared" si="27"/>
        <v>Error?</v>
      </c>
    </row>
    <row r="1812" spans="1:4" x14ac:dyDescent="0.2">
      <c r="A1812" s="5">
        <v>1751</v>
      </c>
      <c r="B1812" s="1832">
        <f>'Tax Sched 23'!E8</f>
        <v>77006</v>
      </c>
      <c r="D1812" s="2" t="str">
        <f t="shared" si="27"/>
        <v>Error?</v>
      </c>
    </row>
    <row r="1813" spans="1:4" x14ac:dyDescent="0.2">
      <c r="A1813" s="5">
        <v>1752</v>
      </c>
      <c r="B1813" s="1832">
        <f>'Tax Sched 23'!E10</f>
        <v>36774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200001</v>
      </c>
      <c r="D1816" s="2" t="str">
        <f t="shared" si="27"/>
        <v>Error?</v>
      </c>
    </row>
    <row r="1817" spans="1:4" x14ac:dyDescent="0.2">
      <c r="A1817" s="5">
        <v>1756</v>
      </c>
      <c r="B1817" s="1832">
        <f>'Tax Sched 23'!E12</f>
        <v>36774</v>
      </c>
      <c r="D1817" s="2" t="str">
        <f t="shared" si="27"/>
        <v>Error?</v>
      </c>
    </row>
    <row r="1818" spans="1:4" x14ac:dyDescent="0.2">
      <c r="A1818" s="5">
        <v>1757</v>
      </c>
      <c r="B1818" s="1832">
        <f>'Tax Sched 23'!E14</f>
        <v>29420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3605680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7370000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29577</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29577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29577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306843</v>
      </c>
      <c r="D2008" s="2" t="str">
        <f t="shared" si="30"/>
        <v>Error?</v>
      </c>
    </row>
    <row r="2009" spans="1:4" x14ac:dyDescent="0.2">
      <c r="A2009" s="5">
        <v>1948</v>
      </c>
      <c r="B2009" s="1832">
        <f>'Cap Outlay Deprec 26'!C8</f>
        <v>7389596</v>
      </c>
      <c r="D2009" s="2" t="str">
        <f t="shared" si="30"/>
        <v>Error?</v>
      </c>
    </row>
    <row r="2010" spans="1:4" x14ac:dyDescent="0.2">
      <c r="A2010" s="5">
        <v>1949</v>
      </c>
      <c r="B2010" s="1832">
        <f>'Cap Outlay Deprec 26'!C10</f>
        <v>79283</v>
      </c>
      <c r="D2010" s="2" t="str">
        <f t="shared" si="30"/>
        <v>Error?</v>
      </c>
    </row>
    <row r="2011" spans="1:4" x14ac:dyDescent="0.2">
      <c r="A2011" s="5">
        <v>1950</v>
      </c>
      <c r="B2011" s="1832">
        <f>'Cap Outlay Deprec 26'!C12</f>
        <v>485043</v>
      </c>
      <c r="D2011" s="2" t="str">
        <f t="shared" si="30"/>
        <v>Error?</v>
      </c>
    </row>
    <row r="2012" spans="1:4" x14ac:dyDescent="0.2">
      <c r="A2012" s="5">
        <v>1951</v>
      </c>
      <c r="B2012" s="1832">
        <f>'Cap Outlay Deprec 26'!C13</f>
        <v>871882</v>
      </c>
      <c r="D2012" s="2" t="str">
        <f t="shared" si="30"/>
        <v>Error?</v>
      </c>
    </row>
    <row r="2013" spans="1:4" x14ac:dyDescent="0.2">
      <c r="A2013" s="5">
        <v>1952</v>
      </c>
      <c r="B2013" s="1832">
        <f>'Cap Outlay Deprec 26'!C16</f>
        <v>9132647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1327317</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5643</v>
      </c>
      <c r="D2017" s="2" t="str">
        <f t="shared" si="30"/>
        <v>Error?</v>
      </c>
    </row>
    <row r="2018" spans="1:4" x14ac:dyDescent="0.2">
      <c r="A2018" s="5">
        <v>1957</v>
      </c>
      <c r="B2018" s="1832">
        <f>'Cap Outlay Deprec 26'!D13</f>
        <v>71185</v>
      </c>
      <c r="D2018" s="2" t="str">
        <f t="shared" si="30"/>
        <v>Error?</v>
      </c>
    </row>
    <row r="2019" spans="1:4" x14ac:dyDescent="0.2">
      <c r="A2019" s="5">
        <v>1958</v>
      </c>
      <c r="B2019" s="1832">
        <f>'Cap Outlay Deprec 26'!D16</f>
        <v>1404145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173835</v>
      </c>
      <c r="D2023" s="2" t="str">
        <f t="shared" si="30"/>
        <v>Error?</v>
      </c>
    </row>
    <row r="2024" spans="1:4" x14ac:dyDescent="0.2">
      <c r="A2024" s="5">
        <v>1963</v>
      </c>
      <c r="B2024" s="1832">
        <f>'Cap Outlay Deprec 26'!E13</f>
        <v>43057</v>
      </c>
      <c r="D2024" s="2" t="str">
        <f t="shared" si="30"/>
        <v>Error?</v>
      </c>
    </row>
    <row r="2025" spans="1:4" x14ac:dyDescent="0.2">
      <c r="A2025" s="5">
        <v>1964</v>
      </c>
      <c r="B2025" s="1832">
        <f>'Cap Outlay Deprec 26'!E16</f>
        <v>216892</v>
      </c>
      <c r="C2025" s="2" t="s">
        <v>569</v>
      </c>
      <c r="D2025" s="2" t="str">
        <f t="shared" si="30"/>
        <v>Error?</v>
      </c>
    </row>
    <row r="2026" spans="1:4" x14ac:dyDescent="0.2">
      <c r="A2026" s="5">
        <v>1965</v>
      </c>
      <c r="B2026" s="1832">
        <f>'Cap Outlay Deprec 26'!F5</f>
        <v>306843</v>
      </c>
      <c r="C2026" s="2" t="s">
        <v>569</v>
      </c>
      <c r="D2026" s="2" t="str">
        <f t="shared" si="30"/>
        <v>Error?</v>
      </c>
    </row>
    <row r="2027" spans="1:4" x14ac:dyDescent="0.2">
      <c r="A2027" s="5">
        <v>1966</v>
      </c>
      <c r="B2027" s="1832">
        <f>'Cap Outlay Deprec 26'!F8</f>
        <v>8716913</v>
      </c>
      <c r="C2027" s="2" t="s">
        <v>569</v>
      </c>
      <c r="D2027" s="2" t="str">
        <f t="shared" si="30"/>
        <v>Error?</v>
      </c>
    </row>
    <row r="2028" spans="1:4" x14ac:dyDescent="0.2">
      <c r="A2028" s="5">
        <v>1967</v>
      </c>
      <c r="B2028" s="1832">
        <f>'Cap Outlay Deprec 26'!F10</f>
        <v>79283</v>
      </c>
      <c r="C2028" s="2" t="s">
        <v>569</v>
      </c>
      <c r="D2028" s="2" t="str">
        <f t="shared" si="30"/>
        <v>Error?</v>
      </c>
    </row>
    <row r="2029" spans="1:4" x14ac:dyDescent="0.2">
      <c r="A2029" s="5">
        <v>1968</v>
      </c>
      <c r="B2029" s="1832">
        <f>'Cap Outlay Deprec 26'!F12</f>
        <v>316851</v>
      </c>
      <c r="C2029" s="2" t="s">
        <v>569</v>
      </c>
      <c r="D2029" s="2" t="str">
        <f t="shared" si="30"/>
        <v>Error?</v>
      </c>
    </row>
    <row r="2030" spans="1:4" x14ac:dyDescent="0.2">
      <c r="A2030" s="5">
        <v>1969</v>
      </c>
      <c r="B2030" s="1832">
        <f>'Cap Outlay Deprec 26'!F13</f>
        <v>900010</v>
      </c>
      <c r="C2030" s="2" t="s">
        <v>569</v>
      </c>
      <c r="D2030" s="2" t="str">
        <f t="shared" si="30"/>
        <v>Error?</v>
      </c>
    </row>
    <row r="2031" spans="1:4" x14ac:dyDescent="0.2">
      <c r="A2031" s="5">
        <v>1970</v>
      </c>
      <c r="B2031" s="1832">
        <f>'Cap Outlay Deprec 26'!F16</f>
        <v>10319900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4817069</v>
      </c>
      <c r="D2033" s="2" t="str">
        <f t="shared" si="30"/>
        <v>Error?</v>
      </c>
    </row>
    <row r="2034" spans="1:4" x14ac:dyDescent="0.2">
      <c r="A2034" s="5">
        <v>1973</v>
      </c>
      <c r="B2034" s="1832">
        <f>'Cap Outlay Deprec 26'!H10</f>
        <v>61441</v>
      </c>
      <c r="D2034" s="2" t="str">
        <f t="shared" si="30"/>
        <v>Error?</v>
      </c>
    </row>
    <row r="2035" spans="1:4" x14ac:dyDescent="0.2">
      <c r="A2035" s="5">
        <v>1974</v>
      </c>
      <c r="B2035" s="1832">
        <f>'Cap Outlay Deprec 26'!H12</f>
        <v>382472</v>
      </c>
      <c r="D2035" s="2" t="str">
        <f t="shared" si="30"/>
        <v>Error?</v>
      </c>
    </row>
    <row r="2036" spans="1:4" x14ac:dyDescent="0.2">
      <c r="A2036" s="5">
        <v>1975</v>
      </c>
      <c r="B2036" s="1832">
        <f>'Cap Outlay Deprec 26'!H13</f>
        <v>638098</v>
      </c>
      <c r="D2036" s="2" t="str">
        <f t="shared" si="30"/>
        <v>Error?</v>
      </c>
    </row>
    <row r="2037" spans="1:4" x14ac:dyDescent="0.2">
      <c r="A2037" s="5">
        <v>1976</v>
      </c>
      <c r="B2037" s="1832">
        <f>'Cap Outlay Deprec 26'!H16</f>
        <v>5899080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136488</v>
      </c>
      <c r="D2039" s="2" t="str">
        <f t="shared" si="30"/>
        <v>Error?</v>
      </c>
    </row>
    <row r="2040" spans="1:4" x14ac:dyDescent="0.2">
      <c r="A2040" s="5">
        <v>1979</v>
      </c>
      <c r="B2040" s="1832">
        <f>'Cap Outlay Deprec 26'!I10</f>
        <v>3847</v>
      </c>
      <c r="D2040" s="2" t="str">
        <f t="shared" si="30"/>
        <v>Error?</v>
      </c>
    </row>
    <row r="2041" spans="1:4" x14ac:dyDescent="0.2">
      <c r="A2041" s="5">
        <v>1980</v>
      </c>
      <c r="B2041" s="1832">
        <f>'Cap Outlay Deprec 26'!I12</f>
        <v>22480</v>
      </c>
      <c r="D2041" s="2" t="str">
        <f t="shared" si="30"/>
        <v>Error?</v>
      </c>
    </row>
    <row r="2042" spans="1:4" x14ac:dyDescent="0.2">
      <c r="A2042" s="5">
        <v>1981</v>
      </c>
      <c r="B2042" s="1832">
        <f>'Cap Outlay Deprec 26'!I13</f>
        <v>129002</v>
      </c>
      <c r="D2042" s="2" t="str">
        <f t="shared" si="30"/>
        <v>Error?</v>
      </c>
    </row>
    <row r="2043" spans="1:4" x14ac:dyDescent="0.2">
      <c r="A2043" s="5">
        <v>1982</v>
      </c>
      <c r="B2043" s="1832">
        <f>'Cap Outlay Deprec 26'!I16</f>
        <v>291817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173835</v>
      </c>
      <c r="D2047" s="2" t="str">
        <f t="shared" ref="D2047:D2110" si="31">IF(ISBLANK(B2047),"OK",IF(A2047-B2047=0,"OK","Error?"))</f>
        <v>Error?</v>
      </c>
    </row>
    <row r="2048" spans="1:4" x14ac:dyDescent="0.2">
      <c r="A2048" s="5">
        <v>1987</v>
      </c>
      <c r="B2048" s="1832">
        <f>'Cap Outlay Deprec 26'!J13</f>
        <v>43057</v>
      </c>
      <c r="D2048" s="2" t="str">
        <f t="shared" si="31"/>
        <v>Error?</v>
      </c>
    </row>
    <row r="2049" spans="1:4" x14ac:dyDescent="0.2">
      <c r="A2049" s="5">
        <v>1988</v>
      </c>
      <c r="B2049" s="1832">
        <f>'Cap Outlay Deprec 26'!J16</f>
        <v>216892</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4953557</v>
      </c>
      <c r="C2051" s="2" t="s">
        <v>569</v>
      </c>
      <c r="D2051" s="2" t="str">
        <f t="shared" si="31"/>
        <v>Error?</v>
      </c>
    </row>
    <row r="2052" spans="1:4" x14ac:dyDescent="0.2">
      <c r="A2052" s="5">
        <v>1991</v>
      </c>
      <c r="B2052" s="1832">
        <f>'Cap Outlay Deprec 26'!K10</f>
        <v>65288</v>
      </c>
      <c r="C2052" s="2" t="s">
        <v>569</v>
      </c>
      <c r="D2052" s="2" t="str">
        <f t="shared" si="31"/>
        <v>Error?</v>
      </c>
    </row>
    <row r="2053" spans="1:4" x14ac:dyDescent="0.2">
      <c r="A2053" s="5">
        <v>1992</v>
      </c>
      <c r="B2053" s="1832">
        <f>'Cap Outlay Deprec 26'!K12</f>
        <v>231117</v>
      </c>
      <c r="C2053" s="2" t="s">
        <v>569</v>
      </c>
      <c r="D2053" s="2" t="str">
        <f t="shared" si="31"/>
        <v>Error?</v>
      </c>
    </row>
    <row r="2054" spans="1:4" x14ac:dyDescent="0.2">
      <c r="A2054" s="5">
        <v>1993</v>
      </c>
      <c r="B2054" s="1832">
        <f>'Cap Outlay Deprec 26'!K13</f>
        <v>724043</v>
      </c>
      <c r="C2054" s="2" t="s">
        <v>569</v>
      </c>
      <c r="D2054" s="2" t="str">
        <f t="shared" si="31"/>
        <v>Error?</v>
      </c>
    </row>
    <row r="2055" spans="1:4" x14ac:dyDescent="0.2">
      <c r="A2055" s="5">
        <v>1994</v>
      </c>
      <c r="B2055" s="1832">
        <f>'Cap Outlay Deprec 26'!K16</f>
        <v>5974005</v>
      </c>
      <c r="C2055" s="2" t="s">
        <v>569</v>
      </c>
      <c r="D2055" s="2" t="str">
        <f t="shared" si="31"/>
        <v>Error?</v>
      </c>
    </row>
    <row r="2056" spans="1:4" x14ac:dyDescent="0.2">
      <c r="A2056" s="5">
        <v>1995</v>
      </c>
      <c r="B2056" s="1832">
        <f>'Cap Outlay Deprec 26'!L5</f>
        <v>306843</v>
      </c>
      <c r="C2056" s="2" t="s">
        <v>569</v>
      </c>
      <c r="D2056" s="2" t="str">
        <f t="shared" si="31"/>
        <v>Error?</v>
      </c>
    </row>
    <row r="2057" spans="1:4" x14ac:dyDescent="0.2">
      <c r="A2057" s="5">
        <v>1996</v>
      </c>
      <c r="B2057" s="1832">
        <f>'Cap Outlay Deprec 26'!L8</f>
        <v>3763356</v>
      </c>
      <c r="C2057" s="2" t="s">
        <v>569</v>
      </c>
      <c r="D2057" s="2" t="str">
        <f t="shared" si="31"/>
        <v>Error?</v>
      </c>
    </row>
    <row r="2058" spans="1:4" x14ac:dyDescent="0.2">
      <c r="A2058" s="5">
        <v>1997</v>
      </c>
      <c r="B2058" s="1832">
        <f>'Cap Outlay Deprec 26'!L10</f>
        <v>13995</v>
      </c>
      <c r="C2058" s="2" t="s">
        <v>569</v>
      </c>
      <c r="D2058" s="2" t="str">
        <f t="shared" si="31"/>
        <v>Error?</v>
      </c>
    </row>
    <row r="2059" spans="1:4" x14ac:dyDescent="0.2">
      <c r="A2059" s="5">
        <v>1998</v>
      </c>
      <c r="B2059" s="1832">
        <f>'Cap Outlay Deprec 26'!L12</f>
        <v>85734</v>
      </c>
      <c r="C2059" s="2" t="s">
        <v>569</v>
      </c>
      <c r="D2059" s="2" t="str">
        <f t="shared" si="31"/>
        <v>Error?</v>
      </c>
    </row>
    <row r="2060" spans="1:4" x14ac:dyDescent="0.2">
      <c r="A2060" s="5">
        <v>1999</v>
      </c>
      <c r="B2060" s="1832">
        <f>'Cap Outlay Deprec 26'!L13</f>
        <v>175967</v>
      </c>
      <c r="C2060" s="2" t="s">
        <v>569</v>
      </c>
      <c r="D2060" s="2" t="str">
        <f t="shared" si="31"/>
        <v>Error?</v>
      </c>
    </row>
    <row r="2061" spans="1:4" x14ac:dyDescent="0.2">
      <c r="A2061" s="5">
        <v>2000</v>
      </c>
      <c r="B2061" s="1832">
        <f>'Cap Outlay Deprec 26'!L16</f>
        <v>4345895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16750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278144</v>
      </c>
      <c r="C2088" s="2" t="s">
        <v>569</v>
      </c>
      <c r="D2088" s="2" t="str">
        <f t="shared" si="31"/>
        <v>Error?</v>
      </c>
    </row>
    <row r="2089" spans="1:4" x14ac:dyDescent="0.2">
      <c r="A2089" s="5">
        <v>2028</v>
      </c>
      <c r="B2089" s="1832">
        <f>'Expenditures 15-22'!K92</f>
        <v>29713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2335947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1804953</v>
      </c>
      <c r="C2553" s="2" t="s">
        <v>569</v>
      </c>
      <c r="D2553" s="2" t="str">
        <f t="shared" si="38"/>
        <v>Error?</v>
      </c>
    </row>
    <row r="2554" spans="1:4" x14ac:dyDescent="0.2">
      <c r="A2554" s="5">
        <v>2493</v>
      </c>
      <c r="B2554" s="1832">
        <f>'Acct Summary 7-8'!C7</f>
        <v>428931</v>
      </c>
      <c r="C2554" s="2" t="s">
        <v>569</v>
      </c>
      <c r="D2554" s="2" t="str">
        <f t="shared" si="38"/>
        <v>Error?</v>
      </c>
    </row>
    <row r="2555" spans="1:4" x14ac:dyDescent="0.2">
      <c r="A2555" s="5">
        <v>2494</v>
      </c>
      <c r="B2555" s="1832">
        <f>'Acct Summary 7-8'!C8</f>
        <v>4569831</v>
      </c>
      <c r="C2555" s="2" t="s">
        <v>569</v>
      </c>
      <c r="D2555" s="2" t="str">
        <f t="shared" si="38"/>
        <v>Error?</v>
      </c>
    </row>
    <row r="2556" spans="1:4" x14ac:dyDescent="0.2">
      <c r="A2556" s="5">
        <v>2495</v>
      </c>
      <c r="B2556" s="1832">
        <f>'Acct Summary 7-8'!C12</f>
        <v>3018224</v>
      </c>
      <c r="C2556" s="2" t="s">
        <v>569</v>
      </c>
      <c r="D2556" s="2" t="str">
        <f t="shared" si="38"/>
        <v>Error?</v>
      </c>
    </row>
    <row r="2557" spans="1:4" x14ac:dyDescent="0.2">
      <c r="A2557" s="5">
        <v>2496</v>
      </c>
      <c r="B2557" s="1832">
        <f>'Acct Summary 7-8'!C13</f>
        <v>1131657</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307857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4457738</v>
      </c>
      <c r="C2561" s="2" t="s">
        <v>569</v>
      </c>
      <c r="D2561" s="2" t="str">
        <f t="shared" si="39"/>
        <v>Error?</v>
      </c>
    </row>
    <row r="2562" spans="1:4" x14ac:dyDescent="0.2">
      <c r="A2562" s="5">
        <v>2501</v>
      </c>
      <c r="B2562" s="1832">
        <f>'Acct Summary 7-8'!C20</f>
        <v>112093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460225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460225</v>
      </c>
      <c r="C2568" s="2" t="s">
        <v>569</v>
      </c>
      <c r="D2568" s="2" t="str">
        <f t="shared" si="39"/>
        <v>Error?</v>
      </c>
    </row>
    <row r="2569" spans="1:4" x14ac:dyDescent="0.2">
      <c r="A2569" s="5">
        <v>2508</v>
      </c>
      <c r="B2569" s="1832">
        <f>'Acct Summary 7-8'!D13</f>
        <v>434248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434248</v>
      </c>
      <c r="C2573" s="2" t="s">
        <v>569</v>
      </c>
      <c r="D2573" s="2" t="str">
        <f t="shared" si="39"/>
        <v>Error?</v>
      </c>
    </row>
    <row r="2574" spans="1:4" x14ac:dyDescent="0.2">
      <c r="A2574" s="5">
        <v>2513</v>
      </c>
      <c r="B2574" s="1832">
        <f>'Acct Summary 7-8'!D20</f>
        <v>25977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150886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55209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206095</v>
      </c>
      <c r="C2595" s="2" t="s">
        <v>569</v>
      </c>
      <c r="D2595" s="2" t="str">
        <f t="shared" si="39"/>
        <v>Error?</v>
      </c>
    </row>
    <row r="2596" spans="1:4" x14ac:dyDescent="0.2">
      <c r="A2596" s="5">
        <v>2535</v>
      </c>
      <c r="B2596" s="1832">
        <f>'Acct Summary 7-8'!F13</f>
        <v>257519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257519</v>
      </c>
      <c r="C2600" s="2" t="s">
        <v>569</v>
      </c>
      <c r="D2600" s="2" t="str">
        <f t="shared" si="39"/>
        <v>Error?</v>
      </c>
    </row>
    <row r="2601" spans="1:4" x14ac:dyDescent="0.2">
      <c r="A2601" s="5">
        <v>2540</v>
      </c>
      <c r="B2601" s="1832">
        <f>'Acct Summary 7-8'!F20</f>
        <v>-51424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165746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165746</v>
      </c>
      <c r="C2606" s="2" t="s">
        <v>569</v>
      </c>
      <c r="D2606" s="2" t="str">
        <f t="shared" si="39"/>
        <v>Error?</v>
      </c>
    </row>
    <row r="2607" spans="1:4" x14ac:dyDescent="0.2">
      <c r="A2607" s="5">
        <v>2546</v>
      </c>
      <c r="B2607" s="1832">
        <f>'Acct Summary 7-8'!G12</f>
        <v>50087</v>
      </c>
      <c r="C2607" s="2" t="s">
        <v>569</v>
      </c>
      <c r="D2607" s="2" t="str">
        <f t="shared" si="39"/>
        <v>Error?</v>
      </c>
    </row>
    <row r="2608" spans="1:4" x14ac:dyDescent="0.2">
      <c r="A2608" s="5">
        <v>2547</v>
      </c>
      <c r="B2608" s="1832">
        <f>'Acct Summary 7-8'!G13</f>
        <v>88221</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138308</v>
      </c>
      <c r="C2612" s="2" t="s">
        <v>569</v>
      </c>
      <c r="D2612" s="2" t="str">
        <f t="shared" si="39"/>
        <v>Error?</v>
      </c>
    </row>
    <row r="2613" spans="1:4" x14ac:dyDescent="0.2">
      <c r="A2613" s="5">
        <v>2552</v>
      </c>
      <c r="B2613" s="1832">
        <f>'Acct Summary 7-8'!G20</f>
        <v>27438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558660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558660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547088</v>
      </c>
      <c r="C2634" s="2" t="s">
        <v>569</v>
      </c>
      <c r="D2634" s="2" t="str">
        <f t="shared" si="40"/>
        <v>Error?</v>
      </c>
    </row>
    <row r="2635" spans="1:4" x14ac:dyDescent="0.2">
      <c r="A2635" s="5">
        <v>2574</v>
      </c>
      <c r="B2635" s="1832">
        <f>'Acct Summary 7-8'!E17</f>
        <v>547088</v>
      </c>
      <c r="C2635" s="2" t="s">
        <v>569</v>
      </c>
      <c r="D2635" s="2" t="str">
        <f t="shared" si="40"/>
        <v>Error?</v>
      </c>
    </row>
    <row r="2636" spans="1:4" x14ac:dyDescent="0.2">
      <c r="A2636" s="5">
        <v>2575</v>
      </c>
      <c r="B2636" s="1832">
        <f>'Acct Summary 7-8'!E20</f>
        <v>11572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261394</v>
      </c>
      <c r="C2789" s="2" t="s">
        <v>569</v>
      </c>
      <c r="D2789" s="2" t="str">
        <f t="shared" si="42"/>
        <v>Error?</v>
      </c>
    </row>
    <row r="2790" spans="1:4" x14ac:dyDescent="0.2">
      <c r="A2790" s="5">
        <v>2729</v>
      </c>
      <c r="B2790" s="1832">
        <f>'Expenditures 15-22'!E102</f>
        <v>261394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985329</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849629</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169996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849629</v>
      </c>
      <c r="D2912" s="2" t="str">
        <f t="shared" si="44"/>
        <v>Error?</v>
      </c>
    </row>
    <row r="2913" spans="1:4" x14ac:dyDescent="0.2">
      <c r="A2913" s="5">
        <v>2852</v>
      </c>
      <c r="B2913" s="1832">
        <f>'Assets-Liab 5-6'!I41</f>
        <v>849629</v>
      </c>
      <c r="C2913" s="2" t="s">
        <v>569</v>
      </c>
      <c r="D2913" s="2" t="str">
        <f t="shared" si="44"/>
        <v>Error?</v>
      </c>
    </row>
    <row r="2914" spans="1:4" x14ac:dyDescent="0.2">
      <c r="A2914" s="5">
        <v>2853</v>
      </c>
      <c r="B2914" s="1832">
        <f>'Assets-Liab 5-6'!L33</f>
        <v>169996</v>
      </c>
      <c r="D2914" s="2" t="str">
        <f t="shared" si="44"/>
        <v>Error?</v>
      </c>
    </row>
    <row r="2915" spans="1:4" x14ac:dyDescent="0.2">
      <c r="A2915" s="10">
        <v>2854</v>
      </c>
      <c r="B2915" s="1832"/>
      <c r="D2915" s="2" t="str">
        <f t="shared" si="44"/>
        <v>OK</v>
      </c>
    </row>
    <row r="2916" spans="1:4" x14ac:dyDescent="0.2">
      <c r="A2916" s="5">
        <v>2855</v>
      </c>
      <c r="B2916" s="1832">
        <f>'Assets-Liab 5-6'!L34</f>
        <v>169996</v>
      </c>
      <c r="C2916" s="2" t="s">
        <v>569</v>
      </c>
      <c r="D2916" s="2" t="str">
        <f t="shared" si="44"/>
        <v>Error?</v>
      </c>
    </row>
    <row r="2917" spans="1:4" x14ac:dyDescent="0.2">
      <c r="A2917" s="5">
        <v>2856</v>
      </c>
      <c r="B2917" s="1832">
        <f>'Assets-Liab 5-6'!L41</f>
        <v>169996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222526</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38868</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16750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16750</v>
      </c>
      <c r="C2973" s="2" t="s">
        <v>569</v>
      </c>
      <c r="D2973" s="2" t="str">
        <f t="shared" si="45"/>
        <v>Error?</v>
      </c>
    </row>
    <row r="2974" spans="1:4" x14ac:dyDescent="0.2">
      <c r="A2974" s="5">
        <v>2913</v>
      </c>
      <c r="B2974" s="1832">
        <f>'Expenditures 15-22'!K79</f>
        <v>222526</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38868</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132092</v>
      </c>
      <c r="D3055" s="2" t="str">
        <f t="shared" si="46"/>
        <v>Error?</v>
      </c>
    </row>
    <row r="3056" spans="1:4" x14ac:dyDescent="0.2">
      <c r="A3056" s="5">
        <v>2995</v>
      </c>
      <c r="B3056" s="1832">
        <f>'Expenditures 15-22'!D10</f>
        <v>28549</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4840</v>
      </c>
      <c r="D3058" s="2" t="str">
        <f t="shared" si="46"/>
        <v>Error?</v>
      </c>
    </row>
    <row r="3059" spans="1:4" x14ac:dyDescent="0.2">
      <c r="A3059" s="5">
        <v>2998</v>
      </c>
      <c r="B3059" s="1832">
        <f>'Expenditures 15-22'!G10</f>
        <v>9456</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174937</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1870</v>
      </c>
      <c r="D3064" s="2" t="str">
        <f t="shared" si="46"/>
        <v>Error?</v>
      </c>
    </row>
    <row r="3065" spans="1:4" x14ac:dyDescent="0.2">
      <c r="A3065" s="5">
        <v>3004</v>
      </c>
      <c r="B3065" s="1832">
        <f>'Expenditures 15-22'!K219</f>
        <v>1870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38204</v>
      </c>
      <c r="C3225" s="2" t="s">
        <v>569</v>
      </c>
      <c r="D3225" s="2" t="str">
        <f t="shared" si="49"/>
        <v>Error?</v>
      </c>
    </row>
    <row r="3226" spans="1:4" x14ac:dyDescent="0.2">
      <c r="A3226" s="5">
        <v>3165</v>
      </c>
      <c r="B3226" s="1832">
        <f>'Acct Summary 7-8'!I8</f>
        <v>38204</v>
      </c>
      <c r="C3226" s="2" t="s">
        <v>569</v>
      </c>
      <c r="D3226" s="2" t="str">
        <f t="shared" si="49"/>
        <v>Error?</v>
      </c>
    </row>
    <row r="3227" spans="1:4" x14ac:dyDescent="0.2">
      <c r="A3227" s="5">
        <v>3166</v>
      </c>
      <c r="B3227" s="1832">
        <f>'Acct Summary 7-8'!I20</f>
        <v>38204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112093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25977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-51424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27438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11572</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38204</v>
      </c>
      <c r="C3320" s="2" t="s">
        <v>569</v>
      </c>
      <c r="D3320" s="2" t="str">
        <f t="shared" si="50"/>
        <v>Error?</v>
      </c>
    </row>
    <row r="3321" spans="1:4" x14ac:dyDescent="0.2">
      <c r="A3321" s="5">
        <v>3260</v>
      </c>
      <c r="B3321" s="1832">
        <f>'Acct Summary 7-8'!I79</f>
        <v>811425</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849629</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420973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96676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218</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1349</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519216</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21433</v>
      </c>
      <c r="D3387" s="2" t="str">
        <f t="shared" si="51"/>
        <v>Error?</v>
      </c>
    </row>
    <row r="3388" spans="1:4" x14ac:dyDescent="0.2">
      <c r="A3388" s="5">
        <v>3327</v>
      </c>
      <c r="B3388" s="1832">
        <f>'Expenditures 15-22'!D217</f>
        <v>17455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21433</v>
      </c>
      <c r="C3390" s="2" t="s">
        <v>569</v>
      </c>
      <c r="D3390" s="2" t="str">
        <f t="shared" si="51"/>
        <v>Error?</v>
      </c>
    </row>
    <row r="3391" spans="1:4" x14ac:dyDescent="0.2">
      <c r="A3391" s="5">
        <v>3330</v>
      </c>
      <c r="B3391" s="1832">
        <f>'Expenditures 15-22'!K217</f>
        <v>17455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381940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339360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17472</v>
      </c>
      <c r="D3417" s="2" t="str">
        <f t="shared" si="52"/>
        <v>Error?</v>
      </c>
    </row>
    <row r="3418" spans="1:4" x14ac:dyDescent="0.2">
      <c r="A3418" s="10">
        <v>3357</v>
      </c>
      <c r="B3418" s="1832"/>
      <c r="D3418" s="2" t="str">
        <f t="shared" si="52"/>
        <v>OK</v>
      </c>
    </row>
    <row r="3419" spans="1:4" x14ac:dyDescent="0.2">
      <c r="A3419" s="5">
        <v>3358</v>
      </c>
      <c r="B3419" s="1832">
        <f>'Assets-Liab 5-6'!F4</f>
        <v>22311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235956</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822637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169996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88035</v>
      </c>
      <c r="C3446" s="2" t="s">
        <v>569</v>
      </c>
      <c r="D3446" s="2" t="str">
        <f t="shared" si="52"/>
        <v>Error?</v>
      </c>
    </row>
    <row r="3447" spans="1:4" x14ac:dyDescent="0.2">
      <c r="A3447" s="5">
        <v>3386</v>
      </c>
      <c r="B3447" s="1832">
        <f>'Tax Sched 23'!D16</f>
        <v>88035</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88001</v>
      </c>
      <c r="C3449" s="2" t="s">
        <v>569</v>
      </c>
      <c r="D3449" s="2" t="str">
        <f t="shared" si="52"/>
        <v>Error?</v>
      </c>
    </row>
    <row r="3450" spans="1:4" x14ac:dyDescent="0.2">
      <c r="A3450" s="5">
        <v>3389</v>
      </c>
      <c r="B3450" s="1832">
        <f>'Tax Sched 23'!E16</f>
        <v>88001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5922613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5922613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5922613</v>
      </c>
      <c r="D3567" s="2" t="str">
        <f t="shared" si="54"/>
        <v>Error?</v>
      </c>
    </row>
    <row r="3568" spans="1:4" x14ac:dyDescent="0.2">
      <c r="A3568" s="5">
        <v>3507</v>
      </c>
      <c r="B3568" s="1832">
        <f>'Assets-Liab 5-6'!K41</f>
        <v>5922613</v>
      </c>
      <c r="C3568" s="2" t="s">
        <v>569</v>
      </c>
      <c r="D3568" s="2" t="str">
        <f t="shared" si="54"/>
        <v>Error?</v>
      </c>
    </row>
    <row r="3569" spans="1:4" x14ac:dyDescent="0.2">
      <c r="A3569" s="5">
        <v>3508</v>
      </c>
      <c r="B3569" s="1832">
        <f>'Acct Summary 7-8'!K4</f>
        <v>300851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300851</v>
      </c>
      <c r="C3571" s="2" t="s">
        <v>569</v>
      </c>
      <c r="D3571" s="2" t="str">
        <f t="shared" si="54"/>
        <v>Error?</v>
      </c>
    </row>
    <row r="3572" spans="1:4" x14ac:dyDescent="0.2">
      <c r="A3572" s="5">
        <v>3511</v>
      </c>
      <c r="B3572" s="1832">
        <f>'Acct Summary 7-8'!K13</f>
        <v>1501567</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1501567</v>
      </c>
      <c r="C3575" s="2" t="s">
        <v>569</v>
      </c>
      <c r="D3575" s="2" t="str">
        <f t="shared" si="54"/>
        <v>Error?</v>
      </c>
    </row>
    <row r="3576" spans="1:4" x14ac:dyDescent="0.2">
      <c r="A3576" s="5">
        <v>3515</v>
      </c>
      <c r="B3576" s="1832">
        <f>'Acct Summary 7-8'!K20</f>
        <v>-1200716</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-1200716</v>
      </c>
      <c r="C3588" s="2" t="s">
        <v>569</v>
      </c>
      <c r="D3588" s="2" t="str">
        <f t="shared" si="55"/>
        <v>Error?</v>
      </c>
    </row>
    <row r="3589" spans="1:4" x14ac:dyDescent="0.2">
      <c r="A3589" s="5">
        <v>3528</v>
      </c>
      <c r="B3589" s="1832">
        <f>'Acct Summary 7-8'!K79</f>
        <v>7123329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5922613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1276112</v>
      </c>
      <c r="D3632" s="2" t="str">
        <f t="shared" si="55"/>
        <v>Error?</v>
      </c>
    </row>
    <row r="3633" spans="1:4" x14ac:dyDescent="0.2">
      <c r="A3633" s="5">
        <v>3572</v>
      </c>
      <c r="B3633" s="1832">
        <f>'Expenditures 15-22'!E350</f>
        <v>1276112</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1276112</v>
      </c>
      <c r="C3635" s="2" t="s">
        <v>569</v>
      </c>
      <c r="D3635" s="2" t="str">
        <f t="shared" si="55"/>
        <v>Error?</v>
      </c>
    </row>
    <row r="3636" spans="1:4" x14ac:dyDescent="0.2">
      <c r="A3636" s="5">
        <v>3575</v>
      </c>
      <c r="B3636" s="1832">
        <f>'Expenditures 15-22'!E367</f>
        <v>1276112</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225455</v>
      </c>
      <c r="D3646" s="2" t="str">
        <f t="shared" si="55"/>
        <v>Error?</v>
      </c>
    </row>
    <row r="3647" spans="1:4" x14ac:dyDescent="0.2">
      <c r="A3647" s="5">
        <v>3586</v>
      </c>
      <c r="B3647" s="1832">
        <f>'Expenditures 15-22'!G350</f>
        <v>225455</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225455</v>
      </c>
      <c r="C3649" s="2" t="s">
        <v>569</v>
      </c>
      <c r="D3649" s="2" t="str">
        <f t="shared" si="56"/>
        <v>Error?</v>
      </c>
    </row>
    <row r="3650" spans="1:4" x14ac:dyDescent="0.2">
      <c r="A3650" s="5">
        <v>3589</v>
      </c>
      <c r="B3650" s="1832">
        <f>'Expenditures 15-22'!G367</f>
        <v>225455</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1501567</v>
      </c>
      <c r="C3669" s="2" t="s">
        <v>569</v>
      </c>
      <c r="D3669" s="2" t="str">
        <f t="shared" si="56"/>
        <v>Error?</v>
      </c>
    </row>
    <row r="3670" spans="1:4" x14ac:dyDescent="0.2">
      <c r="A3670" s="5">
        <v>3609</v>
      </c>
      <c r="B3670" s="1832">
        <f>'Expenditures 15-22'!K350</f>
        <v>1501567</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1501567</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1501567</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-1200716</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36972</v>
      </c>
      <c r="C3725" s="2" t="s">
        <v>569</v>
      </c>
      <c r="D3725" s="2" t="str">
        <f t="shared" si="57"/>
        <v>Error?</v>
      </c>
    </row>
    <row r="3726" spans="1:4" x14ac:dyDescent="0.2">
      <c r="A3726" s="5">
        <v>3665</v>
      </c>
      <c r="B3726" s="1832">
        <f>'Tax Sched 23'!D13</f>
        <v>36972</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36774</v>
      </c>
      <c r="C3728" s="2" t="s">
        <v>569</v>
      </c>
      <c r="D3728" s="2" t="str">
        <f t="shared" si="57"/>
        <v>Error?</v>
      </c>
    </row>
    <row r="3729" spans="1:4" x14ac:dyDescent="0.2">
      <c r="A3729" s="5">
        <v>3668</v>
      </c>
      <c r="B3729" s="1832">
        <f>'Tax Sched 23'!E13</f>
        <v>36774</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1930943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6500774</v>
      </c>
      <c r="C4122" s="2" t="s">
        <v>569</v>
      </c>
      <c r="D4122" s="2" t="str">
        <f t="shared" si="63"/>
        <v>Error?</v>
      </c>
    </row>
    <row r="4123" spans="1:4" x14ac:dyDescent="0.2">
      <c r="A4123" s="5">
        <v>4062</v>
      </c>
      <c r="B4123" s="1832">
        <f>'Acct Summary 7-8'!D10</f>
        <v>460225</v>
      </c>
      <c r="C4123" s="2" t="s">
        <v>569</v>
      </c>
      <c r="D4123" s="2" t="str">
        <f t="shared" si="63"/>
        <v>Error?</v>
      </c>
    </row>
    <row r="4124" spans="1:4" x14ac:dyDescent="0.2">
      <c r="A4124" s="5">
        <v>4063</v>
      </c>
      <c r="B4124" s="1832">
        <f>'Acct Summary 7-8'!E10</f>
        <v>558660</v>
      </c>
      <c r="C4124" s="2" t="s">
        <v>569</v>
      </c>
      <c r="D4124" s="2" t="str">
        <f t="shared" si="63"/>
        <v>Error?</v>
      </c>
    </row>
    <row r="4125" spans="1:4" x14ac:dyDescent="0.2">
      <c r="A4125" s="5">
        <v>4064</v>
      </c>
      <c r="B4125" s="1832">
        <f>'Acct Summary 7-8'!F10</f>
        <v>206095</v>
      </c>
      <c r="C4125" s="2" t="s">
        <v>569</v>
      </c>
      <c r="D4125" s="2" t="str">
        <f t="shared" si="63"/>
        <v>Error?</v>
      </c>
    </row>
    <row r="4126" spans="1:4" x14ac:dyDescent="0.2">
      <c r="A4126" s="5">
        <v>4065</v>
      </c>
      <c r="B4126" s="1832">
        <f>'Acct Summary 7-8'!G10</f>
        <v>165746</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38204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300851</v>
      </c>
      <c r="C4130" s="2" t="s">
        <v>569</v>
      </c>
      <c r="D4130" s="2" t="str">
        <f t="shared" si="63"/>
        <v>Error?</v>
      </c>
    </row>
    <row r="4131" spans="1:4" x14ac:dyDescent="0.2">
      <c r="A4131" s="5">
        <v>4070</v>
      </c>
      <c r="B4131" s="1832">
        <f>'Acct Summary 7-8'!C18</f>
        <v>1930943</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6388681</v>
      </c>
      <c r="C4136" s="2" t="s">
        <v>569</v>
      </c>
      <c r="D4136" s="2" t="str">
        <f t="shared" si="63"/>
        <v>Error?</v>
      </c>
    </row>
    <row r="4137" spans="1:4" x14ac:dyDescent="0.2">
      <c r="A4137" s="5">
        <v>4076</v>
      </c>
      <c r="B4137" s="1832">
        <f>'Acct Summary 7-8'!D19</f>
        <v>434248</v>
      </c>
      <c r="C4137" s="2" t="s">
        <v>569</v>
      </c>
      <c r="D4137" s="2" t="str">
        <f t="shared" si="63"/>
        <v>Error?</v>
      </c>
    </row>
    <row r="4138" spans="1:4" x14ac:dyDescent="0.2">
      <c r="A4138" s="5">
        <v>4077</v>
      </c>
      <c r="B4138" s="1832">
        <f>'Acct Summary 7-8'!E19</f>
        <v>547088</v>
      </c>
      <c r="C4138" s="2" t="s">
        <v>569</v>
      </c>
      <c r="D4138" s="2" t="str">
        <f t="shared" si="63"/>
        <v>Error?</v>
      </c>
    </row>
    <row r="4139" spans="1:4" x14ac:dyDescent="0.2">
      <c r="A4139" s="5">
        <v>4078</v>
      </c>
      <c r="B4139" s="1832">
        <f>'Acct Summary 7-8'!F19</f>
        <v>257519</v>
      </c>
      <c r="C4139" s="2" t="s">
        <v>569</v>
      </c>
      <c r="D4139" s="2" t="str">
        <f t="shared" si="63"/>
        <v>Error?</v>
      </c>
    </row>
    <row r="4140" spans="1:4" x14ac:dyDescent="0.2">
      <c r="A4140" s="5">
        <v>4079</v>
      </c>
      <c r="B4140" s="1832">
        <f>'Acct Summary 7-8'!G19</f>
        <v>138308</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1501567</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7120000</v>
      </c>
      <c r="C4171" s="2" t="s">
        <v>569</v>
      </c>
      <c r="D4171" s="2" t="str">
        <f t="shared" si="64"/>
        <v>Error?</v>
      </c>
    </row>
    <row r="4172" spans="1:4" x14ac:dyDescent="0.2">
      <c r="A4172" s="5">
        <v>4111</v>
      </c>
      <c r="B4172" s="1832">
        <f>'Short-Term Long-Term Debt 24'!J49</f>
        <v>7102528</v>
      </c>
      <c r="C4172" s="2" t="s">
        <v>569</v>
      </c>
      <c r="D4172" s="2" t="str">
        <f t="shared" si="64"/>
        <v>Error?</v>
      </c>
    </row>
    <row r="4173" spans="1:4" x14ac:dyDescent="0.2">
      <c r="A4173" s="5">
        <v>4112</v>
      </c>
      <c r="B4173" s="1832">
        <f>'Short-Term Long-Term Debt 24'!H49</f>
        <v>250000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2800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3500.0000000000005</v>
      </c>
      <c r="C4268" s="2" t="s">
        <v>569</v>
      </c>
      <c r="D4268" s="2" t="str">
        <f t="shared" si="65"/>
        <v>Error?</v>
      </c>
    </row>
    <row r="4269" spans="1:5" x14ac:dyDescent="0.2">
      <c r="A4269" s="12">
        <v>4208</v>
      </c>
      <c r="B4269" s="1832">
        <f>'FP Info 3'!J16</f>
        <v>1566248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5459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12392</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4728</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4728</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5195</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38617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73548849</v>
      </c>
      <c r="D4995" s="2" t="str">
        <f t="shared" si="77"/>
        <v>Error?</v>
      </c>
    </row>
    <row r="4996" spans="1:4" x14ac:dyDescent="0.2">
      <c r="A4996" s="12">
        <v>4935</v>
      </c>
      <c r="B4996" s="1832">
        <f>'FP Info 3'!H31</f>
        <v>10149741.162</v>
      </c>
      <c r="D4996" s="2" t="str">
        <f t="shared" si="77"/>
        <v>Error?</v>
      </c>
    </row>
    <row r="4997" spans="1:4" x14ac:dyDescent="0.2">
      <c r="A4997" s="12">
        <v>4936</v>
      </c>
      <c r="B4997" s="1832">
        <f>'FP Info 3'!H37</f>
        <v>7120000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36972</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2070382</v>
      </c>
      <c r="D5061" s="2" t="str">
        <f t="shared" si="78"/>
        <v>Error?</v>
      </c>
    </row>
    <row r="5062" spans="1:4" x14ac:dyDescent="0.2">
      <c r="A5062" s="10">
        <v>5001</v>
      </c>
      <c r="B5062" s="1832"/>
      <c r="D5062" s="2" t="str">
        <f t="shared" si="78"/>
        <v>OK</v>
      </c>
    </row>
    <row r="5063" spans="1:4" x14ac:dyDescent="0.2">
      <c r="A5063" s="5">
        <v>5002</v>
      </c>
      <c r="B5063" s="1832">
        <f>'Revenues 9-14'!C7</f>
        <v>29577</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2136931</v>
      </c>
      <c r="C5066" s="2" t="s">
        <v>569</v>
      </c>
      <c r="D5066" s="2" t="str">
        <f t="shared" si="78"/>
        <v>Error?</v>
      </c>
    </row>
    <row r="5067" spans="1:4" x14ac:dyDescent="0.2">
      <c r="A5067" s="5">
        <v>5006</v>
      </c>
      <c r="B5067" s="1832">
        <f>'Revenues 9-14'!C14</f>
        <v>2640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2640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28341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28341</v>
      </c>
      <c r="C5090" s="2" t="s">
        <v>569</v>
      </c>
      <c r="D5090" s="2" t="str">
        <f t="shared" si="78"/>
        <v>Error?</v>
      </c>
    </row>
    <row r="5091" spans="1:4" x14ac:dyDescent="0.2">
      <c r="A5091" s="5">
        <v>5030</v>
      </c>
      <c r="B5091" s="1832">
        <f>'Revenues 9-14'!C70</f>
        <v>6118</v>
      </c>
      <c r="D5091" s="2" t="str">
        <f t="shared" si="78"/>
        <v>Error?</v>
      </c>
    </row>
    <row r="5092" spans="1:4" x14ac:dyDescent="0.2">
      <c r="A5092" s="5">
        <v>5031</v>
      </c>
      <c r="B5092" s="1832">
        <f>'Revenues 9-14'!C71</f>
        <v>23286</v>
      </c>
      <c r="D5092" s="2" t="str">
        <f t="shared" si="78"/>
        <v>Error?</v>
      </c>
    </row>
    <row r="5093" spans="1:4" x14ac:dyDescent="0.2">
      <c r="A5093" s="5">
        <v>5032</v>
      </c>
      <c r="B5093" s="1832">
        <f>'Revenues 9-14'!C72</f>
        <v>7842</v>
      </c>
      <c r="D5093" s="2" t="str">
        <f t="shared" si="78"/>
        <v>Error?</v>
      </c>
    </row>
    <row r="5094" spans="1:4" x14ac:dyDescent="0.2">
      <c r="A5094" s="5">
        <v>5033</v>
      </c>
      <c r="B5094" s="1832">
        <f>'Revenues 9-14'!C73</f>
        <v>1728</v>
      </c>
      <c r="D5094" s="2" t="str">
        <f t="shared" si="78"/>
        <v>Error?</v>
      </c>
    </row>
    <row r="5095" spans="1:4" x14ac:dyDescent="0.2">
      <c r="A5095" s="5">
        <v>5034</v>
      </c>
      <c r="B5095" s="1832">
        <f>'Revenues 9-14'!C74</f>
        <v>30</v>
      </c>
      <c r="D5095" s="2" t="str">
        <f t="shared" si="78"/>
        <v>Error?</v>
      </c>
    </row>
    <row r="5096" spans="1:4" x14ac:dyDescent="0.2">
      <c r="A5096" s="5">
        <v>5035</v>
      </c>
      <c r="B5096" s="1832">
        <f>'Revenues 9-14'!C75</f>
        <v>81892</v>
      </c>
      <c r="C5096" s="2" t="s">
        <v>569</v>
      </c>
      <c r="D5096" s="2" t="str">
        <f t="shared" si="78"/>
        <v>Error?</v>
      </c>
    </row>
    <row r="5097" spans="1:4" x14ac:dyDescent="0.2">
      <c r="A5097" s="5">
        <v>5036</v>
      </c>
      <c r="B5097" s="1832">
        <f>'Revenues 9-14'!C77</f>
        <v>26077</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26077</v>
      </c>
      <c r="C5102" s="2" t="s">
        <v>569</v>
      </c>
      <c r="D5102" s="2" t="str">
        <f t="shared" si="78"/>
        <v>Error?</v>
      </c>
    </row>
    <row r="5103" spans="1:4" x14ac:dyDescent="0.2">
      <c r="A5103" s="5">
        <v>5042</v>
      </c>
      <c r="B5103" s="1832">
        <f>'Revenues 9-14'!C84</f>
        <v>13356</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13356</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4000</v>
      </c>
      <c r="D5114" s="2" t="str">
        <f t="shared" si="78"/>
        <v>Error?</v>
      </c>
    </row>
    <row r="5115" spans="1:4" x14ac:dyDescent="0.2">
      <c r="A5115" s="5">
        <v>5054</v>
      </c>
      <c r="B5115" s="1832">
        <f>'Revenues 9-14'!C98</f>
        <v>39097</v>
      </c>
      <c r="D5115" s="2" t="str">
        <f t="shared" si="78"/>
        <v>Error?</v>
      </c>
    </row>
    <row r="5116" spans="1:4" x14ac:dyDescent="0.2">
      <c r="A5116" s="5">
        <v>5055</v>
      </c>
      <c r="B5116" s="1832">
        <f>'Revenues 9-14'!C99</f>
        <v>214</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1080</v>
      </c>
      <c r="D5118" s="2" t="str">
        <f t="shared" si="78"/>
        <v>Error?</v>
      </c>
    </row>
    <row r="5119" spans="1:4" x14ac:dyDescent="0.2">
      <c r="A5119" s="5">
        <v>5058</v>
      </c>
      <c r="B5119" s="1832">
        <f>'Revenues 9-14'!C107</f>
        <v>1119</v>
      </c>
      <c r="D5119" s="2" t="str">
        <f t="shared" ref="D5119:D5182" si="79">IF(ISBLANK(B5119),"OK",IF(A5119-B5119=0,"OK","Error?"))</f>
        <v>Error?</v>
      </c>
    </row>
    <row r="5120" spans="1:4" x14ac:dyDescent="0.2">
      <c r="A5120" s="5">
        <v>5059</v>
      </c>
      <c r="B5120" s="1832">
        <f>'Revenues 9-14'!C108</f>
        <v>46710</v>
      </c>
      <c r="C5120" s="2" t="s">
        <v>569</v>
      </c>
      <c r="D5120" s="2" t="str">
        <f t="shared" si="79"/>
        <v>Error?</v>
      </c>
    </row>
    <row r="5121" spans="1:4" x14ac:dyDescent="0.2">
      <c r="A5121" s="5">
        <v>5060</v>
      </c>
      <c r="B5121" s="1832">
        <f>'Revenues 9-14'!C109</f>
        <v>2335947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1671510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1671510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9781</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9781</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10230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10230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1793</v>
      </c>
      <c r="D5167" s="2" t="str">
        <f t="shared" si="79"/>
        <v>Error?</v>
      </c>
    </row>
    <row r="5168" spans="1:4" x14ac:dyDescent="0.2">
      <c r="A5168" s="5">
        <v>5107</v>
      </c>
      <c r="B5168" s="1832">
        <f>'Revenues 9-14'!C148</f>
        <v>5351</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105538</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133443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1804953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91525</v>
      </c>
      <c r="D5239" s="2" t="str">
        <f t="shared" si="80"/>
        <v>Error?</v>
      </c>
    </row>
    <row r="5240" spans="1:4" x14ac:dyDescent="0.2">
      <c r="A5240" s="5">
        <v>5179</v>
      </c>
      <c r="B5240" s="1832">
        <f>'Revenues 9-14'!C192</f>
        <v>145</v>
      </c>
      <c r="D5240" s="2" t="str">
        <f t="shared" si="80"/>
        <v>Error?</v>
      </c>
    </row>
    <row r="5241" spans="1:4" x14ac:dyDescent="0.2">
      <c r="A5241" s="5">
        <v>5180</v>
      </c>
      <c r="B5241" s="1832">
        <f>'Revenues 9-14'!C193</f>
        <v>28225</v>
      </c>
      <c r="D5241" s="2" t="str">
        <f t="shared" si="80"/>
        <v>Error?</v>
      </c>
    </row>
    <row r="5242" spans="1:4" x14ac:dyDescent="0.2">
      <c r="A5242" s="5">
        <v>5181</v>
      </c>
      <c r="B5242" s="1832">
        <f>'Revenues 9-14'!C194</f>
        <v>39282</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159177</v>
      </c>
      <c r="C5246" s="2" t="s">
        <v>569</v>
      </c>
      <c r="D5246" s="2" t="str">
        <f t="shared" si="80"/>
        <v>Error?</v>
      </c>
    </row>
    <row r="5247" spans="1:4" x14ac:dyDescent="0.2">
      <c r="A5247" s="5">
        <v>5186</v>
      </c>
      <c r="B5247" s="1832">
        <f>'Revenues 9-14'!C200</f>
        <v>203363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5195</v>
      </c>
      <c r="D5256" s="2" t="str">
        <f t="shared" si="81"/>
        <v>OK</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203363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428931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428931</v>
      </c>
      <c r="C5326" s="2" t="s">
        <v>569</v>
      </c>
      <c r="D5326" s="2" t="str">
        <f t="shared" si="82"/>
        <v>Error?</v>
      </c>
    </row>
    <row r="5327" spans="1:5" x14ac:dyDescent="0.2">
      <c r="A5327" s="5">
        <v>5266</v>
      </c>
      <c r="B5327" s="1832">
        <f>'Revenues 9-14'!C268</f>
        <v>4569831</v>
      </c>
      <c r="C5327" s="2" t="s">
        <v>569</v>
      </c>
      <c r="D5327" s="2" t="str">
        <f t="shared" si="82"/>
        <v>Error?</v>
      </c>
    </row>
    <row r="5328" spans="1:5" x14ac:dyDescent="0.2">
      <c r="A5328" s="5">
        <v>5267</v>
      </c>
      <c r="B5328" s="1832">
        <f>'Revenues 9-14'!D5</f>
        <v>369711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369711</v>
      </c>
      <c r="C5334" s="2" t="s">
        <v>569</v>
      </c>
      <c r="D5334" s="2" t="str">
        <f t="shared" si="82"/>
        <v>Error?</v>
      </c>
    </row>
    <row r="5335" spans="1:4" x14ac:dyDescent="0.2">
      <c r="A5335" s="5">
        <v>5274</v>
      </c>
      <c r="B5335" s="1832">
        <f>'Revenues 9-14'!D14</f>
        <v>457</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73899</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74356</v>
      </c>
      <c r="C5339" s="2" t="s">
        <v>569</v>
      </c>
      <c r="D5339" s="2" t="str">
        <f t="shared" si="82"/>
        <v>Error?</v>
      </c>
    </row>
    <row r="5340" spans="1:4" x14ac:dyDescent="0.2">
      <c r="A5340" s="5">
        <v>5279</v>
      </c>
      <c r="B5340" s="1832">
        <f>'Revenues 9-14'!D65</f>
        <v>76</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76</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13472</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16082</v>
      </c>
      <c r="C5355" s="2" t="s">
        <v>569</v>
      </c>
      <c r="D5355" s="2" t="str">
        <f t="shared" si="82"/>
        <v>Error?</v>
      </c>
    </row>
    <row r="5356" spans="1:4" x14ac:dyDescent="0.2">
      <c r="A5356" s="5">
        <v>5295</v>
      </c>
      <c r="B5356" s="1832">
        <f>'Revenues 9-14'!D109</f>
        <v>460225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460225</v>
      </c>
      <c r="C5508" s="2" t="s">
        <v>569</v>
      </c>
      <c r="D5508" s="2" t="str">
        <f t="shared" si="85"/>
        <v>Error?</v>
      </c>
    </row>
    <row r="5509" spans="1:4" x14ac:dyDescent="0.2">
      <c r="A5509" s="5">
        <v>5448</v>
      </c>
      <c r="B5509" s="1832">
        <f>'Revenues 9-14'!E5</f>
        <v>557922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557922</v>
      </c>
      <c r="C5513" s="2" t="s">
        <v>569</v>
      </c>
      <c r="D5513" s="2" t="str">
        <f t="shared" si="85"/>
        <v>Error?</v>
      </c>
    </row>
    <row r="5514" spans="1:4" x14ac:dyDescent="0.2">
      <c r="A5514" s="5">
        <v>5453</v>
      </c>
      <c r="B5514" s="1832">
        <f>'Revenues 9-14'!E14</f>
        <v>689</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689</v>
      </c>
      <c r="C5518" s="2" t="s">
        <v>569</v>
      </c>
      <c r="D5518" s="2" t="str">
        <f t="shared" si="85"/>
        <v>Error?</v>
      </c>
    </row>
    <row r="5519" spans="1:4" x14ac:dyDescent="0.2">
      <c r="A5519" s="5">
        <v>5458</v>
      </c>
      <c r="B5519" s="1832">
        <f>'Revenues 9-14'!E65</f>
        <v>49</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49</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558660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558660</v>
      </c>
      <c r="C5552" s="2" t="s">
        <v>569</v>
      </c>
      <c r="D5552" s="2" t="str">
        <f t="shared" si="85"/>
        <v>Error?</v>
      </c>
    </row>
    <row r="5553" spans="1:4" x14ac:dyDescent="0.2">
      <c r="A5553" s="5">
        <v>5492</v>
      </c>
      <c r="B5553" s="1832">
        <f>'Revenues 9-14'!F5</f>
        <v>147884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147884</v>
      </c>
      <c r="C5557" s="2" t="s">
        <v>569</v>
      </c>
      <c r="D5557" s="2" t="str">
        <f t="shared" si="85"/>
        <v>Error?</v>
      </c>
    </row>
    <row r="5558" spans="1:4" x14ac:dyDescent="0.2">
      <c r="A5558" s="5">
        <v>5497</v>
      </c>
      <c r="B5558" s="1832">
        <f>'Revenues 9-14'!F14</f>
        <v>183</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183</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23</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23</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2296</v>
      </c>
      <c r="D5586" s="2" t="str">
        <f t="shared" si="86"/>
        <v>Error?</v>
      </c>
    </row>
    <row r="5587" spans="1:4" x14ac:dyDescent="0.2">
      <c r="A5587" s="5">
        <v>5526</v>
      </c>
      <c r="B5587" s="1832">
        <f>'Revenues 9-14'!F108</f>
        <v>2796</v>
      </c>
      <c r="C5587" s="2" t="s">
        <v>569</v>
      </c>
      <c r="D5587" s="2" t="str">
        <f t="shared" si="86"/>
        <v>Error?</v>
      </c>
    </row>
    <row r="5588" spans="1:4" x14ac:dyDescent="0.2">
      <c r="A5588" s="5">
        <v>5527</v>
      </c>
      <c r="B5588" s="1832">
        <f>'Revenues 9-14'!F109</f>
        <v>150886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36876</v>
      </c>
      <c r="D5615" s="2" t="str">
        <f t="shared" si="86"/>
        <v>Error?</v>
      </c>
    </row>
    <row r="5616" spans="1:4" x14ac:dyDescent="0.2">
      <c r="A5616" s="10">
        <v>5555</v>
      </c>
      <c r="B5616" s="1832"/>
      <c r="D5616" s="2" t="str">
        <f t="shared" si="86"/>
        <v>OK</v>
      </c>
    </row>
    <row r="5617" spans="1:5" x14ac:dyDescent="0.2">
      <c r="A5617" s="5">
        <v>5556</v>
      </c>
      <c r="B5617" s="1832">
        <f>'Revenues 9-14'!F153</f>
        <v>18333</v>
      </c>
      <c r="D5617" s="2" t="str">
        <f t="shared" si="86"/>
        <v>Error?</v>
      </c>
    </row>
    <row r="5618" spans="1:5" x14ac:dyDescent="0.2">
      <c r="A5618" s="5">
        <v>5557</v>
      </c>
      <c r="B5618" s="1832">
        <f>'Revenues 9-14'!F155</f>
        <v>55209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55209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55209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206095</v>
      </c>
      <c r="C5720" s="2" t="s">
        <v>569</v>
      </c>
      <c r="D5720" s="2" t="str">
        <f t="shared" si="88"/>
        <v>Error?</v>
      </c>
    </row>
    <row r="5721" spans="1:4" x14ac:dyDescent="0.2">
      <c r="A5721" s="5">
        <v>5660</v>
      </c>
      <c r="B5721" s="1832">
        <f>'Revenues 9-14'!G5</f>
        <v>77033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88035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165068</v>
      </c>
      <c r="C5725" s="2" t="s">
        <v>569</v>
      </c>
      <c r="D5725" s="2" t="str">
        <f t="shared" si="88"/>
        <v>Error?</v>
      </c>
    </row>
    <row r="5726" spans="1:4" x14ac:dyDescent="0.2">
      <c r="A5726" s="5">
        <v>5665</v>
      </c>
      <c r="B5726" s="1832">
        <f>'Revenues 9-14'!G14</f>
        <v>204</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204</v>
      </c>
      <c r="C5730" s="2" t="s">
        <v>569</v>
      </c>
      <c r="D5730" s="2" t="str">
        <f t="shared" si="88"/>
        <v>Error?</v>
      </c>
    </row>
    <row r="5731" spans="1:4" x14ac:dyDescent="0.2">
      <c r="A5731" s="5">
        <v>5670</v>
      </c>
      <c r="B5731" s="1832">
        <f>'Revenues 9-14'!G65</f>
        <v>474</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474</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165746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36972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36972</v>
      </c>
      <c r="C5918" s="2" t="s">
        <v>569</v>
      </c>
      <c r="D5918" s="2" t="str">
        <f t="shared" si="91"/>
        <v>Error?</v>
      </c>
    </row>
    <row r="5919" spans="1:4" x14ac:dyDescent="0.2">
      <c r="A5919" s="5">
        <v>5858</v>
      </c>
      <c r="B5919" s="1832">
        <f>'Revenues 9-14'!I14</f>
        <v>46</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46</v>
      </c>
      <c r="C5923" s="2" t="s">
        <v>569</v>
      </c>
      <c r="D5923" s="2" t="str">
        <f t="shared" si="91"/>
        <v>Error?</v>
      </c>
    </row>
    <row r="5924" spans="1:4" x14ac:dyDescent="0.2">
      <c r="A5924" s="5">
        <v>5863</v>
      </c>
      <c r="B5924" s="1832">
        <f>'Revenues 9-14'!I65</f>
        <v>1186</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1186</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38204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36972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36972</v>
      </c>
      <c r="C5987" s="2" t="s">
        <v>569</v>
      </c>
      <c r="D5987" s="2" t="str">
        <f t="shared" si="92"/>
        <v>Error?</v>
      </c>
    </row>
    <row r="5988" spans="1:4" x14ac:dyDescent="0.2">
      <c r="A5988" s="5">
        <v>5927</v>
      </c>
      <c r="B5988" s="1832">
        <f>'Revenues 9-14'!K14</f>
        <v>46</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46</v>
      </c>
      <c r="C5992" s="2" t="s">
        <v>569</v>
      </c>
      <c r="D5992" s="2" t="str">
        <f t="shared" si="92"/>
        <v>Error?</v>
      </c>
    </row>
    <row r="5993" spans="1:4" x14ac:dyDescent="0.2">
      <c r="A5993" s="5">
        <v>5932</v>
      </c>
      <c r="B5993" s="1832">
        <f>'Revenues 9-14'!K65</f>
        <v>95556</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95556</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168277</v>
      </c>
      <c r="D5998" s="2" t="str">
        <f t="shared" si="92"/>
        <v>Error?</v>
      </c>
    </row>
    <row r="5999" spans="1:4" x14ac:dyDescent="0.2">
      <c r="A5999" s="5">
        <v>5938</v>
      </c>
      <c r="B5999" s="1832">
        <f>'Revenues 9-14'!K108</f>
        <v>168277</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300851</v>
      </c>
      <c r="C6023" s="2" t="s">
        <v>569</v>
      </c>
      <c r="D6023" s="2" t="str">
        <f t="shared" si="93"/>
        <v>Error?</v>
      </c>
    </row>
    <row r="6024" spans="1:5" x14ac:dyDescent="0.2">
      <c r="A6024" s="5">
        <v>5963</v>
      </c>
      <c r="B6024" s="1832">
        <f>'Revenues 9-14'!G109</f>
        <v>165746</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38204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300851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42888</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19036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497.9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26992</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174062</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26992</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174062</v>
      </c>
      <c r="D6215" s="2" t="str">
        <f t="shared" si="96"/>
        <v>Error?</v>
      </c>
      <c r="E6215" s="2" t="s">
        <v>189</v>
      </c>
    </row>
    <row r="6216" spans="1:5" x14ac:dyDescent="0.2">
      <c r="A6216">
        <v>6155</v>
      </c>
      <c r="B6216" s="1832">
        <f>'Assets-Liab 5-6'!J41</f>
        <v>174062</v>
      </c>
      <c r="D6216" s="2" t="str">
        <f t="shared" si="96"/>
        <v>Error?</v>
      </c>
      <c r="E6216" s="2" t="s">
        <v>189</v>
      </c>
    </row>
    <row r="6217" spans="1:5" x14ac:dyDescent="0.2">
      <c r="A6217">
        <v>6156</v>
      </c>
      <c r="B6217" s="1832">
        <f>'Assets-Liab 5-6'!J4</f>
        <v>174062</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200343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200343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200343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148156</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148156</v>
      </c>
      <c r="D6229" s="2" t="str">
        <f t="shared" si="96"/>
        <v>Error?</v>
      </c>
      <c r="E6229" s="2" t="s">
        <v>189</v>
      </c>
    </row>
    <row r="6230" spans="1:5" x14ac:dyDescent="0.2">
      <c r="A6230">
        <v>6169</v>
      </c>
      <c r="B6230" s="1832">
        <f>'Acct Summary 7-8'!J20</f>
        <v>52187</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52187</v>
      </c>
      <c r="D6263" s="2" t="str">
        <f t="shared" si="96"/>
        <v>Error?</v>
      </c>
      <c r="E6263" s="2" t="s">
        <v>189</v>
      </c>
    </row>
    <row r="6264" spans="1:5" x14ac:dyDescent="0.2">
      <c r="A6264">
        <v>6203</v>
      </c>
      <c r="B6264" s="1832">
        <f>'Acct Summary 7-8'!J79</f>
        <v>121875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174062</v>
      </c>
      <c r="D6266" s="2" t="str">
        <f t="shared" si="96"/>
        <v>Error?</v>
      </c>
      <c r="E6266" s="2" t="s">
        <v>189</v>
      </c>
    </row>
    <row r="6267" spans="1:5" x14ac:dyDescent="0.2">
      <c r="A6267">
        <v>6206</v>
      </c>
      <c r="B6267" s="1832">
        <f>'Acct Summary 7-8'!C82</f>
        <v>112093</v>
      </c>
      <c r="D6267" s="2" t="str">
        <f t="shared" si="96"/>
        <v>Error?</v>
      </c>
      <c r="E6267" s="2" t="s">
        <v>189</v>
      </c>
    </row>
    <row r="6268" spans="1:5" x14ac:dyDescent="0.2">
      <c r="A6268">
        <v>6207</v>
      </c>
      <c r="B6268" s="1832">
        <f>'Acct Summary 7-8'!D82</f>
        <v>25977</v>
      </c>
      <c r="D6268" s="2" t="str">
        <f t="shared" si="96"/>
        <v>Error?</v>
      </c>
      <c r="E6268" s="2" t="s">
        <v>189</v>
      </c>
    </row>
    <row r="6269" spans="1:5" x14ac:dyDescent="0.2">
      <c r="A6269">
        <v>6208</v>
      </c>
      <c r="B6269" s="1832">
        <f>'Acct Summary 7-8'!E82</f>
        <v>11572</v>
      </c>
      <c r="D6269" s="2" t="str">
        <f t="shared" si="96"/>
        <v>Error?</v>
      </c>
      <c r="E6269" s="2" t="s">
        <v>189</v>
      </c>
    </row>
    <row r="6270" spans="1:5" x14ac:dyDescent="0.2">
      <c r="A6270">
        <v>6209</v>
      </c>
      <c r="B6270" s="1832">
        <f>'Acct Summary 7-8'!F82</f>
        <v>-51424</v>
      </c>
      <c r="D6270" s="2" t="str">
        <f t="shared" si="96"/>
        <v>Error?</v>
      </c>
      <c r="E6270" s="2" t="s">
        <v>189</v>
      </c>
    </row>
    <row r="6271" spans="1:5" x14ac:dyDescent="0.2">
      <c r="A6271">
        <v>6210</v>
      </c>
      <c r="B6271" s="1832">
        <f>'Acct Summary 7-8'!G82</f>
        <v>27438</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38204</v>
      </c>
      <c r="D6273" s="2" t="str">
        <f t="shared" si="97"/>
        <v>Error?</v>
      </c>
      <c r="E6273" s="2" t="s">
        <v>189</v>
      </c>
    </row>
    <row r="6274" spans="1:5" x14ac:dyDescent="0.2">
      <c r="A6274">
        <v>6213</v>
      </c>
      <c r="B6274" s="1832">
        <f>'Acct Summary 7-8'!J82</f>
        <v>52187</v>
      </c>
      <c r="D6274" s="2" t="str">
        <f t="shared" si="97"/>
        <v>Error?</v>
      </c>
      <c r="E6274" s="2" t="s">
        <v>189</v>
      </c>
    </row>
    <row r="6275" spans="1:5" x14ac:dyDescent="0.2">
      <c r="A6275">
        <v>6214</v>
      </c>
      <c r="B6275" s="1832">
        <f>'Acct Summary 7-8'!K82</f>
        <v>-1200716</v>
      </c>
      <c r="D6275" s="2" t="str">
        <f t="shared" si="97"/>
        <v>Error?</v>
      </c>
      <c r="E6275" s="2" t="s">
        <v>189</v>
      </c>
    </row>
    <row r="6276" spans="1:5" x14ac:dyDescent="0.2">
      <c r="A6276">
        <v>6215</v>
      </c>
      <c r="B6276" s="1832">
        <f>'Acct Summary 7-8'!C83</f>
        <v>0.29348326962350108</v>
      </c>
      <c r="D6276" s="2" t="str">
        <f t="shared" si="97"/>
        <v>Error?</v>
      </c>
      <c r="E6276" s="2" t="s">
        <v>189</v>
      </c>
    </row>
    <row r="6277" spans="1:5" x14ac:dyDescent="0.2">
      <c r="A6277">
        <v>6216</v>
      </c>
      <c r="B6277" s="1832">
        <f>'Acct Summary 7-8'!D83</f>
        <v>7.6547029702970296E-2</v>
      </c>
      <c r="D6277" s="2" t="str">
        <f t="shared" si="97"/>
        <v>Error?</v>
      </c>
      <c r="E6277" s="2" t="s">
        <v>189</v>
      </c>
    </row>
    <row r="6278" spans="1:5" x14ac:dyDescent="0.2">
      <c r="A6278">
        <v>6217</v>
      </c>
      <c r="B6278" s="1832">
        <f>'Acct Summary 7-8'!E83</f>
        <v>0.6623168498168498</v>
      </c>
      <c r="D6278" s="2" t="str">
        <f t="shared" si="97"/>
        <v>Error?</v>
      </c>
      <c r="E6278" s="2" t="s">
        <v>189</v>
      </c>
    </row>
    <row r="6279" spans="1:5" x14ac:dyDescent="0.2">
      <c r="A6279">
        <v>6218</v>
      </c>
      <c r="B6279" s="1832">
        <f>'Acct Summary 7-8'!F83</f>
        <v>10.985686819055758</v>
      </c>
      <c r="D6279" s="2" t="str">
        <f t="shared" si="97"/>
        <v>Error?</v>
      </c>
      <c r="E6279" s="2" t="s">
        <v>189</v>
      </c>
    </row>
    <row r="6280" spans="1:5" x14ac:dyDescent="0.2">
      <c r="A6280">
        <v>6219</v>
      </c>
      <c r="B6280" s="1832">
        <f>'Acct Summary 7-8'!G83</f>
        <v>0.11628439200528912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4.4965508474875501E-2</v>
      </c>
      <c r="D6282" s="2" t="str">
        <f t="shared" si="97"/>
        <v>Error?</v>
      </c>
      <c r="E6282" s="2" t="s">
        <v>189</v>
      </c>
    </row>
    <row r="6283" spans="1:5" x14ac:dyDescent="0.2">
      <c r="A6283">
        <v>6222</v>
      </c>
      <c r="B6283" s="1832">
        <f>'Acct Summary 7-8'!J83</f>
        <v>0.29981845549287034</v>
      </c>
      <c r="D6283" s="2" t="str">
        <f t="shared" si="97"/>
        <v>Error?</v>
      </c>
      <c r="E6283" s="2" t="s">
        <v>189</v>
      </c>
    </row>
    <row r="6284" spans="1:5" x14ac:dyDescent="0.2">
      <c r="A6284">
        <v>6223</v>
      </c>
      <c r="B6284" s="1832">
        <f>'Acct Summary 7-8'!K83</f>
        <v>-0.20273416480192105</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200078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200078</v>
      </c>
      <c r="D6301" s="2" t="str">
        <f t="shared" si="97"/>
        <v>Error?</v>
      </c>
      <c r="E6301" s="2" t="s">
        <v>189</v>
      </c>
    </row>
    <row r="6302" spans="1:5" x14ac:dyDescent="0.2">
      <c r="A6302">
        <v>6241</v>
      </c>
      <c r="B6302" s="1832">
        <f>'Revenues 9-14'!J14</f>
        <v>247</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247</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18</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18</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1200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2610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200343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67203</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97837</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43550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29713</v>
      </c>
      <c r="D6983" s="2" t="str">
        <f t="shared" si="108"/>
        <v>Error?</v>
      </c>
    </row>
    <row r="6984" spans="1:4" x14ac:dyDescent="0.2">
      <c r="A6984">
        <v>6923</v>
      </c>
      <c r="B6984" s="1832">
        <f>'Expenditures 15-22'!K86</f>
        <v>29713</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29713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148156</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500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200343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4589</v>
      </c>
      <c r="D7073" s="2" t="str">
        <f t="shared" si="109"/>
        <v>Error?</v>
      </c>
    </row>
    <row r="7074" spans="1:4" x14ac:dyDescent="0.2">
      <c r="A7074">
        <v>7013</v>
      </c>
      <c r="B7074" s="1832">
        <f>'Expenditures 15-22'!K216</f>
        <v>4589</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524</v>
      </c>
      <c r="D7079" s="2" t="str">
        <f t="shared" si="109"/>
        <v>Error?</v>
      </c>
    </row>
    <row r="7080" spans="1:4" x14ac:dyDescent="0.2">
      <c r="A7080">
        <v>7019</v>
      </c>
      <c r="B7080" s="1832">
        <f>'Expenditures 15-22'!K226</f>
        <v>524</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12805</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12805</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32961</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32961</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9163</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9163</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32424</v>
      </c>
      <c r="D7172" s="2" t="str">
        <f t="shared" si="111"/>
        <v>Error?</v>
      </c>
    </row>
    <row r="7173" spans="1:4" x14ac:dyDescent="0.2">
      <c r="A7173">
        <v>7112</v>
      </c>
      <c r="B7173" s="1832">
        <f>'Expenditures 15-22'!D325</f>
        <v>4190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36614</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4800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4800</v>
      </c>
      <c r="D7198" s="2" t="str">
        <f t="shared" si="111"/>
        <v>Error?</v>
      </c>
    </row>
    <row r="7199" spans="1:4" x14ac:dyDescent="0.2">
      <c r="A7199">
        <v>7138</v>
      </c>
      <c r="B7199" s="1832">
        <f>'Expenditures 15-22'!C330</f>
        <v>32424</v>
      </c>
      <c r="D7199" s="2" t="str">
        <f t="shared" si="111"/>
        <v>Error?</v>
      </c>
    </row>
    <row r="7200" spans="1:4" x14ac:dyDescent="0.2">
      <c r="A7200">
        <v>7139</v>
      </c>
      <c r="B7200" s="1832">
        <f>'Expenditures 15-22'!D330</f>
        <v>4190</v>
      </c>
      <c r="D7200" s="2" t="str">
        <f t="shared" si="111"/>
        <v>Error?</v>
      </c>
    </row>
    <row r="7201" spans="1:4" x14ac:dyDescent="0.2">
      <c r="A7201">
        <v>7140</v>
      </c>
      <c r="B7201" s="1832">
        <f>'Expenditures 15-22'!E330</f>
        <v>111542</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148156</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32424</v>
      </c>
      <c r="D7216" s="2" t="str">
        <f t="shared" si="111"/>
        <v>Error?</v>
      </c>
    </row>
    <row r="7217" spans="1:4" x14ac:dyDescent="0.2">
      <c r="A7217">
        <v>7156</v>
      </c>
      <c r="B7217" s="1832">
        <f>'Expenditures 15-22'!D342</f>
        <v>4190</v>
      </c>
      <c r="D7217" s="2" t="str">
        <f t="shared" si="111"/>
        <v>Error?</v>
      </c>
    </row>
    <row r="7218" spans="1:4" x14ac:dyDescent="0.2">
      <c r="A7218">
        <v>7157</v>
      </c>
      <c r="B7218" s="1832">
        <f>'Expenditures 15-22'!E342</f>
        <v>111542</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148156</v>
      </c>
      <c r="D7224" s="2" t="str">
        <f t="shared" si="111"/>
        <v>Error?</v>
      </c>
    </row>
    <row r="7225" spans="1:4" x14ac:dyDescent="0.2">
      <c r="A7225">
        <v>7164</v>
      </c>
      <c r="B7225" s="1832">
        <f>'Expenditures 15-22'!K343</f>
        <v>52187</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25896</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4738</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36443</v>
      </c>
      <c r="D7263" s="2" t="str">
        <f t="shared" si="112"/>
        <v>Error?</v>
      </c>
    </row>
    <row r="7264" spans="1:4" x14ac:dyDescent="0.2">
      <c r="A7264">
        <f t="shared" si="113"/>
        <v>7203</v>
      </c>
      <c r="B7264" s="1832">
        <f>'Expenditures 15-22'!D17</f>
        <v>6717</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390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291817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37551</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37551</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14262</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14262</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5351</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5351</v>
      </c>
      <c r="D7719" s="2" t="str">
        <f t="shared" si="126"/>
        <v>Error?</v>
      </c>
      <c r="E7719" s="2" t="s">
        <v>822</v>
      </c>
    </row>
    <row r="7720" spans="1:6" x14ac:dyDescent="0.2">
      <c r="A7720">
        <v>7659</v>
      </c>
      <c r="B7720" s="1832">
        <f>'Rest Tax Levies-Tort Im 25'!H14</f>
        <v>29577</v>
      </c>
      <c r="D7720" s="2" t="str">
        <f t="shared" si="126"/>
        <v>Error?</v>
      </c>
      <c r="E7720" s="2" t="s">
        <v>822</v>
      </c>
    </row>
    <row r="7721" spans="1:6" x14ac:dyDescent="0.2">
      <c r="A7721">
        <v>7660</v>
      </c>
      <c r="B7721" s="1832">
        <f>'Rest Tax Levies-Tort Im 25'!K14</f>
        <v>5351</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5351</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7370000</v>
      </c>
      <c r="D7817" s="2" t="str">
        <f t="shared" si="128"/>
        <v>Error?</v>
      </c>
      <c r="E7817" s="4" t="s">
        <v>1966</v>
      </c>
    </row>
    <row r="7818" spans="1:5" x14ac:dyDescent="0.2">
      <c r="A7818">
        <v>7757</v>
      </c>
      <c r="B7818" s="1832">
        <f>'PCTC-OEPP 27-28'!F172</f>
        <v>191723</v>
      </c>
      <c r="D7818" s="2" t="str">
        <f t="shared" si="128"/>
        <v>Error?</v>
      </c>
      <c r="E7818" s="4" t="s">
        <v>1980</v>
      </c>
    </row>
    <row r="7819" spans="1:5" x14ac:dyDescent="0.2">
      <c r="A7819">
        <v>7758</v>
      </c>
      <c r="B7819" s="1832">
        <f>'PCTC-OEPP 27-28'!F173</f>
        <v>116</v>
      </c>
      <c r="D7819" s="2" t="str">
        <f t="shared" si="128"/>
        <v>Error?</v>
      </c>
      <c r="E7819" s="4" t="s">
        <v>1980</v>
      </c>
    </row>
    <row r="7820" spans="1:5" x14ac:dyDescent="0.2">
      <c r="A7820">
        <v>7759</v>
      </c>
      <c r="B7820" s="1832">
        <f>'ICR Computation 30'!E40</f>
        <v>-8882</v>
      </c>
      <c r="D7820" s="2" t="str">
        <f t="shared" si="128"/>
        <v>Error?</v>
      </c>
    </row>
    <row r="7821" spans="1:5" x14ac:dyDescent="0.2">
      <c r="A7821">
        <v>7760</v>
      </c>
      <c r="B7821" s="1832">
        <f>'ICR Computation 30'!G40</f>
        <v>-8882</v>
      </c>
      <c r="D7821" s="2" t="str">
        <f t="shared" si="128"/>
        <v>Error?</v>
      </c>
    </row>
    <row r="7822" spans="1:5" x14ac:dyDescent="0.2">
      <c r="A7822" s="1">
        <v>7761</v>
      </c>
      <c r="B7822" s="1832">
        <f>'PCTC-OEPP 27-28'!F14</f>
        <v>5983057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97837</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737110</v>
      </c>
      <c r="D7834" s="2" t="str">
        <f t="shared" si="129"/>
        <v>Error?</v>
      </c>
      <c r="E7834" s="4" t="s">
        <v>1998</v>
      </c>
    </row>
    <row r="7835" spans="1:5" x14ac:dyDescent="0.2">
      <c r="A7835">
        <v>7774</v>
      </c>
      <c r="B7835" s="1832">
        <f>'PCTC-OEPP 27-28'!F78</f>
        <v>5245947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10536.145812412131</v>
      </c>
      <c r="D7837" s="2" t="str">
        <f t="shared" si="129"/>
        <v>Error?</v>
      </c>
      <c r="E7837" s="4" t="s">
        <v>1998</v>
      </c>
    </row>
    <row r="7838" spans="1:5" x14ac:dyDescent="0.2">
      <c r="A7838">
        <v>7777</v>
      </c>
      <c r="B7838" s="1832">
        <f>'PCTC-OEPP 27-28'!F96</f>
        <v>26077</v>
      </c>
      <c r="D7838" s="2" t="str">
        <f t="shared" si="129"/>
        <v>Error?</v>
      </c>
      <c r="E7838" s="4" t="s">
        <v>1998</v>
      </c>
    </row>
    <row r="7839" spans="1:5" x14ac:dyDescent="0.2">
      <c r="A7839">
        <v>7778</v>
      </c>
      <c r="B7839" s="1832">
        <f>'PCTC-OEPP 27-28'!F102</f>
        <v>13472</v>
      </c>
      <c r="D7839" s="2" t="str">
        <f t="shared" si="129"/>
        <v>Error?</v>
      </c>
      <c r="E7839" s="4" t="s">
        <v>1998</v>
      </c>
    </row>
    <row r="7840" spans="1:5" x14ac:dyDescent="0.2">
      <c r="A7840">
        <v>7779</v>
      </c>
      <c r="B7840" s="1832">
        <f>'PCTC-OEPP 27-28'!F103</f>
        <v>39097</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9781</v>
      </c>
      <c r="D7842" s="2" t="str">
        <f t="shared" si="129"/>
        <v>Error?</v>
      </c>
      <c r="E7842" s="4" t="s">
        <v>1998</v>
      </c>
    </row>
    <row r="7843" spans="1:5" x14ac:dyDescent="0.2">
      <c r="A7843">
        <v>7782</v>
      </c>
      <c r="B7843" s="1832">
        <f>'PCTC-OEPP 27-28'!F107</f>
        <v>10230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5351</v>
      </c>
      <c r="D7846" s="2" t="str">
        <f t="shared" si="129"/>
        <v>Error?</v>
      </c>
      <c r="E7846" s="4" t="s">
        <v>1998</v>
      </c>
    </row>
    <row r="7847" spans="1:5" x14ac:dyDescent="0.2">
      <c r="A7847">
        <v>7786</v>
      </c>
      <c r="B7847" s="1832">
        <f>'PCTC-OEPP 27-28'!F112</f>
        <v>55209</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4728</v>
      </c>
      <c r="D7857" s="2" t="str">
        <f t="shared" si="129"/>
        <v>Error?</v>
      </c>
      <c r="E7857" s="4" t="s">
        <v>1998</v>
      </c>
    </row>
    <row r="7858" spans="1:5" x14ac:dyDescent="0.2">
      <c r="A7858">
        <v>7797</v>
      </c>
      <c r="B7858" s="1832">
        <f>'PCTC-OEPP 27-28'!F126</f>
        <v>159177</v>
      </c>
      <c r="D7858" s="2" t="str">
        <f t="shared" si="129"/>
        <v>Error?</v>
      </c>
      <c r="E7858" s="4" t="s">
        <v>1998</v>
      </c>
    </row>
    <row r="7859" spans="1:5" x14ac:dyDescent="0.2">
      <c r="A7859">
        <v>7798</v>
      </c>
      <c r="B7859" s="1832">
        <f>'PCTC-OEPP 27-28'!F127</f>
        <v>203363</v>
      </c>
      <c r="D7859" s="2" t="str">
        <f t="shared" si="129"/>
        <v>Error?</v>
      </c>
      <c r="E7859" s="4" t="s">
        <v>1998</v>
      </c>
    </row>
    <row r="7860" spans="1:5" x14ac:dyDescent="0.2">
      <c r="A7860">
        <v>7799</v>
      </c>
      <c r="B7860" s="1832">
        <f>'PCTC-OEPP 27-28'!F128</f>
        <v>5195</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38617</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5459</v>
      </c>
      <c r="D7874" s="2" t="str">
        <f t="shared" si="129"/>
        <v>Error?</v>
      </c>
      <c r="E7874" s="4" t="s">
        <v>1998</v>
      </c>
    </row>
    <row r="7875" spans="1:5" x14ac:dyDescent="0.2">
      <c r="A7875">
        <v>7814</v>
      </c>
      <c r="B7875" s="1832">
        <f>'PCTC-OEPP 27-28'!F170</f>
        <v>12392</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878858</v>
      </c>
      <c r="D7877" s="2" t="str">
        <f t="shared" si="129"/>
        <v>Error?</v>
      </c>
      <c r="E7877" s="4" t="s">
        <v>1998</v>
      </c>
    </row>
    <row r="7878" spans="1:5" x14ac:dyDescent="0.2">
      <c r="A7878">
        <v>7817</v>
      </c>
      <c r="B7878" s="1832">
        <f>'PCTC-OEPP 27-28'!F176</f>
        <v>4367089</v>
      </c>
      <c r="D7878" s="2" t="str">
        <f t="shared" si="129"/>
        <v>Error?</v>
      </c>
      <c r="E7878" s="4" t="s">
        <v>1998</v>
      </c>
    </row>
    <row r="7879" spans="1:5" x14ac:dyDescent="0.2">
      <c r="A7879">
        <v>7818</v>
      </c>
      <c r="B7879" s="1832">
        <f>'PCTC-OEPP 27-28'!F178</f>
        <v>4658906</v>
      </c>
      <c r="D7879" s="2" t="str">
        <f t="shared" si="129"/>
        <v>Error?</v>
      </c>
      <c r="E7879" s="4" t="s">
        <v>1998</v>
      </c>
    </row>
    <row r="7880" spans="1:5" x14ac:dyDescent="0.2">
      <c r="A7880">
        <v>7819</v>
      </c>
      <c r="B7880" s="1832">
        <f>'PCTC-OEPP 27-28'!F180</f>
        <v>9357.1118698533846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 xml:space="preserve"> Hamilton CCSD 328</v>
      </c>
      <c r="B7" s="2517"/>
      <c r="C7" s="2517"/>
      <c r="D7" s="2555"/>
      <c r="E7" s="2556">
        <f>COVER!A13</f>
        <v>26034328024</v>
      </c>
      <c r="F7" s="2557"/>
      <c r="G7" s="2523" t="str">
        <f>COVER!T23</f>
        <v>066-004856</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Dennis G Koch &amp; Associates LLC</v>
      </c>
      <c r="H9" s="2530"/>
      <c r="I9" s="2530"/>
      <c r="J9" s="2530"/>
      <c r="K9" s="2530"/>
      <c r="L9" s="2531"/>
    </row>
    <row r="10" spans="1:29" ht="13.5" customHeight="1" x14ac:dyDescent="0.2">
      <c r="A10" s="2513" t="str">
        <f>COVER!A38</f>
        <v>Joseph A. Yurko</v>
      </c>
      <c r="B10" s="2514"/>
      <c r="C10" s="2514"/>
      <c r="D10" s="2514"/>
      <c r="E10" s="2514"/>
      <c r="F10" s="2515"/>
      <c r="G10" s="2529" t="str">
        <f>COVER!T17</f>
        <v>1706 N 16th Street</v>
      </c>
      <c r="H10" s="2542"/>
      <c r="I10" s="2542"/>
      <c r="J10" s="2542"/>
      <c r="K10" s="2542"/>
      <c r="L10" s="2543"/>
    </row>
    <row r="11" spans="1:29" ht="13.5" customHeight="1" x14ac:dyDescent="0.2">
      <c r="A11" s="963" t="s">
        <v>1502</v>
      </c>
      <c r="B11" s="964"/>
      <c r="C11" s="965"/>
      <c r="D11" s="970"/>
      <c r="E11" s="965"/>
      <c r="F11" s="969"/>
      <c r="G11" s="2529" t="str">
        <f>COVER!T19</f>
        <v>Quincy</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dgkoch@dgkochcpa.com</v>
      </c>
      <c r="J13" s="2551"/>
      <c r="K13" s="2551"/>
      <c r="L13" s="2552"/>
    </row>
    <row r="14" spans="1:29" ht="13.5" customHeight="1" x14ac:dyDescent="0.2">
      <c r="A14" s="2529" t="str">
        <f>COVER!A19</f>
        <v>270 N 10th Street</v>
      </c>
      <c r="B14" s="2542"/>
      <c r="C14" s="2542"/>
      <c r="D14" s="2542"/>
      <c r="E14" s="2542"/>
      <c r="F14" s="2543"/>
      <c r="G14" s="974" t="s">
        <v>1175</v>
      </c>
      <c r="H14" s="972"/>
      <c r="I14" s="972"/>
      <c r="J14" s="972"/>
      <c r="K14" s="972"/>
      <c r="L14" s="973"/>
    </row>
    <row r="15" spans="1:29" ht="13.5" customHeight="1" x14ac:dyDescent="0.2">
      <c r="A15" s="2529" t="str">
        <f>COVER!A21</f>
        <v>Hamilton</v>
      </c>
      <c r="B15" s="2542"/>
      <c r="C15" s="2542"/>
      <c r="D15" s="2542"/>
      <c r="E15" s="2542"/>
      <c r="F15" s="2543"/>
      <c r="G15" s="2539" t="str">
        <f>COVER!T15</f>
        <v>Dennis G Koch</v>
      </c>
      <c r="H15" s="2540"/>
      <c r="I15" s="2540"/>
      <c r="J15" s="2540"/>
      <c r="K15" s="2540"/>
      <c r="L15" s="2541"/>
    </row>
    <row r="16" spans="1:29" ht="12.2" customHeight="1" x14ac:dyDescent="0.2">
      <c r="A16" s="2519">
        <f>COVER!A25</f>
        <v>62341</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217-224-8484</v>
      </c>
      <c r="H18" s="2517"/>
      <c r="I18" s="2517"/>
      <c r="J18" s="2517"/>
      <c r="K18" s="2516" t="str">
        <f>COVER!X21</f>
        <v>217-224-0504</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Hamilton CCSD 328</v>
      </c>
      <c r="B1" s="2559"/>
      <c r="C1" s="2559"/>
      <c r="D1" s="2559"/>
    </row>
    <row r="2" spans="1:11" s="991" customFormat="1" ht="12.75" x14ac:dyDescent="0.2">
      <c r="A2" s="2560">
        <f>'Single Audit Cover'!E7</f>
        <v>26034328024</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Hamilton CCSD 328</v>
      </c>
      <c r="B1" s="2563"/>
      <c r="C1" s="2563"/>
      <c r="D1" s="2563"/>
      <c r="E1" s="2563"/>
    </row>
    <row r="2" spans="1:5" x14ac:dyDescent="0.2">
      <c r="A2" s="2564">
        <f>'Single Audit Cover'!E7</f>
        <v>26034328024</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428931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19036</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-12392</v>
      </c>
    </row>
    <row r="19" spans="1:4" ht="13.5" thickBot="1" x14ac:dyDescent="0.25">
      <c r="A19" s="1041" t="s">
        <v>1224</v>
      </c>
      <c r="D19" s="1042">
        <f>SUM(D10:D17)</f>
        <v>435575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435575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435575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Hamilton CCSD 328</v>
      </c>
      <c r="C1" s="2567"/>
      <c r="D1" s="2567"/>
      <c r="E1" s="2567"/>
      <c r="F1" s="2567"/>
      <c r="G1" s="2567"/>
      <c r="H1" s="2567"/>
      <c r="I1" s="2567"/>
      <c r="J1" s="2567"/>
      <c r="K1" s="2567"/>
      <c r="L1" s="2567"/>
      <c r="M1" s="2567"/>
    </row>
    <row r="2" spans="2:14" ht="15" x14ac:dyDescent="0.2">
      <c r="B2" s="2568">
        <f>'Single Audit Cover'!E7</f>
        <v>26034328024</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Hamilton CCSD 328</v>
      </c>
      <c r="B1" s="2572"/>
      <c r="C1" s="2572"/>
      <c r="D1" s="2572"/>
      <c r="E1" s="2572"/>
      <c r="F1" s="2572"/>
    </row>
    <row r="2" spans="1:7" ht="13.5" customHeight="1" x14ac:dyDescent="0.2">
      <c r="A2" s="2568">
        <f>'Single Audit Cover'!E7</f>
        <v>26034328024</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1706</v>
      </c>
      <c r="B7" s="2571"/>
      <c r="C7" s="2571"/>
      <c r="D7" s="2571"/>
      <c r="E7" s="2571"/>
      <c r="F7" s="257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1708</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1709</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pageSetUpPr fitToPage="1"/>
  </sheetPr>
  <dimension ref="A1:K143"/>
  <sheetViews>
    <sheetView showGridLines="0" defaultGridColor="0" topLeftCell="A99" colorId="8" zoomScaleNormal="100" workbookViewId="0">
      <selection activeCell="D123" sqref="D12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2052</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6" firstPageNumber="2"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 xml:space="preserve"> Hamilton CCSD 328</v>
      </c>
      <c r="C1" s="2588"/>
      <c r="D1" s="2588"/>
      <c r="E1" s="2588"/>
      <c r="F1" s="2588"/>
      <c r="G1" s="2588"/>
      <c r="H1" s="2588"/>
      <c r="I1" s="2588"/>
      <c r="J1" s="1178"/>
    </row>
    <row r="2" spans="2:10" s="295" customFormat="1" ht="12.75" customHeight="1" x14ac:dyDescent="0.2">
      <c r="B2" s="2589">
        <f>'Single Audit Cover'!E7</f>
        <v>26034328024</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c r="E29" s="2594"/>
      <c r="F29" s="2594"/>
      <c r="G29" s="2594"/>
      <c r="H29" s="2594"/>
      <c r="I29" s="259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5" t="s">
        <v>1728</v>
      </c>
      <c r="D37" s="2596"/>
      <c r="E37" s="2596"/>
      <c r="F37" s="2597"/>
      <c r="G37" s="2595" t="s">
        <v>1575</v>
      </c>
      <c r="H37" s="2596"/>
      <c r="I37" s="2597"/>
    </row>
    <row r="38" spans="2:9" ht="16.5" customHeight="1" x14ac:dyDescent="0.2">
      <c r="B38" s="1200"/>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7" t="str">
        <f>"Total Federal Expenditures for 7/1/"&amp;MID('AFR20'!E2,3,2)-1&amp;"-6/30/"&amp;MID('AFR20'!E2,3,2)</f>
        <v>Total Federal Expenditures for 7/1/19-6/30/20</v>
      </c>
      <c r="C45" s="1918"/>
      <c r="D45" s="2605">
        <v>0</v>
      </c>
      <c r="E45" s="260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7"/>
      <c r="F49" s="2607"/>
      <c r="G49" s="260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Hamilton CCSD 328</v>
      </c>
      <c r="C1" s="2587"/>
      <c r="D1" s="2587"/>
      <c r="E1" s="2587"/>
      <c r="F1" s="2587"/>
      <c r="G1" s="2587"/>
      <c r="H1" s="2587"/>
      <c r="I1" s="2587"/>
      <c r="J1" s="2587"/>
      <c r="K1" s="2587"/>
      <c r="L1" s="1144"/>
      <c r="M1" s="1144"/>
    </row>
    <row r="2" spans="1:13" ht="12" customHeight="1" x14ac:dyDescent="0.2">
      <c r="B2" s="2589">
        <f>'Single Audit Cover'!E7</f>
        <v>26034328024</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Hamilton CCSD 328</v>
      </c>
      <c r="C1" s="2614"/>
      <c r="D1" s="2614"/>
      <c r="E1" s="2614"/>
      <c r="F1" s="2614"/>
      <c r="G1" s="2614"/>
      <c r="H1" s="2614"/>
      <c r="I1" s="2614"/>
      <c r="J1" s="2614"/>
      <c r="K1" s="2614"/>
      <c r="L1" s="1221"/>
    </row>
    <row r="2" spans="1:12" ht="12.75" customHeight="1" x14ac:dyDescent="0.2">
      <c r="B2" s="2615">
        <f>'Single Audit Cover'!E7</f>
        <v>26034328024</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 xml:space="preserve"> Hamilton CCSD 328</v>
      </c>
      <c r="C1" s="2587"/>
      <c r="D1" s="2587"/>
      <c r="E1" s="1240"/>
    </row>
    <row r="2" spans="2:5" s="1058" customFormat="1" ht="12.75" customHeight="1" x14ac:dyDescent="0.2">
      <c r="B2" s="2589">
        <f>'Single Audit Cover'!E7</f>
        <v>26034328024</v>
      </c>
      <c r="C2" s="2589"/>
      <c r="D2" s="2589"/>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F0"/>
  </sheetPr>
  <dimension ref="A1:N72"/>
  <sheetViews>
    <sheetView showGridLines="0" defaultGridColor="0" colorId="8" zoomScale="110" zoomScaleNormal="110" workbookViewId="0">
      <selection activeCell="H13" sqref="H1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73548849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2.8000000000000001E-2</v>
      </c>
      <c r="E10" s="333" t="s">
        <v>998</v>
      </c>
      <c r="F10" s="332">
        <v>5.0000000000000001E-3</v>
      </c>
      <c r="G10" s="333" t="s">
        <v>998</v>
      </c>
      <c r="H10" s="332">
        <v>2E-3</v>
      </c>
      <c r="I10" s="333" t="s">
        <v>999</v>
      </c>
      <c r="J10" s="1424">
        <f>ROUND(D10+F10+H10,5)</f>
        <v>3.5000000000000003E-2</v>
      </c>
      <c r="K10" s="217"/>
      <c r="L10" s="332">
        <v>5.0000000000000001E-3</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5274355</v>
      </c>
      <c r="E16" s="1547"/>
      <c r="F16" s="1546">
        <f>SUM('Acct Summary 7-8'!C17,'Acct Summary 7-8'!D17,'Acct Summary 7-8'!F17)</f>
        <v>5149505</v>
      </c>
      <c r="G16" s="1547"/>
      <c r="H16" s="1546">
        <f>SUM(D16-F16)</f>
        <v>124850</v>
      </c>
      <c r="I16" s="1548"/>
      <c r="J16" s="1546">
        <f>SUM('Acct Summary 7-8'!C81,'Acct Summary 7-8'!D81,'Acct Summary 7-8'!F81,'Acct Summary 7-8'!I81)</f>
        <v>1566248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10149741.162</v>
      </c>
      <c r="I31" s="345"/>
      <c r="J31" s="217"/>
      <c r="K31" s="217"/>
      <c r="L31" s="217"/>
      <c r="M31" s="217"/>
    </row>
    <row r="32" spans="1:13" ht="13.35" customHeight="1" x14ac:dyDescent="0.2">
      <c r="B32" s="346" t="s">
        <v>2082</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7120000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F0"/>
  </sheetPr>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Hamilton CCSD 328</v>
      </c>
      <c r="E7" s="368"/>
      <c r="G7" s="247"/>
      <c r="H7" s="364"/>
      <c r="I7" s="364"/>
      <c r="J7" s="364"/>
      <c r="K7" s="364"/>
      <c r="L7" s="307"/>
      <c r="M7" s="307"/>
      <c r="N7" s="307"/>
      <c r="O7" s="307"/>
      <c r="P7" s="307"/>
    </row>
    <row r="8" spans="1:18" ht="12.75" x14ac:dyDescent="0.2">
      <c r="A8" s="307"/>
      <c r="B8" s="307"/>
      <c r="C8" s="366" t="s">
        <v>1115</v>
      </c>
      <c r="D8" s="369">
        <f>COVER!A13</f>
        <v>26034328024</v>
      </c>
      <c r="E8" s="370"/>
      <c r="G8" s="307"/>
      <c r="H8" s="307"/>
      <c r="I8" s="307"/>
      <c r="J8" s="307"/>
      <c r="K8" s="307"/>
      <c r="L8" s="307"/>
      <c r="M8" s="307"/>
      <c r="N8" s="307"/>
      <c r="O8" s="307"/>
      <c r="P8" s="307"/>
    </row>
    <row r="9" spans="1:18" ht="12.75" x14ac:dyDescent="0.2">
      <c r="A9" s="307"/>
      <c r="B9" s="307"/>
      <c r="C9" s="366" t="s">
        <v>708</v>
      </c>
      <c r="D9" s="371" t="str">
        <f>COVER!A15</f>
        <v>Hancock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1566248</v>
      </c>
      <c r="I12" s="380"/>
      <c r="J12" s="380"/>
      <c r="K12" s="1559">
        <f>TRUNC((H12/H13*100000),5)/100000</f>
        <v>0.29695536230000003</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5274355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5149505</v>
      </c>
      <c r="I17" s="380"/>
      <c r="J17" s="389"/>
      <c r="K17" s="1559">
        <f>TRUNC((H17/H18*100000),5)/100000</f>
        <v>0.9763288591</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5274355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1566248</v>
      </c>
      <c r="I24" s="394"/>
      <c r="J24" s="394"/>
      <c r="K24" s="1555">
        <f>TRUNC(((H24/H25*100000)/100000),2)</f>
        <v>109.49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14304.180560000001</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2188078.2577499999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7120000</v>
      </c>
      <c r="I32" s="392"/>
      <c r="J32" s="392"/>
      <c r="K32" s="1555">
        <f>TRUNC(100-((((H32/H33*100))*100)/100),2)</f>
        <v>29.85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10149741.162</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N44"/>
  <sheetViews>
    <sheetView showGridLines="0" defaultGridColor="0" topLeftCell="B1" colorId="8" zoomScale="110" zoomScaleNormal="110" workbookViewId="0">
      <pane ySplit="2" topLeftCell="A20"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381940</v>
      </c>
      <c r="D4" s="1573">
        <v>339360</v>
      </c>
      <c r="E4" s="1573">
        <v>17472</v>
      </c>
      <c r="F4" s="1573">
        <v>22311</v>
      </c>
      <c r="G4" s="1573">
        <v>235956</v>
      </c>
      <c r="H4" s="1573"/>
      <c r="I4" s="1573">
        <f>849629-26992</f>
        <v>822637</v>
      </c>
      <c r="J4" s="1574">
        <v>174062</v>
      </c>
      <c r="K4" s="1573">
        <v>5922613</v>
      </c>
      <c r="L4" s="1573">
        <v>169996</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v>26992</v>
      </c>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381940</v>
      </c>
      <c r="D13" s="1587">
        <f t="shared" ref="D13:L13" si="0">SUM(D4:D12)</f>
        <v>339360</v>
      </c>
      <c r="E13" s="1587">
        <f t="shared" si="0"/>
        <v>17472</v>
      </c>
      <c r="F13" s="1587">
        <f t="shared" si="0"/>
        <v>22311</v>
      </c>
      <c r="G13" s="1587">
        <f t="shared" si="0"/>
        <v>235956</v>
      </c>
      <c r="H13" s="1587">
        <f t="shared" si="0"/>
        <v>0</v>
      </c>
      <c r="I13" s="1587">
        <f t="shared" si="0"/>
        <v>849629</v>
      </c>
      <c r="J13" s="1587">
        <f t="shared" si="0"/>
        <v>174062</v>
      </c>
      <c r="K13" s="1587">
        <f t="shared" si="0"/>
        <v>5922613</v>
      </c>
      <c r="L13" s="1587">
        <f t="shared" si="0"/>
        <v>169996</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306843</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f>7731583-4953558</f>
        <v>2778025</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f>79283-65289</f>
        <v>13994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10319900-9103038-226439-122340-4678-601701</f>
        <v>261704</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985329</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17472</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7102528</v>
      </c>
    </row>
    <row r="23" spans="1:14" ht="13.5" customHeight="1" thickBot="1" x14ac:dyDescent="0.25">
      <c r="A23" s="1426" t="s">
        <v>638</v>
      </c>
      <c r="B23" s="1429"/>
      <c r="C23" s="1575"/>
      <c r="D23" s="1575"/>
      <c r="E23" s="1575"/>
      <c r="F23" s="1575"/>
      <c r="G23" s="1575"/>
      <c r="H23" s="1575"/>
      <c r="I23" s="1575"/>
      <c r="J23" s="1575"/>
      <c r="K23" s="1575"/>
      <c r="L23" s="1575"/>
      <c r="M23" s="1594">
        <f>SUM(M15:M22)</f>
        <v>4345895</v>
      </c>
      <c r="N23" s="1594">
        <f>SUM(N21:N22)</f>
        <v>7120000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v>26992</v>
      </c>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169996</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26992</v>
      </c>
      <c r="G34" s="1600">
        <f t="shared" si="1"/>
        <v>0</v>
      </c>
      <c r="H34" s="1600">
        <f t="shared" si="1"/>
        <v>0</v>
      </c>
      <c r="I34" s="1600">
        <f t="shared" si="1"/>
        <v>0</v>
      </c>
      <c r="J34" s="1600">
        <f t="shared" si="1"/>
        <v>0</v>
      </c>
      <c r="K34" s="1600">
        <f t="shared" si="1"/>
        <v>0</v>
      </c>
      <c r="L34" s="1601">
        <f>SUM(L33)</f>
        <v>169996</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7120000</v>
      </c>
    </row>
    <row r="37" spans="1:14" ht="13.5" thickBot="1" x14ac:dyDescent="0.25">
      <c r="A37" s="1426" t="s">
        <v>648</v>
      </c>
      <c r="B37" s="1429"/>
      <c r="C37" s="1582"/>
      <c r="D37" s="1582"/>
      <c r="E37" s="1582"/>
      <c r="F37" s="1582"/>
      <c r="G37" s="1582"/>
      <c r="H37" s="1582"/>
      <c r="I37" s="1582"/>
      <c r="J37" s="1582"/>
      <c r="K37" s="1582"/>
      <c r="L37" s="1585"/>
      <c r="M37" s="1575"/>
      <c r="N37" s="1594">
        <f>SUM(N36:N36)</f>
        <v>7120000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381940</v>
      </c>
      <c r="D39" s="1573">
        <v>339360</v>
      </c>
      <c r="E39" s="1573">
        <v>17472</v>
      </c>
      <c r="F39" s="1573">
        <v>-4681</v>
      </c>
      <c r="G39" s="1573">
        <v>235956</v>
      </c>
      <c r="H39" s="1573"/>
      <c r="I39" s="1573">
        <v>849629</v>
      </c>
      <c r="J39" s="1574">
        <v>174062</v>
      </c>
      <c r="K39" s="1573">
        <v>5922613</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4345895</v>
      </c>
      <c r="N40" s="1604"/>
    </row>
    <row r="41" spans="1:14" ht="13.5" customHeight="1" thickBot="1" x14ac:dyDescent="0.25">
      <c r="A41" s="1426" t="s">
        <v>650</v>
      </c>
      <c r="B41" s="1405"/>
      <c r="C41" s="1594">
        <f>(SUM(C34,C37,C38,C39))</f>
        <v>381940</v>
      </c>
      <c r="D41" s="1594">
        <f t="shared" ref="D41:L41" si="2">SUM(D34,D37,D38:D39)</f>
        <v>339360</v>
      </c>
      <c r="E41" s="1594">
        <f t="shared" si="2"/>
        <v>17472</v>
      </c>
      <c r="F41" s="1594">
        <f t="shared" si="2"/>
        <v>22311</v>
      </c>
      <c r="G41" s="1594">
        <f t="shared" si="2"/>
        <v>235956</v>
      </c>
      <c r="H41" s="1594">
        <f t="shared" si="2"/>
        <v>0</v>
      </c>
      <c r="I41" s="1594">
        <f t="shared" si="2"/>
        <v>849629</v>
      </c>
      <c r="J41" s="1594">
        <f t="shared" si="2"/>
        <v>174062</v>
      </c>
      <c r="K41" s="1594">
        <f t="shared" si="2"/>
        <v>5922613</v>
      </c>
      <c r="L41" s="1594">
        <f t="shared" si="2"/>
        <v>169996</v>
      </c>
      <c r="M41" s="1594">
        <f>SUM(M40)</f>
        <v>4345895</v>
      </c>
      <c r="N41" s="1594">
        <f>SUM(N37)</f>
        <v>7120000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defaultGridColor="0" colorId="8" zoomScale="110" zoomScaleNormal="110" zoomScaleSheetLayoutView="100" workbookViewId="0">
      <pane ySplit="2" topLeftCell="A3" activePane="bottomLeft" state="frozen"/>
      <selection pane="bottomLeft" activeCell="C9" sqref="C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2335947</v>
      </c>
      <c r="D4" s="1606">
        <f>'Revenues 9-14'!D109</f>
        <v>460225</v>
      </c>
      <c r="E4" s="1606">
        <f>'Revenues 9-14'!E109</f>
        <v>558660</v>
      </c>
      <c r="F4" s="1606">
        <f>'Revenues 9-14'!F109</f>
        <v>150886</v>
      </c>
      <c r="G4" s="1606">
        <f>'Revenues 9-14'!G109</f>
        <v>165746</v>
      </c>
      <c r="H4" s="1606">
        <f>'Revenues 9-14'!H109</f>
        <v>0</v>
      </c>
      <c r="I4" s="1606">
        <f>'Revenues 9-14'!I109</f>
        <v>38204</v>
      </c>
      <c r="J4" s="1606">
        <f>'Revenues 9-14'!J109</f>
        <v>200343</v>
      </c>
      <c r="K4" s="1606">
        <f>'Revenues 9-14'!K109</f>
        <v>300851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1804953</v>
      </c>
      <c r="D6" s="1607">
        <f>'Revenues 9-14'!D170</f>
        <v>0</v>
      </c>
      <c r="E6" s="1607">
        <f>'Revenues 9-14'!E170</f>
        <v>0</v>
      </c>
      <c r="F6" s="1607">
        <f>'Revenues 9-14'!F170</f>
        <v>55209</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428931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4569831</v>
      </c>
      <c r="D8" s="1594">
        <f t="shared" ref="D8:K8" si="0">SUM(D4:D7)</f>
        <v>460225</v>
      </c>
      <c r="E8" s="1594">
        <f t="shared" si="0"/>
        <v>558660</v>
      </c>
      <c r="F8" s="1594">
        <f t="shared" si="0"/>
        <v>206095</v>
      </c>
      <c r="G8" s="1594">
        <f t="shared" si="0"/>
        <v>165746</v>
      </c>
      <c r="H8" s="1594">
        <f t="shared" si="0"/>
        <v>0</v>
      </c>
      <c r="I8" s="1594">
        <f t="shared" si="0"/>
        <v>38204</v>
      </c>
      <c r="J8" s="1594">
        <f t="shared" si="0"/>
        <v>200343</v>
      </c>
      <c r="K8" s="1594">
        <f t="shared" si="0"/>
        <v>300851</v>
      </c>
      <c r="L8" s="325"/>
    </row>
    <row r="9" spans="1:13" ht="15.75" thickTop="1" x14ac:dyDescent="0.2">
      <c r="A9" s="449" t="s">
        <v>1634</v>
      </c>
      <c r="B9" s="450">
        <v>3998</v>
      </c>
      <c r="C9" s="1586">
        <v>1930943</v>
      </c>
      <c r="D9" s="1613"/>
      <c r="E9" s="1586"/>
      <c r="F9" s="1586"/>
      <c r="G9" s="1614"/>
      <c r="H9" s="1586"/>
      <c r="I9" s="1609" t="s">
        <v>1159</v>
      </c>
      <c r="J9" s="1583"/>
      <c r="K9" s="1586"/>
      <c r="L9" s="325"/>
    </row>
    <row r="10" spans="1:13" s="452" customFormat="1" ht="13.5" thickBot="1" x14ac:dyDescent="0.25">
      <c r="A10" s="1426" t="s">
        <v>1163</v>
      </c>
      <c r="B10" s="1407"/>
      <c r="C10" s="1594">
        <f>SUM(C8:C9)</f>
        <v>6500774</v>
      </c>
      <c r="D10" s="1594">
        <f t="shared" ref="D10:K10" si="1">SUM(D8:D9)</f>
        <v>460225</v>
      </c>
      <c r="E10" s="1594">
        <f t="shared" si="1"/>
        <v>558660</v>
      </c>
      <c r="F10" s="1594">
        <f t="shared" si="1"/>
        <v>206095</v>
      </c>
      <c r="G10" s="1594">
        <f t="shared" si="1"/>
        <v>165746</v>
      </c>
      <c r="H10" s="1594">
        <f t="shared" si="1"/>
        <v>0</v>
      </c>
      <c r="I10" s="1594">
        <f t="shared" si="1"/>
        <v>38204</v>
      </c>
      <c r="J10" s="1594">
        <f t="shared" si="1"/>
        <v>200343</v>
      </c>
      <c r="K10" s="1594">
        <f t="shared" si="1"/>
        <v>300851</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3018224</v>
      </c>
      <c r="D12" s="1616" t="s">
        <v>1159</v>
      </c>
      <c r="E12" s="1575" t="s">
        <v>1159</v>
      </c>
      <c r="F12" s="1575" t="s">
        <v>1159</v>
      </c>
      <c r="G12" s="1606">
        <f>'Expenditures 15-22'!K229</f>
        <v>50087</v>
      </c>
      <c r="H12" s="1617"/>
      <c r="I12" s="1575" t="s">
        <v>1159</v>
      </c>
      <c r="J12" s="1575" t="s">
        <v>1159</v>
      </c>
      <c r="K12" s="1617" t="s">
        <v>1159</v>
      </c>
      <c r="L12" s="325"/>
    </row>
    <row r="13" spans="1:13" ht="15.75" customHeight="1" x14ac:dyDescent="0.2">
      <c r="A13" s="1314" t="s">
        <v>454</v>
      </c>
      <c r="B13" s="1316">
        <v>2000</v>
      </c>
      <c r="C13" s="1607">
        <f>'Expenditures 15-22'!K74</f>
        <v>1131657</v>
      </c>
      <c r="D13" s="1607">
        <f>'Expenditures 15-22'!K129</f>
        <v>434248</v>
      </c>
      <c r="E13" s="1576" t="s">
        <v>1159</v>
      </c>
      <c r="F13" s="1607">
        <f>'Expenditures 15-22'!K184</f>
        <v>257519</v>
      </c>
      <c r="G13" s="1607">
        <f>'Expenditures 15-22'!K279</f>
        <v>88221</v>
      </c>
      <c r="H13" s="1607">
        <f>'Expenditures 15-22'!K303</f>
        <v>0</v>
      </c>
      <c r="I13" s="1575" t="s">
        <v>1159</v>
      </c>
      <c r="J13" s="1607">
        <f>'Expenditures 15-22'!K330</f>
        <v>148156</v>
      </c>
      <c r="K13" s="1618">
        <f>'Expenditures 15-22'!K352</f>
        <v>1501567</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307857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547088</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4457738</v>
      </c>
      <c r="D17" s="1594">
        <f t="shared" si="2"/>
        <v>434248</v>
      </c>
      <c r="E17" s="1594">
        <f t="shared" si="2"/>
        <v>547088</v>
      </c>
      <c r="F17" s="1594">
        <f t="shared" si="2"/>
        <v>257519</v>
      </c>
      <c r="G17" s="1594">
        <f t="shared" si="2"/>
        <v>138308</v>
      </c>
      <c r="H17" s="1594">
        <f t="shared" si="2"/>
        <v>0</v>
      </c>
      <c r="I17" s="1575"/>
      <c r="J17" s="1594">
        <f>SUM(J12:J16)</f>
        <v>148156</v>
      </c>
      <c r="K17" s="1594">
        <f>SUM(K12:K16)</f>
        <v>1501567</v>
      </c>
      <c r="L17" s="325"/>
    </row>
    <row r="18" spans="1:12" ht="15" customHeight="1" thickTop="1" x14ac:dyDescent="0.2">
      <c r="A18" s="1430" t="s">
        <v>1635</v>
      </c>
      <c r="B18" s="1431">
        <v>4180</v>
      </c>
      <c r="C18" s="1606">
        <f t="shared" ref="C18:H18" si="3">C9</f>
        <v>1930943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6388681</v>
      </c>
      <c r="D19" s="1594">
        <f t="shared" si="4"/>
        <v>434248</v>
      </c>
      <c r="E19" s="1594">
        <f t="shared" si="4"/>
        <v>547088</v>
      </c>
      <c r="F19" s="1594">
        <f t="shared" si="4"/>
        <v>257519</v>
      </c>
      <c r="G19" s="1594">
        <f t="shared" si="4"/>
        <v>138308</v>
      </c>
      <c r="H19" s="1594">
        <f t="shared" si="4"/>
        <v>0</v>
      </c>
      <c r="I19" s="1575"/>
      <c r="J19" s="1594">
        <f>SUM(J17:J18)</f>
        <v>148156</v>
      </c>
      <c r="K19" s="1594">
        <f>SUM(K17:K18)</f>
        <v>1501567</v>
      </c>
      <c r="L19" s="325"/>
    </row>
    <row r="20" spans="1:12" ht="16.5" thickTop="1" thickBot="1" x14ac:dyDescent="0.25">
      <c r="A20" s="2232" t="s">
        <v>1636</v>
      </c>
      <c r="B20" s="2233"/>
      <c r="C20" s="1622">
        <f>C8-C17</f>
        <v>112093</v>
      </c>
      <c r="D20" s="1622">
        <f t="shared" ref="D20:K20" si="5">D8-D17</f>
        <v>25977</v>
      </c>
      <c r="E20" s="1622">
        <f t="shared" si="5"/>
        <v>11572</v>
      </c>
      <c r="F20" s="1622">
        <f t="shared" si="5"/>
        <v>-51424</v>
      </c>
      <c r="G20" s="1622">
        <f t="shared" si="5"/>
        <v>27438</v>
      </c>
      <c r="H20" s="1622">
        <f t="shared" si="5"/>
        <v>0</v>
      </c>
      <c r="I20" s="1622">
        <f t="shared" si="5"/>
        <v>38204</v>
      </c>
      <c r="J20" s="1622">
        <f t="shared" si="5"/>
        <v>52187</v>
      </c>
      <c r="K20" s="1622">
        <f t="shared" si="5"/>
        <v>-1200716</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112093</v>
      </c>
      <c r="D78" s="1629">
        <f t="shared" si="9"/>
        <v>25977</v>
      </c>
      <c r="E78" s="1629">
        <f t="shared" si="9"/>
        <v>11572</v>
      </c>
      <c r="F78" s="1629">
        <f t="shared" si="9"/>
        <v>-51424</v>
      </c>
      <c r="G78" s="1629">
        <f t="shared" si="9"/>
        <v>27438</v>
      </c>
      <c r="H78" s="1629">
        <f t="shared" si="9"/>
        <v>0</v>
      </c>
      <c r="I78" s="1629">
        <f t="shared" si="9"/>
        <v>38204</v>
      </c>
      <c r="J78" s="1629">
        <f t="shared" si="9"/>
        <v>52187</v>
      </c>
      <c r="K78" s="1629">
        <f t="shared" si="9"/>
        <v>-1200716</v>
      </c>
      <c r="L78" s="457"/>
    </row>
    <row r="79" spans="1:12" ht="13.5" thickTop="1" x14ac:dyDescent="0.2">
      <c r="A79" s="1844" t="str">
        <f>"Fund Balances - July 1, "&amp;'AFR20'!E2-1</f>
        <v>Fund Balances - July 1, 2019</v>
      </c>
      <c r="B79" s="458"/>
      <c r="C79" s="1583">
        <v>269847</v>
      </c>
      <c r="D79" s="1630">
        <v>313383</v>
      </c>
      <c r="E79" s="1630">
        <v>5900</v>
      </c>
      <c r="F79" s="1630">
        <v>46743</v>
      </c>
      <c r="G79" s="1630">
        <v>208518</v>
      </c>
      <c r="H79" s="1630"/>
      <c r="I79" s="1630">
        <v>811425</v>
      </c>
      <c r="J79" s="1630">
        <v>121875</v>
      </c>
      <c r="K79" s="1630">
        <v>7123329</v>
      </c>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381940</v>
      </c>
      <c r="D81" s="1594">
        <f>SUM(D78:D80)</f>
        <v>339360</v>
      </c>
      <c r="E81" s="1594">
        <f t="shared" ref="E81:K81" si="10">SUM(E78:E80)</f>
        <v>17472</v>
      </c>
      <c r="F81" s="1594">
        <f t="shared" si="10"/>
        <v>-4681</v>
      </c>
      <c r="G81" s="1594">
        <f t="shared" si="10"/>
        <v>235956</v>
      </c>
      <c r="H81" s="1594">
        <f t="shared" si="10"/>
        <v>0</v>
      </c>
      <c r="I81" s="1594">
        <f t="shared" si="10"/>
        <v>849629</v>
      </c>
      <c r="J81" s="1594">
        <f t="shared" si="10"/>
        <v>174062</v>
      </c>
      <c r="K81" s="1594">
        <f t="shared" si="10"/>
        <v>5922613</v>
      </c>
      <c r="L81" s="325"/>
    </row>
    <row r="82" spans="1:12" ht="0.75" customHeight="1" thickTop="1" thickBot="1" x14ac:dyDescent="0.25">
      <c r="A82" s="459" t="s">
        <v>340</v>
      </c>
      <c r="B82" s="460"/>
      <c r="C82" s="461">
        <f>(C81-C79)</f>
        <v>112093</v>
      </c>
      <c r="D82" s="461">
        <f t="shared" ref="D82:K82" si="11">(D81-D79)</f>
        <v>25977</v>
      </c>
      <c r="E82" s="461">
        <f t="shared" si="11"/>
        <v>11572</v>
      </c>
      <c r="F82" s="461">
        <f t="shared" si="11"/>
        <v>-51424</v>
      </c>
      <c r="G82" s="461">
        <f t="shared" si="11"/>
        <v>27438</v>
      </c>
      <c r="H82" s="461">
        <f t="shared" si="11"/>
        <v>0</v>
      </c>
      <c r="I82" s="461">
        <f t="shared" si="11"/>
        <v>38204</v>
      </c>
      <c r="J82" s="461">
        <f t="shared" si="11"/>
        <v>52187</v>
      </c>
      <c r="K82" s="461">
        <f t="shared" si="11"/>
        <v>-1200716</v>
      </c>
    </row>
    <row r="83" spans="1:12" ht="14.25" hidden="1" thickTop="1" thickBot="1" x14ac:dyDescent="0.25">
      <c r="A83" s="462" t="s">
        <v>341</v>
      </c>
      <c r="B83" s="428"/>
      <c r="C83" s="463">
        <f>C82/C81</f>
        <v>0.29348326962350108</v>
      </c>
      <c r="D83" s="463">
        <f t="shared" ref="D83:K83" si="12">D82/D81</f>
        <v>7.6547029702970296E-2</v>
      </c>
      <c r="E83" s="463">
        <f t="shared" si="12"/>
        <v>0.6623168498168498</v>
      </c>
      <c r="F83" s="463">
        <f t="shared" si="12"/>
        <v>10.985686819055758</v>
      </c>
      <c r="G83" s="463">
        <f t="shared" si="12"/>
        <v>0.11628439200528912</v>
      </c>
      <c r="H83" s="463" t="e">
        <f t="shared" si="12"/>
        <v>#DIV/0!</v>
      </c>
      <c r="I83" s="463">
        <f t="shared" si="12"/>
        <v>4.4965508474875501E-2</v>
      </c>
      <c r="J83" s="463">
        <f t="shared" si="12"/>
        <v>0.29981845549287034</v>
      </c>
      <c r="K83" s="463">
        <f t="shared" si="12"/>
        <v>-0.20273416480192105</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L279"/>
  <sheetViews>
    <sheetView showGridLines="0" defaultGridColor="0" colorId="8" zoomScale="110" zoomScaleNormal="110" zoomScaleSheetLayoutView="75" workbookViewId="0">
      <pane ySplit="2" topLeftCell="A3" activePane="bottomLeft" state="frozen"/>
      <selection pane="bottomLeft" activeCell="C14" sqref="C1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2070382</v>
      </c>
      <c r="D5" s="1586">
        <v>369711</v>
      </c>
      <c r="E5" s="1573">
        <v>557922</v>
      </c>
      <c r="F5" s="1631">
        <v>147884</v>
      </c>
      <c r="G5" s="1573">
        <v>77033</v>
      </c>
      <c r="H5" s="1573"/>
      <c r="I5" s="1573">
        <v>36972</v>
      </c>
      <c r="J5" s="1574">
        <v>200078</v>
      </c>
      <c r="K5" s="1573">
        <v>36972</v>
      </c>
    </row>
    <row r="6" spans="1:12" ht="15" x14ac:dyDescent="0.2">
      <c r="A6" s="427" t="s">
        <v>1643</v>
      </c>
      <c r="B6" s="429">
        <v>1130</v>
      </c>
      <c r="C6" s="1573">
        <v>36972</v>
      </c>
      <c r="D6" s="1573"/>
      <c r="E6" s="1580"/>
      <c r="F6" s="1580"/>
      <c r="G6" s="1575"/>
      <c r="H6" s="1575"/>
      <c r="I6" s="1575"/>
      <c r="J6" s="1575"/>
      <c r="K6" s="1575"/>
    </row>
    <row r="7" spans="1:12" x14ac:dyDescent="0.2">
      <c r="A7" s="427" t="s">
        <v>110</v>
      </c>
      <c r="B7" s="471">
        <v>1140</v>
      </c>
      <c r="C7" s="1573">
        <v>29577</v>
      </c>
      <c r="D7" s="1573"/>
      <c r="E7" s="1575"/>
      <c r="F7" s="1574"/>
      <c r="G7" s="1574"/>
      <c r="H7" s="1574"/>
      <c r="I7" s="1575"/>
      <c r="J7" s="1575"/>
      <c r="K7" s="1575"/>
    </row>
    <row r="8" spans="1:12" x14ac:dyDescent="0.2">
      <c r="A8" s="427" t="s">
        <v>410</v>
      </c>
      <c r="B8" s="429">
        <v>1150</v>
      </c>
      <c r="C8" s="1580"/>
      <c r="D8" s="1580"/>
      <c r="E8" s="1582"/>
      <c r="F8" s="1582"/>
      <c r="G8" s="1586">
        <v>88035</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2136931</v>
      </c>
      <c r="D12" s="1633">
        <f t="shared" si="0"/>
        <v>369711</v>
      </c>
      <c r="E12" s="1633">
        <f t="shared" si="0"/>
        <v>557922</v>
      </c>
      <c r="F12" s="1633">
        <f t="shared" si="0"/>
        <v>147884</v>
      </c>
      <c r="G12" s="1633">
        <f t="shared" si="0"/>
        <v>165068</v>
      </c>
      <c r="H12" s="1633">
        <f t="shared" si="0"/>
        <v>0</v>
      </c>
      <c r="I12" s="1633">
        <f t="shared" si="0"/>
        <v>36972</v>
      </c>
      <c r="J12" s="1633">
        <f t="shared" si="0"/>
        <v>200078</v>
      </c>
      <c r="K12" s="1594">
        <f t="shared" si="0"/>
        <v>36972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2640</v>
      </c>
      <c r="D14" s="1573">
        <v>457</v>
      </c>
      <c r="E14" s="1573">
        <v>689</v>
      </c>
      <c r="F14" s="1573">
        <v>183</v>
      </c>
      <c r="G14" s="1573">
        <v>204</v>
      </c>
      <c r="H14" s="1573"/>
      <c r="I14" s="1573">
        <v>46</v>
      </c>
      <c r="J14" s="1574">
        <v>247</v>
      </c>
      <c r="K14" s="1573">
        <v>46</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v>73899</v>
      </c>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2640</v>
      </c>
      <c r="D18" s="1635">
        <f t="shared" ref="D18:K18" si="1">SUM(D14:D17)</f>
        <v>74356</v>
      </c>
      <c r="E18" s="1635">
        <f t="shared" si="1"/>
        <v>689</v>
      </c>
      <c r="F18" s="1635">
        <f t="shared" si="1"/>
        <v>183</v>
      </c>
      <c r="G18" s="1635">
        <f t="shared" si="1"/>
        <v>204</v>
      </c>
      <c r="H18" s="1635">
        <f t="shared" si="1"/>
        <v>0</v>
      </c>
      <c r="I18" s="1635">
        <f t="shared" si="1"/>
        <v>46</v>
      </c>
      <c r="J18" s="1635">
        <f t="shared" si="1"/>
        <v>247</v>
      </c>
      <c r="K18" s="1636">
        <f t="shared" si="1"/>
        <v>46</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28341</v>
      </c>
      <c r="D65" s="1573">
        <v>76</v>
      </c>
      <c r="E65" s="1573">
        <v>49</v>
      </c>
      <c r="F65" s="1574">
        <v>23</v>
      </c>
      <c r="G65" s="1573">
        <v>474</v>
      </c>
      <c r="H65" s="1573"/>
      <c r="I65" s="1573">
        <v>1186</v>
      </c>
      <c r="J65" s="1574">
        <v>18</v>
      </c>
      <c r="K65" s="1573">
        <v>95556</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28341</v>
      </c>
      <c r="D67" s="1594">
        <f t="shared" ref="D67:K67" si="2">SUM(D65:D66)</f>
        <v>76</v>
      </c>
      <c r="E67" s="1594">
        <f t="shared" si="2"/>
        <v>49</v>
      </c>
      <c r="F67" s="1594">
        <f t="shared" si="2"/>
        <v>23</v>
      </c>
      <c r="G67" s="1594">
        <f t="shared" si="2"/>
        <v>474</v>
      </c>
      <c r="H67" s="1594">
        <f t="shared" si="2"/>
        <v>0</v>
      </c>
      <c r="I67" s="1594">
        <f t="shared" si="2"/>
        <v>1186</v>
      </c>
      <c r="J67" s="1594">
        <f t="shared" si="2"/>
        <v>18</v>
      </c>
      <c r="K67" s="1594">
        <f t="shared" si="2"/>
        <v>95556</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42888</v>
      </c>
      <c r="D69" s="1575"/>
      <c r="E69" s="1575"/>
      <c r="F69" s="1575"/>
      <c r="G69" s="1575"/>
      <c r="H69" s="1575"/>
      <c r="I69" s="1575"/>
      <c r="J69" s="1575"/>
      <c r="K69" s="1575"/>
    </row>
    <row r="70" spans="1:11" ht="12.75" customHeight="1" x14ac:dyDescent="0.2">
      <c r="A70" s="427" t="s">
        <v>990</v>
      </c>
      <c r="B70" s="429">
        <v>1612</v>
      </c>
      <c r="C70" s="1632">
        <v>6118</v>
      </c>
      <c r="D70" s="1575"/>
      <c r="E70" s="1575"/>
      <c r="F70" s="1575"/>
      <c r="G70" s="1575"/>
      <c r="H70" s="1575"/>
      <c r="I70" s="1575"/>
      <c r="J70" s="1575"/>
      <c r="K70" s="1575"/>
    </row>
    <row r="71" spans="1:11" ht="12.75" customHeight="1" x14ac:dyDescent="0.2">
      <c r="A71" s="427" t="s">
        <v>271</v>
      </c>
      <c r="B71" s="429">
        <v>1613</v>
      </c>
      <c r="C71" s="1632">
        <v>23286</v>
      </c>
      <c r="D71" s="1575"/>
      <c r="E71" s="1575"/>
      <c r="F71" s="1575"/>
      <c r="G71" s="1575"/>
      <c r="H71" s="1575"/>
      <c r="I71" s="1575"/>
      <c r="J71" s="1575"/>
      <c r="K71" s="1575"/>
    </row>
    <row r="72" spans="1:11" ht="12.75" customHeight="1" x14ac:dyDescent="0.2">
      <c r="A72" s="427" t="s">
        <v>24</v>
      </c>
      <c r="B72" s="429">
        <v>1614</v>
      </c>
      <c r="C72" s="1632">
        <v>7842</v>
      </c>
      <c r="D72" s="1575"/>
      <c r="E72" s="1575"/>
      <c r="F72" s="1575"/>
      <c r="G72" s="1575"/>
      <c r="H72" s="1575"/>
      <c r="I72" s="1575"/>
      <c r="J72" s="1575"/>
      <c r="K72" s="1575"/>
    </row>
    <row r="73" spans="1:11" ht="12.75" customHeight="1" x14ac:dyDescent="0.2">
      <c r="A73" s="427" t="s">
        <v>991</v>
      </c>
      <c r="B73" s="429">
        <v>1620</v>
      </c>
      <c r="C73" s="1632">
        <v>1728</v>
      </c>
      <c r="D73" s="1575"/>
      <c r="E73" s="1575"/>
      <c r="F73" s="1575"/>
      <c r="G73" s="1575"/>
      <c r="H73" s="1575"/>
      <c r="I73" s="1575"/>
      <c r="J73" s="1575"/>
      <c r="K73" s="1575"/>
    </row>
    <row r="74" spans="1:11" ht="12.75" customHeight="1" x14ac:dyDescent="0.2">
      <c r="A74" s="427" t="s">
        <v>25</v>
      </c>
      <c r="B74" s="429">
        <v>1690</v>
      </c>
      <c r="C74" s="1632">
        <v>30</v>
      </c>
      <c r="D74" s="1575"/>
      <c r="E74" s="1575"/>
      <c r="F74" s="1575"/>
      <c r="G74" s="1575"/>
      <c r="H74" s="1575"/>
      <c r="I74" s="1575"/>
      <c r="J74" s="1575"/>
      <c r="K74" s="1575"/>
    </row>
    <row r="75" spans="1:11" ht="12.75" customHeight="1" thickBot="1" x14ac:dyDescent="0.25">
      <c r="A75" s="1406" t="s">
        <v>544</v>
      </c>
      <c r="B75" s="1407"/>
      <c r="C75" s="1594">
        <f>SUM(C69:C74)</f>
        <v>81892</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26077</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26077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13356</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13356</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13472</v>
      </c>
      <c r="E95" s="1617"/>
      <c r="F95" s="1617"/>
      <c r="G95" s="1617"/>
      <c r="H95" s="1617"/>
      <c r="I95" s="1617"/>
      <c r="J95" s="1617"/>
      <c r="K95" s="1617"/>
    </row>
    <row r="96" spans="1:11" ht="12.75" customHeight="1" x14ac:dyDescent="0.2">
      <c r="A96" s="427" t="s">
        <v>388</v>
      </c>
      <c r="B96" s="429">
        <v>1920</v>
      </c>
      <c r="C96" s="1632">
        <v>4000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39097</v>
      </c>
      <c r="D98" s="1573"/>
      <c r="E98" s="1612"/>
      <c r="F98" s="1573"/>
      <c r="G98" s="1612"/>
      <c r="H98" s="1612"/>
      <c r="I98" s="1610"/>
      <c r="J98" s="1612"/>
      <c r="K98" s="1612"/>
    </row>
    <row r="99" spans="1:12" ht="12.75" customHeight="1" x14ac:dyDescent="0.2">
      <c r="A99" s="427" t="s">
        <v>816</v>
      </c>
      <c r="B99" s="429">
        <v>1950</v>
      </c>
      <c r="C99" s="1598">
        <v>214</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1200</v>
      </c>
      <c r="D101" s="1623"/>
      <c r="E101" s="1585"/>
      <c r="F101" s="1623"/>
      <c r="G101" s="1580"/>
      <c r="H101" s="1623"/>
      <c r="I101" s="1575"/>
      <c r="J101" s="1580"/>
      <c r="K101" s="1580"/>
    </row>
    <row r="102" spans="1:12" ht="12.75" customHeight="1" x14ac:dyDescent="0.2">
      <c r="A102" s="427" t="s">
        <v>245</v>
      </c>
      <c r="B102" s="429">
        <v>1980</v>
      </c>
      <c r="C102" s="1598"/>
      <c r="D102" s="1598">
        <v>2610</v>
      </c>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1080</v>
      </c>
      <c r="D106" s="1598"/>
      <c r="E106" s="1574"/>
      <c r="F106" s="1574">
        <v>500</v>
      </c>
      <c r="G106" s="1574"/>
      <c r="H106" s="1574"/>
      <c r="I106" s="1617"/>
      <c r="J106" s="1574"/>
      <c r="K106" s="1574"/>
    </row>
    <row r="107" spans="1:12" ht="12.75" customHeight="1" x14ac:dyDescent="0.2">
      <c r="A107" s="427" t="s">
        <v>78</v>
      </c>
      <c r="B107" s="429">
        <v>1999</v>
      </c>
      <c r="C107" s="1632">
        <v>1119</v>
      </c>
      <c r="D107" s="1573"/>
      <c r="E107" s="1573"/>
      <c r="F107" s="1573">
        <v>2296</v>
      </c>
      <c r="G107" s="1573"/>
      <c r="H107" s="1573"/>
      <c r="I107" s="1573"/>
      <c r="J107" s="1574"/>
      <c r="K107" s="1573">
        <v>168277</v>
      </c>
    </row>
    <row r="108" spans="1:12" ht="12.75" customHeight="1" thickBot="1" x14ac:dyDescent="0.25">
      <c r="A108" s="1406" t="s">
        <v>484</v>
      </c>
      <c r="B108" s="1408"/>
      <c r="C108" s="1633">
        <f>SUM(C95:C107)</f>
        <v>46710</v>
      </c>
      <c r="D108" s="1633">
        <f t="shared" ref="D108:K108" si="3">SUM(D95:D107)</f>
        <v>16082</v>
      </c>
      <c r="E108" s="1633">
        <f t="shared" si="3"/>
        <v>0</v>
      </c>
      <c r="F108" s="1633">
        <f t="shared" si="3"/>
        <v>2796</v>
      </c>
      <c r="G108" s="1633">
        <f t="shared" si="3"/>
        <v>0</v>
      </c>
      <c r="H108" s="1633">
        <f t="shared" si="3"/>
        <v>0</v>
      </c>
      <c r="I108" s="1633">
        <f t="shared" si="3"/>
        <v>0</v>
      </c>
      <c r="J108" s="1633">
        <f t="shared" si="3"/>
        <v>0</v>
      </c>
      <c r="K108" s="1594">
        <f t="shared" si="3"/>
        <v>168277</v>
      </c>
    </row>
    <row r="109" spans="1:12" ht="14.25" thickTop="1" thickBot="1" x14ac:dyDescent="0.25">
      <c r="A109" s="1409" t="s">
        <v>246</v>
      </c>
      <c r="B109" s="1410" t="s">
        <v>566</v>
      </c>
      <c r="C109" s="1641">
        <f t="shared" ref="C109:K109" si="4">SUM(C12,C18,C40,C63,C67,C75,C82,C93,C108,)</f>
        <v>2335947</v>
      </c>
      <c r="D109" s="1641">
        <f t="shared" si="4"/>
        <v>460225</v>
      </c>
      <c r="E109" s="1641">
        <f t="shared" si="4"/>
        <v>558660</v>
      </c>
      <c r="F109" s="1641">
        <f t="shared" si="4"/>
        <v>150886</v>
      </c>
      <c r="G109" s="1641">
        <f t="shared" si="4"/>
        <v>165746</v>
      </c>
      <c r="H109" s="1641">
        <f t="shared" si="4"/>
        <v>0</v>
      </c>
      <c r="I109" s="1641">
        <f t="shared" si="4"/>
        <v>38204</v>
      </c>
      <c r="J109" s="1641">
        <f t="shared" si="4"/>
        <v>200343</v>
      </c>
      <c r="K109" s="1629">
        <f t="shared" si="4"/>
        <v>300851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1671510</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1671510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v>9781</v>
      </c>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9781</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10230</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10230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1793</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5351</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36876</v>
      </c>
      <c r="G152" s="1574"/>
      <c r="H152" s="1575"/>
      <c r="I152" s="1575"/>
      <c r="J152" s="1575"/>
      <c r="K152" s="1575"/>
    </row>
    <row r="153" spans="1:11" ht="12.75" customHeight="1" x14ac:dyDescent="0.2">
      <c r="A153" s="427" t="s">
        <v>1048</v>
      </c>
      <c r="B153" s="478">
        <v>3510</v>
      </c>
      <c r="C153" s="1632"/>
      <c r="D153" s="1573"/>
      <c r="E153" s="1640"/>
      <c r="F153" s="1573">
        <v>18333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55209</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105538</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133443</v>
      </c>
      <c r="D169" s="1658">
        <f t="shared" si="6"/>
        <v>0</v>
      </c>
      <c r="E169" s="1658">
        <f t="shared" si="6"/>
        <v>0</v>
      </c>
      <c r="F169" s="1658">
        <f t="shared" si="6"/>
        <v>55209</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1804953</v>
      </c>
      <c r="D170" s="1641">
        <f t="shared" si="7"/>
        <v>0</v>
      </c>
      <c r="E170" s="1641">
        <f t="shared" si="7"/>
        <v>0</v>
      </c>
      <c r="F170" s="1641">
        <f t="shared" si="7"/>
        <v>55209</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4728</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4728</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91525</v>
      </c>
      <c r="D191" s="1575"/>
      <c r="E191" s="1640"/>
      <c r="F191" s="1575"/>
      <c r="G191" s="1664"/>
      <c r="H191" s="1575"/>
      <c r="I191" s="1575"/>
      <c r="J191" s="1575"/>
      <c r="K191" s="1575"/>
    </row>
    <row r="192" spans="1:11" ht="12.75" customHeight="1" x14ac:dyDescent="0.2">
      <c r="A192" s="427" t="s">
        <v>1038</v>
      </c>
      <c r="B192" s="429">
        <v>4215</v>
      </c>
      <c r="C192" s="1632">
        <v>145</v>
      </c>
      <c r="D192" s="1575"/>
      <c r="E192" s="1640"/>
      <c r="F192" s="1575"/>
      <c r="G192" s="1664"/>
      <c r="H192" s="1575"/>
      <c r="I192" s="1575"/>
      <c r="J192" s="1575"/>
      <c r="K192" s="1575"/>
    </row>
    <row r="193" spans="1:11" ht="12.75" customHeight="1" x14ac:dyDescent="0.2">
      <c r="A193" s="427" t="s">
        <v>1050</v>
      </c>
      <c r="B193" s="429">
        <v>4220</v>
      </c>
      <c r="C193" s="1632">
        <v>28225</v>
      </c>
      <c r="D193" s="1575"/>
      <c r="E193" s="1640"/>
      <c r="F193" s="1575"/>
      <c r="G193" s="1664"/>
      <c r="H193" s="1575"/>
      <c r="I193" s="1575"/>
      <c r="J193" s="1575"/>
      <c r="K193" s="1575"/>
    </row>
    <row r="194" spans="1:11" ht="12.75" customHeight="1" x14ac:dyDescent="0.2">
      <c r="A194" s="427" t="s">
        <v>1434</v>
      </c>
      <c r="B194" s="429">
        <v>4225</v>
      </c>
      <c r="C194" s="1632">
        <v>39282</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159177</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203363</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203363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5195</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5195</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38617</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5459</v>
      </c>
      <c r="D263" s="1651"/>
      <c r="E263" s="1575"/>
      <c r="F263" s="1651"/>
      <c r="G263" s="1651"/>
      <c r="H263" s="1575"/>
      <c r="I263" s="1575"/>
      <c r="J263" s="1575"/>
      <c r="K263" s="1575"/>
    </row>
    <row r="264" spans="1:11" ht="12.75" customHeight="1" thickTop="1" thickBot="1" x14ac:dyDescent="0.25">
      <c r="A264" s="427" t="s">
        <v>374</v>
      </c>
      <c r="B264" s="429">
        <v>4992</v>
      </c>
      <c r="C264" s="1650">
        <v>12392</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428931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428931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4569831</v>
      </c>
      <c r="D268" s="1641">
        <f t="shared" si="12"/>
        <v>460225</v>
      </c>
      <c r="E268" s="1641">
        <f t="shared" si="12"/>
        <v>558660</v>
      </c>
      <c r="F268" s="1641">
        <f t="shared" si="12"/>
        <v>206095</v>
      </c>
      <c r="G268" s="1641">
        <f t="shared" si="12"/>
        <v>165746</v>
      </c>
      <c r="H268" s="1641">
        <f t="shared" si="12"/>
        <v>0</v>
      </c>
      <c r="I268" s="1641">
        <f t="shared" si="12"/>
        <v>38204</v>
      </c>
      <c r="J268" s="1641">
        <f t="shared" si="12"/>
        <v>200343</v>
      </c>
      <c r="K268" s="1629">
        <f t="shared" si="12"/>
        <v>300851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F0"/>
  </sheetPr>
  <dimension ref="A1:N368"/>
  <sheetViews>
    <sheetView showGridLines="0" defaultGridColor="0" colorId="8" zoomScale="110" zoomScaleNormal="110" workbookViewId="0">
      <pane ySplit="2" topLeftCell="A330" activePane="bottomLeft" state="frozen"/>
      <selection pane="bottomLeft" activeCell="L350" sqref="L35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1490171</v>
      </c>
      <c r="D5" s="1573">
        <v>325560</v>
      </c>
      <c r="E5" s="1573">
        <v>35794</v>
      </c>
      <c r="F5" s="1573">
        <v>42776</v>
      </c>
      <c r="G5" s="1573">
        <v>32428</v>
      </c>
      <c r="H5" s="1573"/>
      <c r="I5" s="1574"/>
      <c r="J5" s="1574"/>
      <c r="K5" s="1672">
        <f>SUM(C5:J5)</f>
        <v>1926729</v>
      </c>
      <c r="L5" s="1573">
        <v>1917168</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67203</v>
      </c>
      <c r="D7" s="1574">
        <v>25896</v>
      </c>
      <c r="E7" s="1574"/>
      <c r="F7" s="1574">
        <v>4738</v>
      </c>
      <c r="G7" s="1574"/>
      <c r="H7" s="1574"/>
      <c r="I7" s="1574"/>
      <c r="J7" s="1574"/>
      <c r="K7" s="1672">
        <f t="shared" ref="K7:K32" si="0">SUM(C7:J7)</f>
        <v>97837</v>
      </c>
      <c r="L7" s="1573">
        <v>81685</v>
      </c>
    </row>
    <row r="8" spans="1:14" x14ac:dyDescent="0.2">
      <c r="A8" s="1274" t="s">
        <v>163</v>
      </c>
      <c r="B8" s="503">
        <v>1200</v>
      </c>
      <c r="C8" s="1573">
        <v>420973</v>
      </c>
      <c r="D8" s="1573">
        <v>96676</v>
      </c>
      <c r="E8" s="1573">
        <v>218</v>
      </c>
      <c r="F8" s="1573">
        <v>1349</v>
      </c>
      <c r="G8" s="1573"/>
      <c r="H8" s="1573"/>
      <c r="I8" s="1574"/>
      <c r="J8" s="1574"/>
      <c r="K8" s="1672">
        <f t="shared" si="0"/>
        <v>519216</v>
      </c>
      <c r="L8" s="1573">
        <v>550655</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132092</v>
      </c>
      <c r="D10" s="1573">
        <v>28549</v>
      </c>
      <c r="E10" s="1573"/>
      <c r="F10" s="1573">
        <v>4840</v>
      </c>
      <c r="G10" s="1573">
        <v>9456</v>
      </c>
      <c r="H10" s="1573"/>
      <c r="I10" s="1574"/>
      <c r="J10" s="1574"/>
      <c r="K10" s="1672">
        <f t="shared" si="0"/>
        <v>174937</v>
      </c>
      <c r="L10" s="1573">
        <v>173739</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56832</v>
      </c>
      <c r="D13" s="1573">
        <v>10087</v>
      </c>
      <c r="E13" s="1573"/>
      <c r="F13" s="1573">
        <v>20276</v>
      </c>
      <c r="G13" s="1573"/>
      <c r="H13" s="1573"/>
      <c r="I13" s="1574"/>
      <c r="J13" s="1574"/>
      <c r="K13" s="1672">
        <f t="shared" si="0"/>
        <v>87195</v>
      </c>
      <c r="L13" s="1573">
        <v>91223</v>
      </c>
    </row>
    <row r="14" spans="1:14" x14ac:dyDescent="0.2">
      <c r="A14" s="1274" t="s">
        <v>957</v>
      </c>
      <c r="B14" s="503">
        <v>1500</v>
      </c>
      <c r="C14" s="1573">
        <v>117069</v>
      </c>
      <c r="D14" s="1573">
        <v>2212</v>
      </c>
      <c r="E14" s="1573">
        <v>20374</v>
      </c>
      <c r="F14" s="1573">
        <v>28122</v>
      </c>
      <c r="G14" s="1573"/>
      <c r="H14" s="1573">
        <v>983</v>
      </c>
      <c r="I14" s="1574"/>
      <c r="J14" s="1574"/>
      <c r="K14" s="1672">
        <f t="shared" si="0"/>
        <v>168760</v>
      </c>
      <c r="L14" s="1573">
        <v>175939</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36443</v>
      </c>
      <c r="D17" s="1574">
        <v>6717</v>
      </c>
      <c r="E17" s="1574"/>
      <c r="F17" s="1574">
        <v>390</v>
      </c>
      <c r="G17" s="1574"/>
      <c r="H17" s="1574"/>
      <c r="I17" s="1574"/>
      <c r="J17" s="1574"/>
      <c r="K17" s="1672">
        <f t="shared" si="0"/>
        <v>43550</v>
      </c>
      <c r="L17" s="1573">
        <v>41880</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2320783</v>
      </c>
      <c r="D33" s="1674">
        <f t="shared" ref="D33:L33" si="1">SUM(D5:D32)</f>
        <v>495697</v>
      </c>
      <c r="E33" s="1674">
        <f t="shared" si="1"/>
        <v>56386</v>
      </c>
      <c r="F33" s="1674">
        <f t="shared" si="1"/>
        <v>102491</v>
      </c>
      <c r="G33" s="1674">
        <f t="shared" si="1"/>
        <v>41884</v>
      </c>
      <c r="H33" s="1674">
        <f t="shared" si="1"/>
        <v>983</v>
      </c>
      <c r="I33" s="1674">
        <f t="shared" si="1"/>
        <v>0</v>
      </c>
      <c r="J33" s="1674">
        <f t="shared" si="1"/>
        <v>0</v>
      </c>
      <c r="K33" s="1674">
        <f t="shared" si="1"/>
        <v>3018224</v>
      </c>
      <c r="L33" s="1674">
        <f t="shared" si="1"/>
        <v>3032289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49730</v>
      </c>
      <c r="D37" s="1573">
        <v>10136</v>
      </c>
      <c r="E37" s="1573"/>
      <c r="F37" s="1573">
        <v>564</v>
      </c>
      <c r="G37" s="1573"/>
      <c r="H37" s="1573"/>
      <c r="I37" s="1574"/>
      <c r="J37" s="1574"/>
      <c r="K37" s="1672">
        <f t="shared" si="2"/>
        <v>60430</v>
      </c>
      <c r="L37" s="1573">
        <v>63056</v>
      </c>
    </row>
    <row r="38" spans="1:14" x14ac:dyDescent="0.2">
      <c r="A38" s="1274" t="s">
        <v>196</v>
      </c>
      <c r="B38" s="503">
        <v>2130</v>
      </c>
      <c r="C38" s="1573">
        <v>18712</v>
      </c>
      <c r="D38" s="1573">
        <v>8658</v>
      </c>
      <c r="E38" s="1573">
        <v>45</v>
      </c>
      <c r="F38" s="1573">
        <v>134</v>
      </c>
      <c r="G38" s="1573"/>
      <c r="H38" s="1573"/>
      <c r="I38" s="1574"/>
      <c r="J38" s="1574"/>
      <c r="K38" s="1672">
        <f t="shared" si="2"/>
        <v>27549</v>
      </c>
      <c r="L38" s="1573">
        <v>27065</v>
      </c>
    </row>
    <row r="39" spans="1:14" x14ac:dyDescent="0.2">
      <c r="A39" s="1274" t="s">
        <v>197</v>
      </c>
      <c r="B39" s="503">
        <v>2140</v>
      </c>
      <c r="C39" s="1573"/>
      <c r="D39" s="1573"/>
      <c r="E39" s="1573"/>
      <c r="F39" s="1573">
        <v>1382</v>
      </c>
      <c r="G39" s="1573"/>
      <c r="H39" s="1573"/>
      <c r="I39" s="1574"/>
      <c r="J39" s="1574"/>
      <c r="K39" s="1672">
        <f t="shared" si="2"/>
        <v>1382</v>
      </c>
      <c r="L39" s="1573">
        <v>1000</v>
      </c>
    </row>
    <row r="40" spans="1:14" x14ac:dyDescent="0.2">
      <c r="A40" s="1274" t="s">
        <v>198</v>
      </c>
      <c r="B40" s="503">
        <v>2150</v>
      </c>
      <c r="C40" s="1573"/>
      <c r="D40" s="1573"/>
      <c r="E40" s="1573"/>
      <c r="F40" s="1573">
        <v>140</v>
      </c>
      <c r="G40" s="1573"/>
      <c r="H40" s="1573"/>
      <c r="I40" s="1574"/>
      <c r="J40" s="1574"/>
      <c r="K40" s="1672">
        <f t="shared" si="2"/>
        <v>140</v>
      </c>
      <c r="L40" s="1573">
        <v>250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68442</v>
      </c>
      <c r="D42" s="1674">
        <f t="shared" ref="D42:L42" si="3">SUM(D36:D41)</f>
        <v>18794</v>
      </c>
      <c r="E42" s="1674">
        <f t="shared" si="3"/>
        <v>45</v>
      </c>
      <c r="F42" s="1674">
        <f t="shared" si="3"/>
        <v>2220</v>
      </c>
      <c r="G42" s="1674">
        <f t="shared" si="3"/>
        <v>0</v>
      </c>
      <c r="H42" s="1674">
        <f t="shared" si="3"/>
        <v>0</v>
      </c>
      <c r="I42" s="1674">
        <f t="shared" si="3"/>
        <v>0</v>
      </c>
      <c r="J42" s="1674">
        <f t="shared" si="3"/>
        <v>0</v>
      </c>
      <c r="K42" s="1674">
        <f t="shared" si="3"/>
        <v>89501</v>
      </c>
      <c r="L42" s="1674">
        <f t="shared" si="3"/>
        <v>91371</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4442</v>
      </c>
      <c r="F44" s="1586"/>
      <c r="G44" s="1586"/>
      <c r="H44" s="1586"/>
      <c r="I44" s="1574"/>
      <c r="J44" s="1574"/>
      <c r="K44" s="1678">
        <f>SUM(C44:J44)</f>
        <v>4442</v>
      </c>
      <c r="L44" s="1586">
        <v>7800</v>
      </c>
    </row>
    <row r="45" spans="1:14" x14ac:dyDescent="0.2">
      <c r="A45" s="1274" t="s">
        <v>810</v>
      </c>
      <c r="B45" s="503">
        <v>2220</v>
      </c>
      <c r="C45" s="1573">
        <v>85389</v>
      </c>
      <c r="D45" s="1573">
        <v>16776</v>
      </c>
      <c r="E45" s="1573">
        <v>25641</v>
      </c>
      <c r="F45" s="1573">
        <v>12974</v>
      </c>
      <c r="G45" s="1573">
        <v>17108</v>
      </c>
      <c r="H45" s="1573"/>
      <c r="I45" s="1574"/>
      <c r="J45" s="1574"/>
      <c r="K45" s="1678">
        <f>SUM(C45:J45)</f>
        <v>157888</v>
      </c>
      <c r="L45" s="1573">
        <v>158601</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85389</v>
      </c>
      <c r="D47" s="1674">
        <f t="shared" ref="D47:K47" si="4">SUM(D44:D46)</f>
        <v>16776</v>
      </c>
      <c r="E47" s="1674">
        <f t="shared" si="4"/>
        <v>30083</v>
      </c>
      <c r="F47" s="1674">
        <f t="shared" si="4"/>
        <v>12974</v>
      </c>
      <c r="G47" s="1674">
        <f t="shared" si="4"/>
        <v>17108</v>
      </c>
      <c r="H47" s="1674">
        <f t="shared" si="4"/>
        <v>0</v>
      </c>
      <c r="I47" s="1674">
        <f t="shared" si="4"/>
        <v>0</v>
      </c>
      <c r="J47" s="1674">
        <f t="shared" si="4"/>
        <v>0</v>
      </c>
      <c r="K47" s="1674">
        <f t="shared" si="4"/>
        <v>162330</v>
      </c>
      <c r="L47" s="1674">
        <f>SUM(L44:L46)</f>
        <v>166401</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2500</v>
      </c>
      <c r="D49" s="1586"/>
      <c r="E49" s="1586">
        <v>8397</v>
      </c>
      <c r="F49" s="1586"/>
      <c r="G49" s="1586"/>
      <c r="H49" s="1586">
        <v>6254</v>
      </c>
      <c r="I49" s="1574"/>
      <c r="J49" s="1574"/>
      <c r="K49" s="1678">
        <f>SUM(C49:J49)</f>
        <v>17151</v>
      </c>
      <c r="L49" s="1586">
        <v>17631</v>
      </c>
    </row>
    <row r="50" spans="1:14" x14ac:dyDescent="0.2">
      <c r="A50" s="1274" t="s">
        <v>813</v>
      </c>
      <c r="B50" s="503">
        <v>2320</v>
      </c>
      <c r="C50" s="1573">
        <v>157095</v>
      </c>
      <c r="D50" s="1573">
        <v>31888</v>
      </c>
      <c r="E50" s="1573">
        <v>4424</v>
      </c>
      <c r="F50" s="1573">
        <v>3228</v>
      </c>
      <c r="G50" s="1573">
        <v>7023</v>
      </c>
      <c r="H50" s="1573">
        <v>1102</v>
      </c>
      <c r="I50" s="1574"/>
      <c r="J50" s="1574"/>
      <c r="K50" s="1678">
        <f>SUM(C50:J50)</f>
        <v>204760</v>
      </c>
      <c r="L50" s="1573">
        <v>201812</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159595</v>
      </c>
      <c r="D53" s="1674">
        <f t="shared" ref="D53:L53" si="5">SUM(D49:D52)</f>
        <v>31888</v>
      </c>
      <c r="E53" s="1674">
        <f t="shared" si="5"/>
        <v>12821</v>
      </c>
      <c r="F53" s="1674">
        <f t="shared" si="5"/>
        <v>3228</v>
      </c>
      <c r="G53" s="1674">
        <f t="shared" si="5"/>
        <v>7023</v>
      </c>
      <c r="H53" s="1674">
        <f t="shared" si="5"/>
        <v>7356</v>
      </c>
      <c r="I53" s="1674">
        <f t="shared" si="5"/>
        <v>0</v>
      </c>
      <c r="J53" s="1674">
        <f t="shared" si="5"/>
        <v>0</v>
      </c>
      <c r="K53" s="1674">
        <f t="shared" si="5"/>
        <v>221911</v>
      </c>
      <c r="L53" s="1674">
        <f t="shared" si="5"/>
        <v>219443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244734</v>
      </c>
      <c r="D55" s="1586">
        <v>31812</v>
      </c>
      <c r="E55" s="1586">
        <v>309</v>
      </c>
      <c r="F55" s="1586">
        <v>6433</v>
      </c>
      <c r="G55" s="1586"/>
      <c r="H55" s="1586">
        <v>769</v>
      </c>
      <c r="I55" s="1574"/>
      <c r="J55" s="1574"/>
      <c r="K55" s="1678">
        <f>SUM(C55:J55)</f>
        <v>284057</v>
      </c>
      <c r="L55" s="1586">
        <v>283543</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244734</v>
      </c>
      <c r="D57" s="1679">
        <f t="shared" ref="D57:K57" si="6">SUM(D55:D56)</f>
        <v>31812</v>
      </c>
      <c r="E57" s="1679">
        <f t="shared" si="6"/>
        <v>309</v>
      </c>
      <c r="F57" s="1679">
        <f t="shared" si="6"/>
        <v>6433</v>
      </c>
      <c r="G57" s="1679">
        <f t="shared" si="6"/>
        <v>0</v>
      </c>
      <c r="H57" s="1679">
        <f t="shared" si="6"/>
        <v>769</v>
      </c>
      <c r="I57" s="1679">
        <f t="shared" si="6"/>
        <v>0</v>
      </c>
      <c r="J57" s="1679">
        <f t="shared" si="6"/>
        <v>0</v>
      </c>
      <c r="K57" s="1679">
        <f t="shared" si="6"/>
        <v>284057</v>
      </c>
      <c r="L57" s="1674">
        <f>SUM(L55:L56)</f>
        <v>283543</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39715</v>
      </c>
      <c r="D60" s="1573">
        <v>8388</v>
      </c>
      <c r="E60" s="1573">
        <v>49981</v>
      </c>
      <c r="F60" s="1573">
        <v>1165</v>
      </c>
      <c r="G60" s="1573"/>
      <c r="H60" s="1573"/>
      <c r="I60" s="1574"/>
      <c r="J60" s="1574"/>
      <c r="K60" s="1678">
        <f t="shared" si="7"/>
        <v>99249</v>
      </c>
      <c r="L60" s="1573">
        <v>99514</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114719</v>
      </c>
      <c r="D63" s="1573">
        <v>41940</v>
      </c>
      <c r="E63" s="1573">
        <v>2864</v>
      </c>
      <c r="F63" s="1573">
        <v>109443</v>
      </c>
      <c r="G63" s="1573">
        <v>5643</v>
      </c>
      <c r="H63" s="1573"/>
      <c r="I63" s="1574"/>
      <c r="J63" s="1574"/>
      <c r="K63" s="1678">
        <f t="shared" si="7"/>
        <v>274609</v>
      </c>
      <c r="L63" s="1573">
        <v>272625</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154434</v>
      </c>
      <c r="D65" s="1674">
        <f t="shared" ref="D65:L65" si="8">SUM(D59:D64)</f>
        <v>50328</v>
      </c>
      <c r="E65" s="1674">
        <f t="shared" si="8"/>
        <v>52845</v>
      </c>
      <c r="F65" s="1674">
        <f t="shared" si="8"/>
        <v>110608</v>
      </c>
      <c r="G65" s="1674">
        <f t="shared" si="8"/>
        <v>5643</v>
      </c>
      <c r="H65" s="1674">
        <f t="shared" si="8"/>
        <v>0</v>
      </c>
      <c r="I65" s="1674">
        <f t="shared" si="8"/>
        <v>0</v>
      </c>
      <c r="J65" s="1674">
        <f t="shared" si="8"/>
        <v>0</v>
      </c>
      <c r="K65" s="1674">
        <f t="shared" si="8"/>
        <v>373858</v>
      </c>
      <c r="L65" s="1674">
        <f t="shared" si="8"/>
        <v>372139</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712594</v>
      </c>
      <c r="D74" s="1681">
        <f t="shared" ref="D74:K74" si="10">SUM(D42,D47,D53,D57,D65,D72,D73)</f>
        <v>149598</v>
      </c>
      <c r="E74" s="1681">
        <f t="shared" si="10"/>
        <v>96103</v>
      </c>
      <c r="F74" s="1681">
        <f t="shared" si="10"/>
        <v>135463</v>
      </c>
      <c r="G74" s="1681">
        <f t="shared" si="10"/>
        <v>29774</v>
      </c>
      <c r="H74" s="1681">
        <f t="shared" si="10"/>
        <v>8125</v>
      </c>
      <c r="I74" s="1681">
        <f t="shared" si="10"/>
        <v>0</v>
      </c>
      <c r="J74" s="1681">
        <f t="shared" si="10"/>
        <v>0</v>
      </c>
      <c r="K74" s="1681">
        <f t="shared" si="10"/>
        <v>1131657</v>
      </c>
      <c r="L74" s="1681">
        <f>SUM(L42,L47,L53,L57,L65,L72,L73)</f>
        <v>1132897</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v>16750</v>
      </c>
      <c r="I78" s="1582"/>
      <c r="J78" s="1582"/>
      <c r="K78" s="1672">
        <f t="shared" ref="K78:K83" si="11">SUM(C78:J78)</f>
        <v>16750</v>
      </c>
      <c r="L78" s="1586">
        <v>16750</v>
      </c>
    </row>
    <row r="79" spans="1:14" x14ac:dyDescent="0.2">
      <c r="A79" s="1274" t="s">
        <v>301</v>
      </c>
      <c r="B79" s="503">
        <v>4120</v>
      </c>
      <c r="C79" s="1673"/>
      <c r="D79" s="1673"/>
      <c r="E79" s="1573">
        <v>222526</v>
      </c>
      <c r="F79" s="1673"/>
      <c r="G79" s="1673"/>
      <c r="H79" s="1573"/>
      <c r="I79" s="1582"/>
      <c r="J79" s="1582"/>
      <c r="K79" s="1672">
        <f t="shared" si="11"/>
        <v>222526</v>
      </c>
      <c r="L79" s="1573">
        <v>222129</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v>38868</v>
      </c>
      <c r="F81" s="1673"/>
      <c r="G81" s="1673"/>
      <c r="H81" s="1573"/>
      <c r="I81" s="1582"/>
      <c r="J81" s="1582"/>
      <c r="K81" s="1672">
        <f t="shared" si="11"/>
        <v>38868</v>
      </c>
      <c r="L81" s="1573">
        <v>38867</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261394</v>
      </c>
      <c r="F84" s="1673"/>
      <c r="G84" s="1673"/>
      <c r="H84" s="1674">
        <f>SUM(H78:H83)</f>
        <v>16750</v>
      </c>
      <c r="I84" s="1582"/>
      <c r="J84" s="1582"/>
      <c r="K84" s="1674">
        <f>SUM(K78:K83)</f>
        <v>278144</v>
      </c>
      <c r="L84" s="1674">
        <f>SUM(L78:L83)</f>
        <v>277746</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29713</v>
      </c>
      <c r="I86" s="1582"/>
      <c r="J86" s="1582"/>
      <c r="K86" s="1681">
        <f t="shared" ref="K86:K98" si="12">H86</f>
        <v>29713</v>
      </c>
      <c r="L86" s="1626">
        <v>29713</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29713</v>
      </c>
      <c r="I92" s="1582"/>
      <c r="J92" s="1582"/>
      <c r="K92" s="1681">
        <f t="shared" si="12"/>
        <v>29713</v>
      </c>
      <c r="L92" s="1674">
        <f>SUM(L85:L91)</f>
        <v>29713</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261394</v>
      </c>
      <c r="F102" s="1673"/>
      <c r="G102" s="1673"/>
      <c r="H102" s="1681">
        <f>SUM(H84,H92,H100,H101)</f>
        <v>46463</v>
      </c>
      <c r="I102" s="1582"/>
      <c r="J102" s="1582"/>
      <c r="K102" s="1681">
        <f>SUM(K84,K92,K100,K101)</f>
        <v>307857</v>
      </c>
      <c r="L102" s="1681">
        <f>SUM(L84,L92,L100,L101)</f>
        <v>307459</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3033377</v>
      </c>
      <c r="D114" s="1674">
        <f t="shared" ref="D114:K114" si="13">SUM(D33,D74,D75,D102,D112,D113)</f>
        <v>645295</v>
      </c>
      <c r="E114" s="1674">
        <f t="shared" si="13"/>
        <v>413883</v>
      </c>
      <c r="F114" s="1674">
        <f t="shared" si="13"/>
        <v>237954</v>
      </c>
      <c r="G114" s="1674">
        <f t="shared" si="13"/>
        <v>71658</v>
      </c>
      <c r="H114" s="1674">
        <f>SUM(H33,H74,H75,H102,H112,H113)</f>
        <v>55571</v>
      </c>
      <c r="I114" s="1674">
        <f t="shared" si="13"/>
        <v>0</v>
      </c>
      <c r="J114" s="1674">
        <f t="shared" si="13"/>
        <v>0</v>
      </c>
      <c r="K114" s="1674">
        <f t="shared" si="13"/>
        <v>4457738</v>
      </c>
      <c r="L114" s="1674">
        <f>SUM(L33,L74,L75,L102,L112,L113)</f>
        <v>4472645</v>
      </c>
    </row>
    <row r="115" spans="1:14" ht="13.5" thickTop="1" x14ac:dyDescent="0.2">
      <c r="A115" s="2262" t="s">
        <v>989</v>
      </c>
      <c r="B115" s="2263"/>
      <c r="C115" s="1675"/>
      <c r="D115" s="1675"/>
      <c r="E115" s="1675"/>
      <c r="F115" s="1675"/>
      <c r="G115" s="1675"/>
      <c r="H115" s="1675"/>
      <c r="I115" s="1675"/>
      <c r="J115" s="1675"/>
      <c r="K115" s="1689">
        <f>'Revenues 9-14'!C268-'Expenditures 15-22'!K114</f>
        <v>112093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143481</v>
      </c>
      <c r="D124" s="1573">
        <v>25164</v>
      </c>
      <c r="E124" s="1573">
        <v>93296</v>
      </c>
      <c r="F124" s="1573">
        <v>165802</v>
      </c>
      <c r="G124" s="1573">
        <v>4467</v>
      </c>
      <c r="H124" s="1573">
        <v>2038</v>
      </c>
      <c r="I124" s="1574"/>
      <c r="J124" s="1574"/>
      <c r="K124" s="1674">
        <f>SUM(C124:J124)</f>
        <v>434248</v>
      </c>
      <c r="L124" s="1573">
        <v>444621</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143481</v>
      </c>
      <c r="D127" s="1674">
        <f t="shared" ref="D127:L127" si="14">SUM(D122:D126)</f>
        <v>25164</v>
      </c>
      <c r="E127" s="1674">
        <f t="shared" si="14"/>
        <v>93296</v>
      </c>
      <c r="F127" s="1674">
        <f t="shared" si="14"/>
        <v>165802</v>
      </c>
      <c r="G127" s="1674">
        <f t="shared" si="14"/>
        <v>4467</v>
      </c>
      <c r="H127" s="1674">
        <f t="shared" si="14"/>
        <v>2038</v>
      </c>
      <c r="I127" s="1674">
        <f t="shared" si="14"/>
        <v>0</v>
      </c>
      <c r="J127" s="1674">
        <f t="shared" si="14"/>
        <v>0</v>
      </c>
      <c r="K127" s="1674">
        <f t="shared" si="14"/>
        <v>434248</v>
      </c>
      <c r="L127" s="1674">
        <f t="shared" si="14"/>
        <v>444621</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143481</v>
      </c>
      <c r="D129" s="1681">
        <f t="shared" ref="D129:L129" si="15">SUM(D120,D127,D128)</f>
        <v>25164</v>
      </c>
      <c r="E129" s="1681">
        <f t="shared" si="15"/>
        <v>93296</v>
      </c>
      <c r="F129" s="1681">
        <f t="shared" si="15"/>
        <v>165802</v>
      </c>
      <c r="G129" s="1681">
        <f t="shared" si="15"/>
        <v>4467</v>
      </c>
      <c r="H129" s="1681">
        <f t="shared" si="15"/>
        <v>2038</v>
      </c>
      <c r="I129" s="1681">
        <f t="shared" si="15"/>
        <v>0</v>
      </c>
      <c r="J129" s="1681">
        <f t="shared" si="15"/>
        <v>0</v>
      </c>
      <c r="K129" s="1681">
        <f t="shared" si="15"/>
        <v>434248</v>
      </c>
      <c r="L129" s="1681">
        <f t="shared" si="15"/>
        <v>444621</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59"/>
      <c r="C151" s="1674">
        <f>SUM(C129,C130,C139,C149,C150)</f>
        <v>143481</v>
      </c>
      <c r="D151" s="1674">
        <f t="shared" ref="D151:K151" si="16">SUM(D129,D130,D139,D149,D150)</f>
        <v>25164</v>
      </c>
      <c r="E151" s="1674">
        <f t="shared" si="16"/>
        <v>93296</v>
      </c>
      <c r="F151" s="1674">
        <f t="shared" si="16"/>
        <v>165802</v>
      </c>
      <c r="G151" s="1674">
        <f t="shared" si="16"/>
        <v>4467</v>
      </c>
      <c r="H151" s="1674">
        <f t="shared" si="16"/>
        <v>2038</v>
      </c>
      <c r="I151" s="1674">
        <f t="shared" si="16"/>
        <v>0</v>
      </c>
      <c r="J151" s="1674">
        <f t="shared" si="16"/>
        <v>0</v>
      </c>
      <c r="K151" s="1674">
        <f t="shared" si="16"/>
        <v>434248</v>
      </c>
      <c r="L151" s="1674">
        <f>SUM(L129,L130,L139,L149,L150)</f>
        <v>444621</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25977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296770</v>
      </c>
      <c r="I169" s="1673"/>
      <c r="J169" s="1673"/>
      <c r="K169" s="1672">
        <f>SUM(C169:H169)</f>
        <v>296770</v>
      </c>
      <c r="L169" s="1695">
        <v>296770</v>
      </c>
    </row>
    <row r="170" spans="1:14" ht="33.75" customHeight="1" x14ac:dyDescent="0.2">
      <c r="A170" s="543" t="s">
        <v>1651</v>
      </c>
      <c r="B170" s="545" t="s">
        <v>31</v>
      </c>
      <c r="C170" s="1673"/>
      <c r="D170" s="1673"/>
      <c r="E170" s="1673"/>
      <c r="F170" s="1673"/>
      <c r="G170" s="1673"/>
      <c r="H170" s="1646">
        <v>250000</v>
      </c>
      <c r="I170" s="1673"/>
      <c r="J170" s="1673"/>
      <c r="K170" s="1672">
        <f>SUM(C170:J170)</f>
        <v>250000</v>
      </c>
      <c r="L170" s="1646">
        <v>250000</v>
      </c>
    </row>
    <row r="171" spans="1:14" ht="15.75" customHeight="1" x14ac:dyDescent="0.2">
      <c r="A171" s="507" t="s">
        <v>761</v>
      </c>
      <c r="B171" s="546" t="s">
        <v>84</v>
      </c>
      <c r="C171" s="1673"/>
      <c r="D171" s="1673"/>
      <c r="E171" s="1573"/>
      <c r="F171" s="1673"/>
      <c r="G171" s="1673"/>
      <c r="H171" s="1646">
        <v>318</v>
      </c>
      <c r="I171" s="1582"/>
      <c r="J171" s="1673"/>
      <c r="K171" s="1672">
        <f>SUM(C171:J171)</f>
        <v>318</v>
      </c>
      <c r="L171" s="1646"/>
    </row>
    <row r="172" spans="1:14" ht="12.75" customHeight="1" thickBot="1" x14ac:dyDescent="0.25">
      <c r="A172" s="1380" t="s">
        <v>633</v>
      </c>
      <c r="B172" s="1381" t="s">
        <v>489</v>
      </c>
      <c r="C172" s="1673"/>
      <c r="D172" s="1673"/>
      <c r="E172" s="1681">
        <f>SUM(E168,E169,E170,E171)</f>
        <v>0</v>
      </c>
      <c r="F172" s="1673"/>
      <c r="G172" s="1673"/>
      <c r="H172" s="1681">
        <f>SUM(H168,H169,H170,H171)</f>
        <v>547088</v>
      </c>
      <c r="I172" s="1684"/>
      <c r="J172" s="1673"/>
      <c r="K172" s="1681">
        <f>SUM(K168,K169,K170,K171)</f>
        <v>547088</v>
      </c>
      <c r="L172" s="1681">
        <f>SUM(L168,L169,L170,L171)</f>
        <v>546770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547088</v>
      </c>
      <c r="I174" s="1684"/>
      <c r="J174" s="1673"/>
      <c r="K174" s="1681">
        <f>SUM(K160,K172,K173)</f>
        <v>547088</v>
      </c>
      <c r="L174" s="1681">
        <f>SUM(L160,L172,L173)</f>
        <v>546770</v>
      </c>
    </row>
    <row r="175" spans="1:14" ht="13.5" thickTop="1" x14ac:dyDescent="0.2">
      <c r="A175" s="2262" t="s">
        <v>989</v>
      </c>
      <c r="B175" s="2263"/>
      <c r="C175" s="1673"/>
      <c r="D175" s="1673"/>
      <c r="E175" s="1673"/>
      <c r="F175" s="1673"/>
      <c r="G175" s="1673"/>
      <c r="H175" s="1675"/>
      <c r="I175" s="1673"/>
      <c r="J175" s="1673"/>
      <c r="K175" s="1689">
        <f>'Revenues 9-14'!E268-'Expenditures 15-22'!K174</f>
        <v>11572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104229</v>
      </c>
      <c r="D182" s="1573">
        <v>9309</v>
      </c>
      <c r="E182" s="1573">
        <v>108782</v>
      </c>
      <c r="F182" s="1573">
        <v>34497</v>
      </c>
      <c r="G182" s="1573">
        <v>702</v>
      </c>
      <c r="H182" s="1573"/>
      <c r="I182" s="1574"/>
      <c r="J182" s="1574"/>
      <c r="K182" s="1672">
        <f>SUM(C182:J182)</f>
        <v>257519</v>
      </c>
      <c r="L182" s="1573">
        <v>251738</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104229</v>
      </c>
      <c r="D184" s="1681">
        <f t="shared" ref="D184:J184" si="17">SUM(D180,D182,D183)</f>
        <v>9309</v>
      </c>
      <c r="E184" s="1681">
        <f t="shared" si="17"/>
        <v>108782</v>
      </c>
      <c r="F184" s="1681">
        <f t="shared" si="17"/>
        <v>34497</v>
      </c>
      <c r="G184" s="1681">
        <f t="shared" si="17"/>
        <v>702</v>
      </c>
      <c r="H184" s="1681">
        <f t="shared" si="17"/>
        <v>0</v>
      </c>
      <c r="I184" s="1681">
        <f t="shared" si="17"/>
        <v>0</v>
      </c>
      <c r="J184" s="1681">
        <f t="shared" si="17"/>
        <v>0</v>
      </c>
      <c r="K184" s="1681">
        <f>SUM(K180,K182,K183)</f>
        <v>257519</v>
      </c>
      <c r="L184" s="1681">
        <f>SUM(L180, L182:L183)</f>
        <v>251738</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104229</v>
      </c>
      <c r="D210" s="1674">
        <f>SUM(D184,D185)</f>
        <v>9309</v>
      </c>
      <c r="E210" s="1674">
        <f>SUM(E184,E185,E196)</f>
        <v>108782</v>
      </c>
      <c r="F210" s="1674">
        <f>SUM(F184,F185)</f>
        <v>34497</v>
      </c>
      <c r="G210" s="1674">
        <f>SUM(G184,G185)</f>
        <v>702</v>
      </c>
      <c r="H210" s="1674">
        <f>SUM(H184,H185,H196,H208,H209)</f>
        <v>0</v>
      </c>
      <c r="I210" s="1674">
        <f>SUM(I184,I185)</f>
        <v>0</v>
      </c>
      <c r="J210" s="1674">
        <f>SUM(J184,J185)</f>
        <v>0</v>
      </c>
      <c r="K210" s="1672">
        <f>SUM(K184,K185,K196,K208,K209)</f>
        <v>257519</v>
      </c>
      <c r="L210" s="1674">
        <f>SUM(L184,L185,L196,L208,L209)</f>
        <v>251738</v>
      </c>
    </row>
    <row r="211" spans="1:14" ht="13.5" thickTop="1" x14ac:dyDescent="0.2">
      <c r="A211" s="2262" t="s">
        <v>989</v>
      </c>
      <c r="B211" s="2263"/>
      <c r="C211" s="1675"/>
      <c r="D211" s="1675"/>
      <c r="E211" s="1675"/>
      <c r="F211" s="1675"/>
      <c r="G211" s="1675"/>
      <c r="H211" s="1675"/>
      <c r="I211" s="1673"/>
      <c r="J211" s="1673"/>
      <c r="K211" s="1689">
        <f>'Revenues 9-14'!F268-'Expenditures 15-22'!K210</f>
        <v>-51424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21433</v>
      </c>
      <c r="E215" s="1673"/>
      <c r="F215" s="1673"/>
      <c r="G215" s="1673"/>
      <c r="H215" s="1673"/>
      <c r="I215" s="1673"/>
      <c r="J215" s="1673"/>
      <c r="K215" s="1672">
        <f>D215</f>
        <v>21433</v>
      </c>
      <c r="L215" s="1573">
        <v>21750</v>
      </c>
    </row>
    <row r="216" spans="1:14" x14ac:dyDescent="0.2">
      <c r="A216" s="1274" t="s">
        <v>162</v>
      </c>
      <c r="B216" s="503" t="s">
        <v>961</v>
      </c>
      <c r="C216" s="1673"/>
      <c r="D216" s="1574">
        <v>4589</v>
      </c>
      <c r="E216" s="1673"/>
      <c r="F216" s="1673"/>
      <c r="G216" s="1673"/>
      <c r="H216" s="1673"/>
      <c r="I216" s="1673"/>
      <c r="J216" s="1673"/>
      <c r="K216" s="1672">
        <f t="shared" ref="K216:K228" si="19">D216</f>
        <v>4589</v>
      </c>
      <c r="L216" s="1573">
        <v>2685</v>
      </c>
    </row>
    <row r="217" spans="1:14" x14ac:dyDescent="0.2">
      <c r="A217" s="1274" t="s">
        <v>163</v>
      </c>
      <c r="B217" s="503">
        <v>1200</v>
      </c>
      <c r="C217" s="1673"/>
      <c r="D217" s="1573">
        <v>17455</v>
      </c>
      <c r="E217" s="1673"/>
      <c r="F217" s="1673"/>
      <c r="G217" s="1673"/>
      <c r="H217" s="1673"/>
      <c r="I217" s="1673"/>
      <c r="J217" s="1673"/>
      <c r="K217" s="1672">
        <f t="shared" si="19"/>
        <v>17455</v>
      </c>
      <c r="L217" s="1573">
        <v>17500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1870</v>
      </c>
      <c r="E219" s="1673"/>
      <c r="F219" s="1673"/>
      <c r="G219" s="1673"/>
      <c r="H219" s="1673"/>
      <c r="I219" s="1673"/>
      <c r="J219" s="1673"/>
      <c r="K219" s="1672">
        <f t="shared" si="19"/>
        <v>1870</v>
      </c>
      <c r="L219" s="1573">
        <v>1600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1602</v>
      </c>
      <c r="E222" s="1673"/>
      <c r="F222" s="1673"/>
      <c r="G222" s="1673"/>
      <c r="H222" s="1673"/>
      <c r="I222" s="1673"/>
      <c r="J222" s="1673"/>
      <c r="K222" s="1672">
        <f t="shared" si="19"/>
        <v>1602</v>
      </c>
      <c r="L222" s="1573">
        <v>1740</v>
      </c>
    </row>
    <row r="223" spans="1:14" x14ac:dyDescent="0.2">
      <c r="A223" s="1274" t="s">
        <v>957</v>
      </c>
      <c r="B223" s="503">
        <v>1500</v>
      </c>
      <c r="C223" s="1673"/>
      <c r="D223" s="1573">
        <v>2614</v>
      </c>
      <c r="E223" s="1673"/>
      <c r="F223" s="1673"/>
      <c r="G223" s="1673"/>
      <c r="H223" s="1673"/>
      <c r="I223" s="1673"/>
      <c r="J223" s="1673"/>
      <c r="K223" s="1672">
        <f t="shared" si="19"/>
        <v>2614</v>
      </c>
      <c r="L223" s="1573">
        <v>3697</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524</v>
      </c>
      <c r="E226" s="1673"/>
      <c r="F226" s="1673"/>
      <c r="G226" s="1673"/>
      <c r="H226" s="1673"/>
      <c r="I226" s="1673"/>
      <c r="J226" s="1673"/>
      <c r="K226" s="1672">
        <f t="shared" si="19"/>
        <v>524</v>
      </c>
      <c r="L226" s="1573">
        <v>450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50087</v>
      </c>
      <c r="E229" s="1673"/>
      <c r="F229" s="1673"/>
      <c r="G229" s="1673"/>
      <c r="H229" s="1673"/>
      <c r="I229" s="1673"/>
      <c r="J229" s="1673"/>
      <c r="K229" s="1674">
        <f>SUM(K215:K228)</f>
        <v>50087</v>
      </c>
      <c r="L229" s="1674">
        <f>SUM(L215:L228)</f>
        <v>49422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714</v>
      </c>
      <c r="E233" s="1673"/>
      <c r="F233" s="1673"/>
      <c r="G233" s="1673"/>
      <c r="H233" s="1673"/>
      <c r="I233" s="1673"/>
      <c r="J233" s="1673"/>
      <c r="K233" s="1672">
        <f t="shared" si="20"/>
        <v>714</v>
      </c>
      <c r="L233" s="1573">
        <v>550</v>
      </c>
    </row>
    <row r="234" spans="1:12" x14ac:dyDescent="0.2">
      <c r="A234" s="1274" t="s">
        <v>196</v>
      </c>
      <c r="B234" s="503">
        <v>2130</v>
      </c>
      <c r="C234" s="1673"/>
      <c r="D234" s="1573">
        <v>1933</v>
      </c>
      <c r="E234" s="1673"/>
      <c r="F234" s="1673"/>
      <c r="G234" s="1673"/>
      <c r="H234" s="1673"/>
      <c r="I234" s="1673"/>
      <c r="J234" s="1673"/>
      <c r="K234" s="1672">
        <f t="shared" si="20"/>
        <v>1933</v>
      </c>
      <c r="L234" s="1573">
        <v>2660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2647</v>
      </c>
      <c r="E238" s="1673"/>
      <c r="F238" s="1673"/>
      <c r="G238" s="1673"/>
      <c r="H238" s="1673"/>
      <c r="I238" s="1673"/>
      <c r="J238" s="1673"/>
      <c r="K238" s="1674">
        <f>SUM(K232:K237)</f>
        <v>2647</v>
      </c>
      <c r="L238" s="1674">
        <f>SUM(L232:L237)</f>
        <v>3210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11984</v>
      </c>
      <c r="E241" s="1673"/>
      <c r="F241" s="1673"/>
      <c r="G241" s="1673"/>
      <c r="H241" s="1673"/>
      <c r="I241" s="1673"/>
      <c r="J241" s="1673"/>
      <c r="K241" s="1678">
        <f>D241</f>
        <v>11984</v>
      </c>
      <c r="L241" s="1573">
        <v>13900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11984</v>
      </c>
      <c r="E243" s="1673"/>
      <c r="F243" s="1673"/>
      <c r="G243" s="1673"/>
      <c r="H243" s="1673"/>
      <c r="I243" s="1673"/>
      <c r="J243" s="1673"/>
      <c r="K243" s="1674">
        <f>SUM(K240:K242)</f>
        <v>11984</v>
      </c>
      <c r="L243" s="1674">
        <f>SUM(L240:L242)</f>
        <v>13900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353</v>
      </c>
      <c r="E245" s="1673"/>
      <c r="F245" s="1673"/>
      <c r="G245" s="1673"/>
      <c r="H245" s="1673"/>
      <c r="I245" s="1673"/>
      <c r="J245" s="1673"/>
      <c r="K245" s="1678">
        <f>D245</f>
        <v>353</v>
      </c>
      <c r="L245" s="1586">
        <v>370</v>
      </c>
    </row>
    <row r="246" spans="1:12" x14ac:dyDescent="0.2">
      <c r="A246" s="1274" t="s">
        <v>813</v>
      </c>
      <c r="B246" s="503">
        <v>2320</v>
      </c>
      <c r="C246" s="1673"/>
      <c r="D246" s="1573">
        <v>7280</v>
      </c>
      <c r="E246" s="1673"/>
      <c r="F246" s="1673"/>
      <c r="G246" s="1673"/>
      <c r="H246" s="1673"/>
      <c r="I246" s="1673"/>
      <c r="J246" s="1673"/>
      <c r="K246" s="1678">
        <f t="shared" ref="K246:K256" si="21">D246</f>
        <v>7280</v>
      </c>
      <c r="L246" s="1573">
        <v>7700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7633</v>
      </c>
      <c r="E257" s="1673"/>
      <c r="F257" s="1673"/>
      <c r="G257" s="1673"/>
      <c r="H257" s="1673"/>
      <c r="I257" s="1673"/>
      <c r="J257" s="1673"/>
      <c r="K257" s="1674">
        <f>SUM(K245:K256)</f>
        <v>7633</v>
      </c>
      <c r="L257" s="1674">
        <f>SUM(L245:L256)</f>
        <v>8070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11390</v>
      </c>
      <c r="E259" s="1673"/>
      <c r="F259" s="1673"/>
      <c r="G259" s="1673"/>
      <c r="H259" s="1673"/>
      <c r="I259" s="1673"/>
      <c r="J259" s="1673"/>
      <c r="K259" s="1678">
        <f>D259</f>
        <v>11390</v>
      </c>
      <c r="L259" s="1586">
        <v>11850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11390</v>
      </c>
      <c r="E261" s="1673"/>
      <c r="F261" s="1673"/>
      <c r="G261" s="1673"/>
      <c r="H261" s="1673"/>
      <c r="I261" s="1673"/>
      <c r="J261" s="1673"/>
      <c r="K261" s="1674">
        <f>SUM(K259:K260)</f>
        <v>11390</v>
      </c>
      <c r="L261" s="1674">
        <f>SUM(L259:L260)</f>
        <v>11850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5498</v>
      </c>
      <c r="E264" s="1673"/>
      <c r="F264" s="1673"/>
      <c r="G264" s="1673"/>
      <c r="H264" s="1673"/>
      <c r="I264" s="1673"/>
      <c r="J264" s="1673"/>
      <c r="K264" s="1678">
        <f t="shared" ref="K264:K269" si="22">D264</f>
        <v>5498</v>
      </c>
      <c r="L264" s="1573">
        <v>5960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19207</v>
      </c>
      <c r="E266" s="1673"/>
      <c r="F266" s="1673"/>
      <c r="G266" s="1673"/>
      <c r="H266" s="1673"/>
      <c r="I266" s="1673"/>
      <c r="J266" s="1673"/>
      <c r="K266" s="1678">
        <f t="shared" si="22"/>
        <v>19207</v>
      </c>
      <c r="L266" s="1573">
        <v>22280</v>
      </c>
    </row>
    <row r="267" spans="1:14" x14ac:dyDescent="0.2">
      <c r="A267" s="1274" t="s">
        <v>947</v>
      </c>
      <c r="B267" s="503">
        <v>2550</v>
      </c>
      <c r="C267" s="1673"/>
      <c r="D267" s="1573">
        <v>14195</v>
      </c>
      <c r="E267" s="1673"/>
      <c r="F267" s="1673"/>
      <c r="G267" s="1673"/>
      <c r="H267" s="1673"/>
      <c r="I267" s="1673"/>
      <c r="J267" s="1673"/>
      <c r="K267" s="1678">
        <f t="shared" si="22"/>
        <v>14195</v>
      </c>
      <c r="L267" s="1573">
        <v>15780</v>
      </c>
    </row>
    <row r="268" spans="1:14" x14ac:dyDescent="0.2">
      <c r="A268" s="1274" t="s">
        <v>100</v>
      </c>
      <c r="B268" s="503">
        <v>2560</v>
      </c>
      <c r="C268" s="1673"/>
      <c r="D268" s="1573">
        <v>15667</v>
      </c>
      <c r="E268" s="1673"/>
      <c r="F268" s="1673"/>
      <c r="G268" s="1673"/>
      <c r="H268" s="1673"/>
      <c r="I268" s="1673"/>
      <c r="J268" s="1673"/>
      <c r="K268" s="1678">
        <f t="shared" si="22"/>
        <v>15667</v>
      </c>
      <c r="L268" s="1573">
        <v>16750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54567</v>
      </c>
      <c r="E270" s="1673"/>
      <c r="F270" s="1673"/>
      <c r="G270" s="1673"/>
      <c r="H270" s="1673"/>
      <c r="I270" s="1673"/>
      <c r="J270" s="1673"/>
      <c r="K270" s="1674">
        <f>SUM(K263:K269)</f>
        <v>54567</v>
      </c>
      <c r="L270" s="1674">
        <f>SUM(L263:L269)</f>
        <v>60770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88221</v>
      </c>
      <c r="E279" s="1673"/>
      <c r="F279" s="1673"/>
      <c r="G279" s="1673"/>
      <c r="H279" s="1673"/>
      <c r="I279" s="1673"/>
      <c r="J279" s="1673"/>
      <c r="K279" s="1681">
        <f>SUM(K238,K243,K257,K261,K270,K277,K278)</f>
        <v>88221</v>
      </c>
      <c r="L279" s="1681">
        <f>SUM(L238,L243,L257,L261,L270,L277,L278)</f>
        <v>97800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138308</v>
      </c>
      <c r="E295" s="1673"/>
      <c r="F295" s="1673"/>
      <c r="G295" s="1673"/>
      <c r="H295" s="1674">
        <f>H293</f>
        <v>0</v>
      </c>
      <c r="I295" s="1673"/>
      <c r="J295" s="1673"/>
      <c r="K295" s="1674">
        <f>SUM(K229,K279,K280,K285,K293,K294)</f>
        <v>138308</v>
      </c>
      <c r="L295" s="1674">
        <f>SUM(L229,L279,L280,L285,L293,L294)</f>
        <v>147222</v>
      </c>
    </row>
    <row r="296" spans="1:14" ht="13.5" thickTop="1" x14ac:dyDescent="0.2">
      <c r="A296" s="2262" t="s">
        <v>989</v>
      </c>
      <c r="B296" s="2263"/>
      <c r="C296" s="1673"/>
      <c r="D296" s="1675"/>
      <c r="E296" s="1673"/>
      <c r="F296" s="1673"/>
      <c r="G296" s="1673"/>
      <c r="H296" s="1707"/>
      <c r="I296" s="1673"/>
      <c r="J296" s="1673"/>
      <c r="K296" s="1689">
        <f>'Revenues 9-14'!G268-'Expenditures 15-22'!K295</f>
        <v>27438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12805</v>
      </c>
      <c r="F320" s="1574"/>
      <c r="G320" s="1574"/>
      <c r="H320" s="1574"/>
      <c r="I320" s="1574"/>
      <c r="J320" s="1574"/>
      <c r="K320" s="1672">
        <f t="shared" ref="K320:K327" si="24">SUM(C320:J320)</f>
        <v>12805</v>
      </c>
      <c r="L320" s="1574">
        <v>12805</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32961</v>
      </c>
      <c r="F322" s="1574"/>
      <c r="G322" s="1574"/>
      <c r="H322" s="1574"/>
      <c r="I322" s="1574"/>
      <c r="J322" s="1574"/>
      <c r="K322" s="1672">
        <f t="shared" si="24"/>
        <v>32961</v>
      </c>
      <c r="L322" s="1574">
        <v>33000</v>
      </c>
      <c r="M322" s="539"/>
      <c r="N322" s="539"/>
    </row>
    <row r="323" spans="1:14" s="548" customFormat="1" x14ac:dyDescent="0.2">
      <c r="A323" s="1289" t="s">
        <v>697</v>
      </c>
      <c r="B323" s="567" t="s">
        <v>283</v>
      </c>
      <c r="C323" s="1574"/>
      <c r="D323" s="1574"/>
      <c r="E323" s="1574">
        <v>9163</v>
      </c>
      <c r="F323" s="1574"/>
      <c r="G323" s="1574"/>
      <c r="H323" s="1574"/>
      <c r="I323" s="1574"/>
      <c r="J323" s="1574"/>
      <c r="K323" s="1672">
        <f t="shared" si="24"/>
        <v>9163</v>
      </c>
      <c r="L323" s="1574">
        <v>11000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32424</v>
      </c>
      <c r="D325" s="1574">
        <v>4190</v>
      </c>
      <c r="E325" s="1574"/>
      <c r="F325" s="1574"/>
      <c r="G325" s="1574"/>
      <c r="H325" s="1574"/>
      <c r="I325" s="1574"/>
      <c r="J325" s="1574"/>
      <c r="K325" s="1672">
        <f t="shared" si="24"/>
        <v>36614</v>
      </c>
      <c r="L325" s="1574">
        <v>36831</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4800</v>
      </c>
      <c r="F327" s="1574"/>
      <c r="G327" s="1574"/>
      <c r="H327" s="1574"/>
      <c r="I327" s="1574"/>
      <c r="J327" s="1574"/>
      <c r="K327" s="1672">
        <f t="shared" si="24"/>
        <v>4800</v>
      </c>
      <c r="L327" s="1574">
        <v>4800</v>
      </c>
      <c r="M327" s="539"/>
      <c r="N327" s="539"/>
    </row>
    <row r="328" spans="1:14" s="548" customFormat="1" x14ac:dyDescent="0.2">
      <c r="A328" s="1290" t="s">
        <v>469</v>
      </c>
      <c r="B328" s="562" t="s">
        <v>1122</v>
      </c>
      <c r="C328" s="1579"/>
      <c r="D328" s="1579"/>
      <c r="E328" s="1579">
        <v>37551</v>
      </c>
      <c r="F328" s="1579"/>
      <c r="G328" s="1579"/>
      <c r="H328" s="1579"/>
      <c r="I328" s="1579"/>
      <c r="J328" s="1579"/>
      <c r="K328" s="1713">
        <f>SUM(C328:J328)</f>
        <v>37551</v>
      </c>
      <c r="L328" s="1579">
        <v>38000</v>
      </c>
      <c r="M328" s="539"/>
      <c r="N328" s="539"/>
    </row>
    <row r="329" spans="1:14" s="548" customFormat="1" x14ac:dyDescent="0.2">
      <c r="A329" s="1290" t="s">
        <v>1123</v>
      </c>
      <c r="B329" s="562" t="s">
        <v>1124</v>
      </c>
      <c r="C329" s="1579"/>
      <c r="D329" s="1579"/>
      <c r="E329" s="1579">
        <v>14262</v>
      </c>
      <c r="F329" s="1579"/>
      <c r="G329" s="1579"/>
      <c r="H329" s="1579"/>
      <c r="I329" s="1579"/>
      <c r="J329" s="1579"/>
      <c r="K329" s="1713">
        <f>SUM(C329:J329)</f>
        <v>14262</v>
      </c>
      <c r="L329" s="1579">
        <v>14500</v>
      </c>
      <c r="M329" s="539"/>
      <c r="N329" s="539"/>
    </row>
    <row r="330" spans="1:14" s="548" customFormat="1" ht="12.75" customHeight="1" thickBot="1" x14ac:dyDescent="0.25">
      <c r="A330" s="1401" t="s">
        <v>712</v>
      </c>
      <c r="B330" s="1381" t="s">
        <v>565</v>
      </c>
      <c r="C330" s="1674">
        <f>SUM(C319:C329)</f>
        <v>32424</v>
      </c>
      <c r="D330" s="1674">
        <f t="shared" ref="D330:J330" si="25">SUM(D319:D329)</f>
        <v>4190</v>
      </c>
      <c r="E330" s="1674">
        <f t="shared" si="25"/>
        <v>111542</v>
      </c>
      <c r="F330" s="1674">
        <f t="shared" si="25"/>
        <v>0</v>
      </c>
      <c r="G330" s="1674">
        <f t="shared" si="25"/>
        <v>0</v>
      </c>
      <c r="H330" s="1674">
        <f t="shared" si="25"/>
        <v>0</v>
      </c>
      <c r="I330" s="1674">
        <f t="shared" si="25"/>
        <v>0</v>
      </c>
      <c r="J330" s="1674">
        <f t="shared" si="25"/>
        <v>0</v>
      </c>
      <c r="K330" s="1674">
        <f>SUM(K319:K329)</f>
        <v>148156</v>
      </c>
      <c r="L330" s="1674">
        <f>SUM(L319:L329)</f>
        <v>150936</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32424</v>
      </c>
      <c r="D342" s="1674">
        <f>SUM(D330)</f>
        <v>4190</v>
      </c>
      <c r="E342" s="1674">
        <f>SUM(E330)</f>
        <v>111542</v>
      </c>
      <c r="F342" s="1674">
        <f>SUM(F330)</f>
        <v>0</v>
      </c>
      <c r="G342" s="1674">
        <f>SUM(G330)</f>
        <v>0</v>
      </c>
      <c r="H342" s="1674">
        <f>SUM(H330,H334,H340)</f>
        <v>0</v>
      </c>
      <c r="I342" s="1674">
        <f>SUM(I330)</f>
        <v>0</v>
      </c>
      <c r="J342" s="1674">
        <f>SUM(J330)</f>
        <v>0</v>
      </c>
      <c r="K342" s="1674">
        <f>SUM(K330,K334,K340)</f>
        <v>148156</v>
      </c>
      <c r="L342" s="1681">
        <f>SUM(L330,L334,L340,L341)</f>
        <v>150936</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52187</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1276112</v>
      </c>
      <c r="F349" s="1573"/>
      <c r="G349" s="1573">
        <v>225455</v>
      </c>
      <c r="H349" s="1573"/>
      <c r="I349" s="1574"/>
      <c r="J349" s="1574"/>
      <c r="K349" s="1672">
        <f>SUM(C349:J349)</f>
        <v>1501567</v>
      </c>
      <c r="L349" s="1573">
        <v>1501567</v>
      </c>
    </row>
    <row r="350" spans="1:14" ht="12.75" customHeight="1" thickBot="1" x14ac:dyDescent="0.25">
      <c r="A350" s="1380" t="s">
        <v>714</v>
      </c>
      <c r="B350" s="1381" t="s">
        <v>35</v>
      </c>
      <c r="C350" s="1674">
        <f>SUM(C348:C349)</f>
        <v>0</v>
      </c>
      <c r="D350" s="1674">
        <f t="shared" ref="D350:L350" si="26">SUM(D348:D349)</f>
        <v>0</v>
      </c>
      <c r="E350" s="1674">
        <f t="shared" si="26"/>
        <v>1276112</v>
      </c>
      <c r="F350" s="1674">
        <f t="shared" si="26"/>
        <v>0</v>
      </c>
      <c r="G350" s="1674">
        <f t="shared" si="26"/>
        <v>225455</v>
      </c>
      <c r="H350" s="1674">
        <f t="shared" si="26"/>
        <v>0</v>
      </c>
      <c r="I350" s="1674">
        <f t="shared" si="26"/>
        <v>0</v>
      </c>
      <c r="J350" s="1674">
        <f t="shared" si="26"/>
        <v>0</v>
      </c>
      <c r="K350" s="1674">
        <f t="shared" si="26"/>
        <v>1501567</v>
      </c>
      <c r="L350" s="1674">
        <f t="shared" si="26"/>
        <v>1501567</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1276112</v>
      </c>
      <c r="F352" s="1674">
        <f t="shared" si="27"/>
        <v>0</v>
      </c>
      <c r="G352" s="1674">
        <f t="shared" si="27"/>
        <v>225455</v>
      </c>
      <c r="H352" s="1674">
        <f t="shared" si="27"/>
        <v>0</v>
      </c>
      <c r="I352" s="1674">
        <f t="shared" si="27"/>
        <v>0</v>
      </c>
      <c r="J352" s="1674">
        <f t="shared" si="27"/>
        <v>0</v>
      </c>
      <c r="K352" s="1674">
        <f t="shared" si="27"/>
        <v>1501567</v>
      </c>
      <c r="L352" s="1674">
        <f t="shared" si="27"/>
        <v>1501567</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1276112</v>
      </c>
      <c r="F367" s="1674">
        <f t="shared" si="28"/>
        <v>0</v>
      </c>
      <c r="G367" s="1674">
        <f t="shared" si="28"/>
        <v>225455</v>
      </c>
      <c r="H367" s="1674">
        <f t="shared" si="28"/>
        <v>0</v>
      </c>
      <c r="I367" s="1674">
        <f t="shared" si="28"/>
        <v>0</v>
      </c>
      <c r="J367" s="1674">
        <f t="shared" si="28"/>
        <v>0</v>
      </c>
      <c r="K367" s="1674">
        <f t="shared" si="28"/>
        <v>1501567</v>
      </c>
      <c r="L367" s="1674">
        <f t="shared" si="28"/>
        <v>1501567</v>
      </c>
    </row>
    <row r="368" spans="1:14" ht="13.5" thickTop="1" x14ac:dyDescent="0.2">
      <c r="A368" s="2262" t="s">
        <v>989</v>
      </c>
      <c r="B368" s="2263"/>
      <c r="C368" s="1694"/>
      <c r="D368" s="1694"/>
      <c r="E368" s="1677"/>
      <c r="F368" s="1677"/>
      <c r="G368" s="1677"/>
      <c r="H368" s="1677"/>
      <c r="I368" s="1677"/>
      <c r="J368" s="1676"/>
      <c r="K368" s="1672">
        <f>'Revenues 9-14'!K268-'Expenditures 15-22'!K367</f>
        <v>-1200716</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d21dc803-237d-4c68-8692-8d731fd29118"/>
    <ds:schemaRef ds:uri="http://schemas.microsoft.com/office/2006/metadata/properties"/>
    <ds:schemaRef ds:uri="http://purl.org/dc/elements/1.1/"/>
    <ds:schemaRef ds:uri="http://purl.org/dc/dcmitype/"/>
    <ds:schemaRef ds:uri="http://schemas.microsoft.com/office/2006/documentManagement/types"/>
    <ds:schemaRef ds:uri="http://schemas.microsoft.com/office/infopath/2007/PartnerControls"/>
    <ds:schemaRef ds:uri="http://www.w3.org/XML/1998/namespace"/>
    <ds:schemaRef ds:uri="6ce3111e-7420-4802-b50a-75d4e9a0b980"/>
    <ds:schemaRef ds:uri="http://schemas.openxmlformats.org/package/2006/metadata/core-properties"/>
    <ds:schemaRef ds:uri="4d435f69-8686-490b-bd6d-b153bf22ab50"/>
    <ds:schemaRef ds:uri="http://schemas.microsoft.com/sharepoint/v3"/>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2020-11-14T16:10:07Z</cp:lastPrinted>
  <dcterms:created xsi:type="dcterms:W3CDTF">2003-10-29T19:06:34Z</dcterms:created>
  <dcterms:modified xsi:type="dcterms:W3CDTF">2020-11-19T20:29:16Z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