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EE8065D-1331-45C9-8326-A6B75C13631A}"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AC Tort 32-33" sheetId="184" r:id="rId16"/>
    <sheet name="ICR Computation 30" sheetId="108" r:id="rId17"/>
    <sheet name="Shared Outsourced Services 31" sheetId="182"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 5-6'!$A:$B,'Assets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24" i="37"/>
  <c r="B4270" i="106" s="1"/>
  <c r="D4270" i="106" s="1"/>
  <c r="F69" i="34" l="1"/>
  <c r="F64" i="34"/>
  <c r="G26" i="108"/>
  <c r="B1274" i="106"/>
  <c r="D1274" i="106" s="1"/>
  <c r="H15" i="184"/>
  <c r="D22" i="37"/>
  <c r="F50" i="34"/>
  <c r="F42" i="34"/>
  <c r="B7047" i="106"/>
  <c r="D7047" i="106" s="1"/>
  <c r="F37" i="34"/>
  <c r="B7829" i="106" s="1"/>
  <c r="D7829" i="106" s="1"/>
  <c r="B7074" i="106"/>
  <c r="D7074" i="106" s="1"/>
  <c r="H365" i="29"/>
  <c r="B7242" i="106" s="1"/>
  <c r="D7242" i="106" s="1"/>
  <c r="B6289" i="106"/>
  <c r="D6289" i="106" s="1"/>
  <c r="C352" i="29"/>
  <c r="I129" i="29"/>
  <c r="B7037" i="106" s="1"/>
  <c r="D7037" i="106" s="1"/>
  <c r="F36" i="34"/>
  <c r="B7828" i="106" s="1"/>
  <c r="D7828" i="106" s="1"/>
  <c r="G30" i="108"/>
  <c r="I210" i="29"/>
  <c r="B7071" i="106" s="1"/>
  <c r="D7071" i="106" s="1"/>
  <c r="H76" i="4"/>
  <c r="B3298" i="106" s="1"/>
  <c r="D3298" i="106" s="1"/>
  <c r="F77" i="4"/>
  <c r="B3255" i="106" s="1"/>
  <c r="D3255" i="106" s="1"/>
  <c r="C342" i="29"/>
  <c r="B7216" i="106" s="1"/>
  <c r="D7216" i="106" s="1"/>
  <c r="J210" i="29"/>
  <c r="B7072" i="106" s="1"/>
  <c r="D7072" i="106" s="1"/>
  <c r="J129" i="29"/>
  <c r="B7038" i="106" s="1"/>
  <c r="D7038" i="106" s="1"/>
  <c r="H28" i="118"/>
  <c r="H33" i="118"/>
  <c r="H342" i="29"/>
  <c r="B7221" i="106" s="1"/>
  <c r="D7221" i="106" s="1"/>
  <c r="B7696" i="106"/>
  <c r="D7696" i="106" s="1"/>
  <c r="E66" i="184"/>
  <c r="N66" i="184" s="1"/>
  <c r="B7135" i="106"/>
  <c r="D7135" i="106" s="1"/>
  <c r="E58" i="184"/>
  <c r="N58" i="184" s="1"/>
  <c r="F34" i="34"/>
  <c r="B7826" i="106" s="1"/>
  <c r="D7826" i="106" s="1"/>
  <c r="B7189" i="106"/>
  <c r="D7189" i="106" s="1"/>
  <c r="E64" i="184"/>
  <c r="N64" i="184" s="1"/>
  <c r="D31" i="108"/>
  <c r="E16" i="184"/>
  <c r="H16" i="184" s="1"/>
  <c r="B7126" i="106"/>
  <c r="D7126" i="106" s="1"/>
  <c r="E57" i="184"/>
  <c r="B7180" i="106"/>
  <c r="D7180" i="106" s="1"/>
  <c r="E63" i="184"/>
  <c r="N63" i="184" s="1"/>
  <c r="G33" i="108"/>
  <c r="E17" i="184"/>
  <c r="H17" i="184" s="1"/>
  <c r="H12" i="184"/>
  <c r="B7171" i="106"/>
  <c r="D7171" i="106" s="1"/>
  <c r="E62" i="184"/>
  <c r="N62" i="184" s="1"/>
  <c r="C129" i="29"/>
  <c r="B1225" i="106" s="1"/>
  <c r="D1225" i="106" s="1"/>
  <c r="B7198" i="106"/>
  <c r="D7198" i="106" s="1"/>
  <c r="E65" i="184"/>
  <c r="N65" i="184" s="1"/>
  <c r="B7162" i="106"/>
  <c r="D7162" i="106" s="1"/>
  <c r="E61" i="184"/>
  <c r="N61" i="184" s="1"/>
  <c r="B7153" i="106"/>
  <c r="D7153" i="106" s="1"/>
  <c r="E60" i="184"/>
  <c r="N60" i="184" s="1"/>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B1328" i="106"/>
  <c r="D1328" i="106" s="1"/>
  <c r="C151" i="29"/>
  <c r="B1226" i="106" s="1"/>
  <c r="D1226" i="106" s="1"/>
  <c r="I151" i="29"/>
  <c r="F59" i="34" s="1"/>
  <c r="J151" i="29"/>
  <c r="B7052" i="106" s="1"/>
  <c r="D7052" i="106" s="1"/>
  <c r="F66" i="34"/>
  <c r="H77" i="4"/>
  <c r="B3299" i="106" s="1"/>
  <c r="D3299" i="106" s="1"/>
  <c r="B1381" i="106"/>
  <c r="D1381" i="106" s="1"/>
  <c r="F41" i="108"/>
  <c r="G43" i="108" s="1"/>
  <c r="B1266" i="106"/>
  <c r="D1266" i="106" s="1"/>
  <c r="K342" i="29"/>
  <c r="F13" i="34" s="1"/>
  <c r="B5770" i="106"/>
  <c r="D5770" i="106" s="1"/>
  <c r="B5527" i="106"/>
  <c r="D5527" i="106" s="1"/>
  <c r="K77" i="4"/>
  <c r="B3587" i="106" s="1"/>
  <c r="D3587" i="106" s="1"/>
  <c r="K365" i="29"/>
  <c r="B7243" i="106" s="1"/>
  <c r="D7243" i="106" s="1"/>
  <c r="L16" i="11"/>
  <c r="B2061" i="106" s="1"/>
  <c r="D2061" i="106" s="1"/>
  <c r="N23" i="3"/>
  <c r="B284" i="106" s="1"/>
  <c r="D284" i="106" s="1"/>
  <c r="D44" i="36"/>
  <c r="B7222" i="106"/>
  <c r="D7222" i="106" s="1"/>
  <c r="F76" i="34"/>
  <c r="B7887" i="106" s="1"/>
  <c r="D7887" i="106" s="1"/>
  <c r="B7235" i="106"/>
  <c r="D7235" i="106" s="1"/>
  <c r="J16" i="4"/>
  <c r="B6226" i="106" s="1"/>
  <c r="D6226" i="106" s="1"/>
  <c r="B7215" i="106"/>
  <c r="D7215" i="106" s="1"/>
  <c r="B6216" i="106"/>
  <c r="D6216" i="106" s="1"/>
  <c r="B7220" i="106"/>
  <c r="D7220" i="106" s="1"/>
  <c r="F75" i="34"/>
  <c r="B7886" i="106" s="1"/>
  <c r="D7886" i="106" s="1"/>
  <c r="N57" i="184"/>
  <c r="N68" i="184" s="1"/>
  <c r="E68" i="184"/>
  <c r="L114" i="29"/>
  <c r="E19" i="184"/>
  <c r="E367" i="29"/>
  <c r="B3636" i="106" s="1"/>
  <c r="D3636" i="106" s="1"/>
  <c r="B3635" i="106"/>
  <c r="D3635" i="106"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7051" i="106"/>
  <c r="D7051" i="106" s="1"/>
  <c r="B7224" i="106"/>
  <c r="D7224" i="106" s="1"/>
  <c r="B1145" i="106"/>
  <c r="D1145" i="106" s="1"/>
  <c r="K367" i="29"/>
  <c r="B3678" i="106" s="1"/>
  <c r="D3678"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F77" i="34"/>
  <c r="B7834" i="106" s="1"/>
  <c r="D7834" i="106" s="1"/>
  <c r="B6227" i="106"/>
  <c r="D6227" i="106" s="1"/>
  <c r="K368" i="29"/>
  <c r="B3681" i="106" s="1"/>
  <c r="D3681" i="106" s="1"/>
  <c r="F8" i="4"/>
  <c r="F10" i="4" s="1"/>
  <c r="B4125" i="106" s="1"/>
  <c r="D4125" i="106" s="1"/>
  <c r="J20" i="4"/>
  <c r="J78" i="4"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3575" i="106"/>
  <c r="D3575" i="106" s="1"/>
  <c r="B2595" i="106"/>
  <c r="D2595" i="106" s="1"/>
  <c r="D8" i="146"/>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8" i="146" l="1"/>
  <c r="D78" i="4"/>
  <c r="D81" i="4" s="1"/>
  <c r="B3576" i="106"/>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<sst xmlns="http://schemas.openxmlformats.org/spreadsheetml/2006/main" count="5149" uniqueCount="2081">
  <si>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</si>
  <si>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</si>
  <si>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</si>
  <si>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</si>
  <si>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</si>
  <si>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</si>
  <si>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</si>
  <si>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</si>
  <si>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</si>
  <si>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</si>
  <si>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</si>
  <si>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</si>
  <si>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</si>
  <si>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</si>
  <si>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</si>
  <si>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</si>
  <si>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</si>
  <si>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</si>
  <si>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</si>
  <si>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</si>
  <si>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</si>
  <si>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</si>
  <si>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</si>
  <si>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</si>
  <si>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</si>
  <si>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</si>
  <si>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</si>
  <si>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</si>
  <si>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</si>
  <si>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</si>
  <si>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</si>
  <si>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</si>
  <si>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</si>
  <si>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</si>
  <si>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</si>
  <si>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</si>
  <si>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</si>
  <si>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</si>
  <si>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</si>
  <si>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</si>
  <si>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</si>
  <si>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</si>
  <si>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</si>
  <si>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</si>
  <si>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</si>
  <si>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</si>
  <si>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</si>
  <si>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</si>
  <si>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</si>
  <si>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</si>
  <si>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</si>
  <si>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</si>
  <si>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</si>
  <si>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</si>
  <si>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</si>
  <si>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</si>
  <si>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</si>
  <si>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</si>
  <si>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</si>
  <si>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</si>
  <si>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</si>
  <si>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</si>
  <si>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</si>
  <si>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</si>
  <si>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</si>
  <si>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</si>
  <si>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</si>
  <si>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</si>
  <si>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</si>
  <si>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</si>
  <si>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</si>
  <si>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</si>
  <si>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</si>
  <si>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</si>
  <si>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</si>
  <si>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</si>
  <si>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</si>
  <si>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</si>
  <si>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</si>
  <si>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</si>
  <si>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</si>
  <si>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</si>
  <si>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</si>
  <si>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</si>
  <si>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</si>
  <si>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</si>
  <si>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</si>
  <si>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</si>
  <si>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</si>
  <si>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</si>
  <si>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</si>
  <si>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</si>
  <si>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</si>
  <si>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</si>
  <si>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</si>
  <si>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</si>
  <si>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</si>
  <si>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</si>
  <si>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</si>
  <si>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</si>
  <si>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</si>
  <si>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</si>
  <si>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</si>
  <si>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</si>
  <si>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</si>
  <si>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</si>
  <si>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</si>
  <si>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</si>
  <si>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</si>
  <si>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</si>
  <si>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</si>
  <si>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</si>
  <si>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</si>
  <si>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</si>
  <si>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</si>
  <si>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</si>
  <si>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</si>
  <si>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</si>
  <si>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</si>
  <si>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</si>
  <si>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</si>
  <si>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</si>
  <si>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</si>
  <si>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</si>
  <si>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</si>
  <si>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</si>
  <si>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</si>
  <si>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</si>
  <si>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</si>
  <si>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</si>
  <si>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</si>
  <si>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</si>
  <si>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</si>
  <si>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</si>
  <si>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</si>
  <si>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</si>
  <si>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</si>
  <si>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</si>
  <si>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</si>
  <si>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</si>
  <si>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</si>
  <si>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</si>
  <si>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</si>
  <si>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</si>
  <si>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</si>
  <si>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</si>
  <si>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</si>
  <si>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</si>
  <si>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</si>
  <si>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</si>
  <si>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</si>
  <si>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</si>
  <si>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</si>
  <si>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</si>
  <si>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</si>
  <si>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</si>
  <si>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</si>
  <si>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</si>
  <si>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</si>
  <si>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</si>
  <si>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</si>
  <si>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</si>
  <si>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</si>
  <si>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</si>
  <si>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</si>
  <si>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</si>
  <si>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</si>
  <si>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</si>
  <si>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</si>
  <si>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</si>
  <si>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</si>
  <si>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</si>
  <si>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</si>
  <si>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</si>
  <si>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</si>
  <si>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</si>
  <si>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</si>
  <si>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</si>
  <si>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</si>
  <si>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</si>
  <si>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</si>
  <si>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</si>
  <si>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</si>
  <si>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</si>
  <si>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</si>
  <si>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</si>
  <si>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</si>
  <si>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</si>
  <si>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</si>
  <si>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</si>
  <si>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</si>
  <si>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</si>
  <si>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</si>
  <si>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</si>
  <si>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</si>
  <si>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</si>
  <si>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</si>
  <si>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</si>
  <si>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</si>
  <si>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</si>
  <si>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</si>
  <si>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</si>
  <si>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</si>
  <si>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</si>
  <si>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</si>
  <si>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</si>
  <si>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</si>
  <si>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</si>
  <si>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</si>
  <si>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</si>
  <si>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</si>
  <si>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</si>
  <si>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</si>
  <si>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</si>
  <si>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</si>
  <si>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</si>
  <si>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</si>
  <si>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</si>
  <si>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</si>
  <si>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</si>
  <si>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</si>
  <si>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</si>
  <si>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</si>
  <si>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</si>
  <si>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</si>
  <si>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</si>
  <si>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</si>
  <si>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</si>
  <si>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</si>
  <si>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</si>
  <si>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</si>
  <si>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</si>
  <si>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</si>
  <si>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</si>
  <si>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</si>
  <si>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</si>
  <si>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</si>
  <si>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</si>
  <si>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</si>
  <si>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</si>
  <si>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</si>
  <si>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</si>
  <si>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</si>
  <si>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</si>
  <si>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</si>
  <si>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</si>
  <si>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</si>
  <si>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</si>
  <si>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</si>
  <si>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</si>
  <si>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</si>
  <si>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</si>
  <si>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</si>
  <si>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</si>
  <si>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</si>
  <si>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</si>
  <si>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</si>
  <si>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</si>
  <si>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</si>
  <si>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</si>
  <si>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</si>
  <si>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</si>
  <si>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</si>
  <si>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</si>
  <si>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</si>
  <si>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</si>
  <si>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</si>
  <si>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</si>
  <si>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</si>
  <si>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</si>
  <si>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</si>
  <si>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</si>
  <si>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</si>
  <si>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</si>
  <si>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</si>
  <si>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</si>
  <si>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</si>
  <si>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</si>
  <si>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</si>
  <si>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</si>
  <si>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</si>
  <si>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</si>
  <si>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</si>
  <si>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</si>
  <si>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</si>
  <si>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</si>
  <si>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</si>
  <si>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</si>
  <si>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</si>
  <si>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</si>
  <si>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</si>
  <si>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</si>
  <si>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</si>
  <si>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</si>
  <si>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</si>
  <si>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</si>
  <si>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</si>
  <si>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</si>
  <si>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</si>
  <si>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</si>
  <si>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</si>
  <si>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</si>
  <si>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</si>
  <si>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</si>
  <si>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</si>
  <si>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</si>
  <si>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</si>
  <si>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</si>
  <si>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</si>
  <si>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</si>
  <si>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</si>
  <si>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</si>
  <si>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</si>
  <si>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</si>
  <si>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</si>
  <si>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</si>
  <si>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</si>
  <si>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</si>
  <si>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</si>
  <si>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</si>
  <si>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</si>
  <si>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</si>
  <si>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</si>
  <si>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</si>
  <si>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</si>
  <si>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</si>
  <si>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</si>
  <si>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</si>
  <si>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</si>
  <si>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</si>
  <si>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</si>
  <si>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</si>
  <si>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</si>
  <si>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</si>
  <si>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</si>
  <si>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</si>
  <si>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</si>
  <si>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</si>
  <si>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</si>
  <si>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</si>
  <si>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</si>
  <si>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</si>
  <si>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</si>
  <si>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</si>
  <si>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</si>
  <si>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</si>
  <si>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</si>
  <si>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</si>
  <si>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</si>
  <si>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</si>
  <si>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</si>
  <si>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</si>
  <si>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</si>
  <si>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</si>
  <si>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</si>
  <si>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</si>
  <si>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</si>
  <si>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</si>
  <si>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</si>
  <si>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</si>
  <si>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</si>
  <si>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</si>
  <si>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</si>
  <si>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</si>
  <si>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</si>
  <si>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</si>
  <si>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</si>
  <si>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</si>
  <si>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</si>
  <si>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</si>
  <si>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</si>
  <si>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</si>
  <si>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</si>
  <si>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</si>
  <si>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</si>
  <si>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</si>
  <si>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</si>
  <si>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</si>
  <si>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</si>
  <si>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</si>
  <si>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</si>
  <si>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</si>
  <si>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</si>
  <si>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</si>
  <si>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</si>
  <si>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</si>
  <si>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</si>
  <si>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</si>
  <si>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</si>
  <si>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</si>
  <si>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</si>
  <si>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</si>
  <si>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</si>
  <si>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</si>
  <si>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</si>
  <si>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</si>
  <si>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</si>
  <si>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</si>
  <si>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</si>
  <si>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</si>
  <si>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</si>
  <si>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</si>
  <si>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</si>
  <si>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</si>
  <si>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</si>
  <si>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</si>
  <si>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</si>
  <si>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</si>
  <si>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</si>
  <si>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</si>
  <si>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</si>
  <si>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</si>
  <si>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</si>
  <si>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</si>
  <si>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</si>
  <si>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</si>
  <si>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</si>
  <si>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</si>
  <si>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</si>
  <si>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</si>
  <si>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</si>
  <si>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</si>
  <si>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</si>
  <si>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</si>
  <si>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</si>
  <si>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</si>
  <si>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</si>
  <si>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</si>
  <si>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</si>
  <si>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</si>
  <si>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</si>
  <si>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</si>
  <si>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</si>
  <si>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</si>
  <si>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</si>
  <si>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</si>
  <si>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</si>
  <si>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</si>
  <si>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</si>
  <si>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</si>
  <si>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</si>
  <si>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</si>
  <si>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</si>
  <si>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</si>
  <si>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</si>
  <si>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</si>
  <si>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</si>
  <si>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</si>
  <si>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</si>
  <si>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</si>
  <si>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</si>
  <si>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</si>
  <si>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</si>
  <si>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</si>
  <si>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</si>
  <si>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</si>
  <si>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</si>
  <si>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</si>
  <si>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</si>
  <si>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</si>
  <si>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</si>
  <si>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</si>
  <si>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</si>
  <si>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</si>
  <si>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</si>
  <si>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</si>
  <si>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</si>
  <si>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</si>
  <si>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</si>
  <si>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</si>
  <si>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</si>
  <si>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</si>
  <si>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</si>
  <si>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</si>
  <si>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</si>
  <si>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</si>
  <si>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</si>
  <si>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</si>
  <si>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</si>
  <si>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</si>
  <si>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</si>
  <si>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</si>
  <si>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</si>
  <si>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</si>
  <si>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</si>
  <si>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</si>
  <si>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</si>
  <si>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</si>
  <si>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</si>
  <si>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</si>
  <si>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</si>
  <si>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</si>
  <si>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</si>
  <si>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</si>
  <si>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</si>
  <si>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</si>
  <si>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</si>
  <si>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</si>
  <si>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</si>
  <si>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</si>
  <si>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</si>
  <si>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</si>
  <si>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</si>
  <si>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</si>
  <si>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</si>
  <si>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</si>
  <si>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</si>
  <si>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</si>
  <si>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</si>
  <si>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</si>
  <si>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</si>
  <si>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</si>
  <si>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</si>
  <si>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</si>
  <si>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</si>
  <si>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</si>
  <si>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</si>
  <si>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</si>
  <si>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</si>
  <si>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</si>
  <si>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</si>
  <si>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</si>
  <si>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</si>
  <si>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</si>
  <si>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</si>
  <si>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</si>
  <si>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</si>
  <si>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</si>
  <si>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</si>
  <si>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</si>
  <si>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</si>
  <si>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</si>
  <si>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</si>
  <si>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</si>
  <si>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</si>
  <si>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</si>
  <si>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</si>
  <si>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</si>
  <si>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</si>
  <si>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</si>
  <si>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</si>
  <si>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</si>
  <si>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</si>
  <si>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</si>
  <si>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</si>
  <si>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</si>
  <si>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</si>
  <si>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</si>
  <si>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</si>
  <si>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</si>
  <si>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</si>
  <si>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</si>
  <si>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</si>
  <si>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</si>
  <si>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</si>
  <si>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</si>
  <si>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</si>
  <si>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</si>
  <si>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</si>
  <si>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</si>
  <si>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</si>
  <si>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</si>
  <si>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</si>
  <si>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</si>
  <si>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</si>
  <si>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</si>
  <si>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</si>
  <si>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</si>
  <si>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</si>
  <si>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</si>
  <si>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</si>
  <si>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</si>
  <si>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</si>
  <si>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</si>
  <si>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</si>
  <si>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</si>
  <si>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</si>
  <si>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</si>
  <si>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</si>
  <si>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</si>
  <si>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</si>
  <si>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</si>
  <si>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</si>
  <si>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</si>
  <si>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</si>
  <si>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</si>
  <si>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</si>
  <si>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</si>
  <si>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</si>
  <si>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</si>
  <si>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</si>
  <si>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</si>
  <si>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</si>
  <si>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</si>
  <si>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</si>
  <si>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</si>
  <si>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</si>
  <si>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</si>
  <si>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</si>
  <si>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</si>
  <si>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</si>
  <si>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</si>
  <si>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</si>
  <si>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</si>
  <si>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</si>
  <si>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</si>
  <si>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</si>
  <si>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</si>
  <si>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</si>
  <si>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</si>
  <si>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</si>
  <si>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</si>
  <si>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</si>
  <si>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</si>
  <si>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</si>
  <si>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</si>
  <si>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</si>
  <si>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</si>
  <si>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</si>
  <si>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</si>
  <si>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</si>
  <si>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</si>
  <si>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</si>
  <si>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</si>
  <si>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</si>
  <si>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</si>
  <si>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</si>
  <si>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</si>
  <si>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</si>
  <si>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</si>
  <si>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</si>
  <si>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</si>
  <si>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</si>
  <si>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</si>
  <si>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</si>
  <si>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</si>
  <si>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</si>
  <si>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</si>
  <si>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</si>
  <si>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</si>
  <si>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</si>
  <si>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</si>
  <si>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</si>
  <si>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</si>
  <si>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</si>
  <si>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</si>
  <si>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</si>
  <si>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</si>
  <si>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</si>
  <si>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</si>
  <si>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</si>
  <si>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</si>
  <si>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</si>
  <si>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</si>
  <si>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</si>
  <si>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</si>
  <si>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</si>
  <si>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</si>
  <si>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</si>
  <si>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</si>
  <si>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</si>
  <si>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</si>
  <si>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</si>
  <si>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</si>
  <si>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</si>
  <si>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</si>
  <si>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</si>
  <si>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</si>
  <si>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</si>
  <si>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</si>
  <si>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</si>
  <si>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</si>
  <si>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</si>
  <si>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</si>
  <si>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</si>
  <si>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</si>
  <si>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</si>
  <si>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</si>
  <si>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</si>
  <si>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</si>
  <si>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</si>
  <si>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</si>
  <si>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</si>
  <si>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</si>
  <si>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</si>
  <si>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</si>
  <si>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</si>
  <si>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</si>
  <si>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</si>
  <si>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</si>
  <si>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</si>
  <si>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</si>
  <si>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</si>
  <si>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</si>
  <si>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</si>
  <si>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</si>
  <si>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</si>
  <si>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</si>
  <si>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</si>
  <si>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</si>
  <si>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</si>
  <si>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</si>
  <si>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</si>
  <si>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</si>
  <si>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</si>
  <si>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</si>
  <si>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</si>
  <si>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</si>
  <si>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</si>
  <si>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</si>
  <si>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</si>
  <si>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</si>
  <si>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</si>
  <si>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</si>
  <si>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</si>
  <si>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</si>
  <si>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</si>
  <si>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</si>
  <si>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</si>
  <si>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</si>
  <si>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</si>
  <si>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</si>
  <si>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</si>
  <si>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</si>
  <si>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</si>
  <si>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</si>
  <si>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</si>
  <si>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</si>
  <si>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</si>
  <si>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</si>
  <si>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</si>
  <si>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</si>
  <si>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</si>
  <si>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</si>
  <si>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</si>
  <si>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</si>
  <si>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</si>
  <si>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</si>
  <si>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</si>
  <si>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</si>
  <si>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</si>
  <si>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</si>
  <si>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</si>
  <si>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</si>
  <si>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</si>
  <si>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</si>
  <si>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</si>
  <si>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</si>
  <si>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</si>
  <si>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</si>
  <si>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</si>
  <si>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</si>
  <si>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</si>
  <si>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</si>
  <si>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</si>
  <si>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</si>
  <si>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</si>
  <si>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</si>
  <si>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</si>
  <si>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</si>
  <si>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</si>
  <si>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</si>
  <si>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</si>
  <si>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</si>
  <si>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</si>
  <si>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</si>
  <si>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</si>
  <si>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</si>
  <si>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</si>
  <si>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</si>
  <si>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</si>
  <si>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</si>
  <si>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</si>
  <si>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</si>
  <si>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</si>
  <si>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</si>
  <si>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</si>
  <si>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</si>
  <si>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</si>
  <si>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</si>
  <si>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</si>
  <si>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</si>
  <si>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</si>
  <si>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</si>
  <si>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</si>
  <si>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</si>
  <si>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</si>
  <si>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</si>
  <si>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</si>
  <si>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</si>
  <si>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</si>
  <si>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</si>
  <si>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</si>
  <si>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</si>
  <si>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</si>
  <si>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</si>
  <si>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</si>
  <si>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</si>
  <si>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</si>
  <si>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</si>
  <si>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</si>
  <si>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</si>
  <si>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</si>
  <si>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</si>
  <si>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</si>
  <si>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</si>
  <si>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</si>
  <si>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</si>
  <si>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</si>
  <si>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</si>
  <si>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</si>
  <si>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</si>
  <si>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</si>
  <si>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</si>
  <si>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</si>
  <si>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</si>
  <si>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</si>
  <si>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</si>
  <si>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</si>
  <si>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</si>
  <si>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</si>
  <si>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</si>
  <si>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</si>
  <si>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</si>
  <si>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</si>
  <si>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</si>
  <si>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</si>
  <si>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</si>
  <si>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</si>
  <si>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</si>
  <si>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</si>
  <si>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</si>
  <si>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</si>
  <si>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</si>
  <si>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</si>
  <si>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</si>
  <si>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</si>
  <si>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</si>
  <si>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</si>
  <si>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</si>
  <si>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</si>
  <si>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</si>
  <si>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</si>
  <si>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</si>
  <si>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</si>
  <si>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</si>
  <si>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</si>
  <si>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</si>
  <si>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</si>
  <si>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</si>
  <si>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</si>
  <si>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</si>
  <si>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</si>
  <si>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</si>
  <si>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</si>
  <si>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</si>
  <si>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</si>
  <si>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</si>
  <si>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</si>
  <si>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</si>
  <si>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</si>
  <si>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</si>
  <si>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</si>
  <si>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</si>
  <si>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</si>
  <si>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</si>
  <si>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</si>
  <si>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</si>
  <si>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</si>
  <si>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</si>
  <si>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</si>
  <si>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</si>
  <si>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</si>
  <si>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</si>
  <si>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</si>
  <si>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</si>
  <si>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</si>
  <si>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</si>
  <si>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</si>
  <si>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</si>
  <si>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</si>
  <si>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</si>
  <si>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</si>
  <si>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</si>
  <si>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</si>
  <si>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</si>
  <si>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</si>
  <si>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</si>
  <si>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</si>
  <si>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</si>
  <si>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</si>
  <si>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</si>
  <si>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</si>
  <si>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</si>
  <si>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</si>
  <si>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</si>
  <si>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</si>
  <si>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</si>
  <si>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</si>
  <si>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</si>
  <si>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</si>
  <si>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</si>
  <si>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</si>
  <si>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</si>
  <si>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</si>
  <si>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</si>
  <si>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</si>
  <si>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</si>
  <si>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</si>
  <si>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</si>
  <si>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</si>
  <si>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</si>
  <si>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</si>
  <si>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</si>
  <si>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</si>
  <si>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</si>
  <si>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</si>
  <si>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</si>
  <si>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</si>
  <si>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</si>
  <si>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</si>
  <si>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</si>
  <si>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</si>
  <si>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</si>
  <si>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</si>
  <si>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</si>
  <si>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</si>
  <si>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</si>
  <si>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</si>
  <si>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</si>
  <si>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</si>
  <si>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</si>
  <si>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</si>
  <si>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</si>
  <si>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</si>
  <si>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</si>
  <si>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</si>
  <si>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</si>
  <si>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</si>
  <si>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</si>
  <si>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</si>
  <si>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</si>
  <si>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</si>
  <si>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</si>
  <si>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</si>
  <si>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</si>
  <si>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</si>
  <si>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</si>
  <si>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</si>
  <si>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</si>
  <si>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</si>
  <si>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</si>
  <si>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</si>
  <si>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</si>
  <si>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</si>
  <si>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</si>
  <si>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</si>
  <si>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</si>
  <si>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</si>
  <si>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</si>
  <si>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</si>
  <si>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</si>
  <si>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</si>
  <si>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</si>
  <si>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</si>
  <si>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</si>
  <si>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</si>
  <si>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</si>
  <si>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</si>
  <si>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</si>
  <si>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</si>
  <si>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</si>
  <si>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</si>
  <si>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</si>
  <si>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</si>
  <si>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</si>
  <si>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</si>
  <si>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</si>
  <si>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</si>
  <si>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</si>
  <si>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</si>
  <si>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</si>
  <si>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</si>
  <si>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</si>
  <si>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</si>
  <si>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</si>
  <si>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</si>
  <si>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</si>
  <si>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</si>
  <si>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</si>
  <si>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</si>
  <si>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</si>
  <si>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</si>
  <si>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</si>
  <si>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</si>
  <si>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</si>
  <si>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</si>
  <si>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</si>
  <si>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</si>
  <si>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</si>
  <si>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</si>
  <si>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</si>
  <si>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</si>
  <si>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</si>
  <si>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</si>
  <si>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</si>
  <si>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</si>
  <si>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</si>
  <si>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</si>
  <si>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</si>
  <si>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</si>
  <si>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</si>
  <si>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</si>
  <si>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</si>
  <si>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</si>
  <si>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</si>
  <si>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</si>
  <si>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</si>
  <si>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</si>
  <si>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</si>
  <si>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</si>
  <si>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</si>
  <si>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</si>
  <si>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</si>
  <si>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</si>
  <si>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</si>
  <si>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</si>
  <si>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</si>
  <si>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</si>
  <si>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</si>
  <si>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</si>
  <si>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</si>
  <si>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</si>
  <si>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</si>
  <si>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</si>
  <si>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</si>
  <si>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</si>
  <si>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</si>
  <si>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</si>
  <si>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</si>
  <si>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</si>
  <si>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</si>
  <si>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</si>
  <si>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</si>
  <si>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</si>
  <si>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</si>
  <si>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</si>
  <si>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</si>
  <si>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</si>
  <si>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</si>
  <si>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</si>
  <si>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</si>
  <si>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</si>
  <si>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</si>
  <si>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</si>
  <si>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</si>
  <si>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</si>
  <si>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</si>
  <si>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</si>
  <si>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</si>
  <si>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</si>
  <si>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</si>
  <si>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</si>
  <si>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</si>
  <si>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</si>
  <si>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</si>
  <si>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</si>
  <si>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</si>
  <si>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</si>
  <si>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</si>
  <si>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</si>
  <si>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</si>
  <si>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</si>
  <si>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</si>
  <si>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</si>
  <si>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</si>
  <si>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</si>
  <si>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</si>
  <si>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</si>
  <si>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</si>
  <si>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</si>
  <si>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</si>
  <si>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</si>
  <si>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</si>
  <si>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</si>
  <si>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</si>
  <si>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</si>
  <si>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</si>
  <si>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</si>
  <si>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</si>
  <si>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</si>
  <si>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</si>
  <si>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</si>
  <si>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</si>
  <si>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</si>
  <si>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</si>
  <si>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</si>
  <si>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</si>
  <si>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</si>
  <si>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</si>
  <si>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</si>
  <si>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</si>
  <si>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</si>
  <si>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</si>
  <si>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</si>
  <si>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</si>
  <si>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</si>
  <si>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</si>
  <si>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</si>
  <si>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</si>
  <si>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</si>
  <si>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</si>
  <si>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</si>
  <si>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</si>
  <si>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</si>
  <si>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</si>
  <si>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</si>
  <si>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</si>
  <si>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</si>
  <si>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</si>
  <si>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</si>
  <si>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</si>
  <si>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</si>
  <si>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</si>
  <si>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</si>
  <si>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</si>
  <si>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</si>
  <si>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</si>
  <si>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</si>
  <si>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</si>
  <si>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</si>
  <si>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</si>
  <si>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</si>
  <si>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</si>
  <si>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</si>
  <si>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</si>
  <si>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</si>
  <si>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</si>
  <si>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</si>
  <si>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</si>
  <si>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</si>
  <si>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</si>
  <si>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</si>
  <si>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</si>
  <si>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</si>
  <si>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</si>
  <si>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</si>
  <si>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</si>
  <si>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</si>
  <si>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</si>
  <si>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</si>
  <si>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</si>
  <si>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</si>
  <si>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</si>
  <si>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</si>
  <si>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</si>
  <si>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</si>
  <si>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</si>
  <si>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</si>
  <si>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</si>
  <si>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</si>
  <si>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</si>
  <si>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</si>
  <si>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</si>
  <si>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</si>
  <si>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</si>
  <si>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</si>
  <si>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</si>
  <si>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</si>
  <si>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</si>
  <si>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</si>
  <si>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</si>
  <si>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</si>
  <si>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</si>
  <si>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</si>
  <si>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</si>
  <si>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</si>
  <si>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</si>
  <si>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</si>
  <si>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</si>
  <si>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</si>
  <si>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</si>
  <si>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</si>
  <si>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</si>
  <si>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</si>
  <si>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</si>
  <si>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</si>
  <si>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</si>
  <si>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</si>
  <si>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</si>
  <si>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</si>
  <si>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</si>
  <si>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</si>
  <si>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</si>
  <si>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</si>
  <si>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</si>
  <si>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</si>
  <si>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</si>
  <si>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</si>
  <si>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</si>
  <si>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</si>
  <si>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</si>
  <si>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</si>
  <si>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</si>
  <si>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</si>
  <si>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</si>
  <si>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</si>
  <si>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</si>
  <si>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</si>
  <si>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</si>
  <si>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</si>
  <si>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</si>
  <si>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</si>
  <si>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</si>
  <si>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</si>
  <si>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</si>
  <si>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</si>
  <si>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</si>
  <si>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</si>
  <si>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</si>
  <si>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</si>
  <si>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</si>
  <si>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</si>
  <si>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</si>
  <si>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</si>
  <si>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</si>
  <si>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</si>
  <si>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</si>
  <si>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</si>
  <si>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</si>
  <si>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</si>
  <si>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</si>
  <si>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</si>
  <si>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</si>
  <si>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</si>
  <si>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</si>
  <si>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</si>
  <si>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</si>
  <si>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</si>
  <si>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</si>
  <si>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</si>
  <si>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</si>
  <si>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</si>
  <si>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</si>
  <si>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</si>
  <si>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</si>
  <si>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</si>
  <si>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</si>
  <si>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</si>
  <si>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</si>
  <si>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</si>
  <si>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</si>
  <si>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</si>
  <si>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</si>
  <si>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</si>
  <si>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</si>
  <si>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</si>
  <si>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</si>
  <si>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</si>
  <si>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</si>
  <si>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</si>
  <si>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</si>
  <si>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</si>
  <si>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</si>
  <si>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</si>
  <si>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</si>
  <si>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</si>
  <si>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</si>
  <si>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</si>
  <si>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</si>
  <si>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</si>
  <si>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</si>
  <si>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</si>
  <si>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</si>
  <si>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</si>
  <si>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</si>
  <si>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</si>
  <si>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</si>
  <si>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</si>
  <si>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</si>
  <si>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</si>
  <si>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</si>
  <si>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</si>
  <si>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</si>
  <si>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</si>
  <si>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</si>
  <si>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</si>
  <si>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</si>
  <si>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</si>
  <si>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</si>
  <si>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</si>
  <si>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</si>
  <si>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</si>
  <si>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</si>
  <si>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</si>
  <si>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</si>
  <si>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</si>
  <si>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</si>
  <si>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</si>
  <si>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</si>
  <si>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</si>
  <si>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</si>
  <si>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</si>
  <si>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</si>
  <si>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</si>
  <si>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</si>
  <si>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</si>
  <si>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</si>
  <si>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</si>
  <si>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</si>
  <si>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</si>
  <si>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</si>
  <si>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</si>
  <si>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</si>
  <si>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</si>
  <si>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</si>
  <si>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</si>
  <si>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</si>
  <si>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</si>
  <si>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</si>
  <si>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</si>
  <si>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</si>
  <si>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</si>
  <si>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</si>
  <si>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</si>
  <si>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</si>
  <si>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</si>
  <si>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</si>
  <si>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</si>
  <si>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</si>
  <si>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</si>
  <si>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</si>
  <si>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</si>
  <si>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</si>
  <si>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</si>
  <si>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</si>
  <si>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</si>
  <si>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</si>
  <si>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</si>
  <si>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</si>
  <si>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</si>
  <si>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</si>
  <si>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</si>
  <si>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</si>
  <si>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</si>
  <si>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</si>
  <si>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</si>
  <si>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</si>
  <si>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</si>
  <si>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</si>
  <si>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</si>
  <si>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</si>
  <si>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</si>
  <si>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</si>
  <si>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</si>
  <si>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</si>
  <si>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</si>
  <si>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</si>
  <si>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</si>
  <si>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</si>
  <si>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</si>
  <si>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</si>
  <si>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</si>
  <si>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</si>
  <si>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</si>
  <si>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</si>
  <si>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</si>
  <si>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</si>
  <si>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</si>
  <si>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</si>
  <si>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</si>
  <si>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</si>
  <si>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</si>
  <si>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</si>
  <si>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</si>
  <si>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</si>
  <si>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</si>
  <si>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</si>
  <si>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</si>
  <si>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</si>
  <si>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</si>
  <si>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</si>
  <si>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</si>
  <si>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</si>
  <si>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</si>
  <si>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</si>
  <si>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</si>
  <si>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</si>
  <si>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</si>
  <si>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</si>
  <si>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</si>
  <si>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</si>
  <si>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</si>
  <si>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</si>
  <si>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</si>
  <si>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</si>
  <si>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</si>
  <si>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</si>
  <si>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</si>
  <si>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</si>
  <si>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</si>
  <si>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</si>
  <si>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</si>
  <si>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</si>
  <si>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</si>
  <si>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</si>
  <si>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</si>
  <si>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</si>
  <si>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</si>
  <si>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</si>
  <si>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</si>
  <si>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</si>
  <si>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</si>
  <si>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</si>
  <si>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</si>
  <si>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</si>
  <si>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</si>
  <si>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</si>
  <si>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</si>
  <si>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</si>
  <si>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</si>
  <si>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</si>
  <si>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</si>
  <si>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</si>
  <si>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</si>
  <si>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</si>
  <si>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</si>
  <si>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</si>
  <si>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</si>
  <si>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</si>
  <si>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</si>
  <si>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</si>
  <si>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</si>
  <si>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</si>
  <si>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</si>
  <si>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</si>
  <si>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</si>
  <si>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</si>
  <si>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</si>
  <si>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</si>
  <si>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</si>
  <si>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</si>
  <si>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</si>
  <si>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</si>
  <si>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</si>
  <si>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</si>
  <si>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</si>
  <si>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</si>
  <si>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</si>
  <si>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</si>
  <si>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</si>
  <si>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</si>
  <si>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</si>
  <si>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</si>
  <si>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</si>
  <si>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</si>
  <si>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</si>
  <si>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</si>
  <si>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</si>
  <si>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</si>
  <si>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</si>
  <si>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</si>
  <si>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</si>
  <si>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</si>
  <si>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</si>
  <si>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</si>
  <si>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</si>
  <si>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</si>
  <si>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</si>
  <si>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</si>
  <si>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</si>
  <si>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</si>
  <si>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</si>
  <si>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</si>
  <si>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</si>
  <si>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</si>
  <si>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</si>
  <si>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</si>
  <si>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</si>
  <si>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</si>
  <si>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</si>
  <si>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</si>
  <si>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</si>
  <si>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</si>
  <si>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</si>
  <si>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</si>
  <si>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</si>
  <si>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</si>
  <si>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</si>
  <si>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</si>
  <si>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</si>
  <si>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</si>
  <si>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</si>
  <si>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</si>
  <si>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</si>
  <si>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</si>
  <si>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</si>
  <si>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</si>
  <si>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</si>
  <si>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</si>
  <si>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</si>
  <si>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</si>
  <si>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</si>
  <si>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</si>
  <si>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</si>
  <si>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</si>
  <si>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</si>
  <si>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</si>
  <si>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</si>
  <si>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</si>
  <si>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</si>
  <si>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</si>
  <si>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</si>
  <si>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</si>
  <si>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</si>
  <si>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</si>
  <si>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</si>
  <si>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</si>
  <si>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</si>
  <si>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</si>
  <si>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</si>
  <si>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</si>
  <si>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</si>
  <si>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</si>
  <si>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</si>
  <si>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</si>
  <si>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</si>
  <si>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</si>
  <si>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</si>
  <si>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</si>
  <si>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</si>
  <si>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</si>
  <si>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</si>
  <si>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</si>
  <si>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</si>
  <si>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</si>
  <si>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</si>
  <si>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</si>
  <si>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</si>
  <si>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</si>
  <si>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</si>
  <si>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</si>
  <si>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</si>
  <si>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</si>
  <si>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</si>
  <si>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</si>
  <si>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</si>
  <si>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</si>
  <si>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</si>
  <si>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</si>
  <si>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</si>
  <si>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</si>
  <si>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</si>
  <si>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</si>
  <si>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</si>
  <si>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</si>
  <si>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</si>
  <si>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</si>
  <si>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</si>
  <si>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</si>
  <si>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</si>
  <si>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</si>
  <si>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</si>
  <si>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</si>
  <si>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</si>
  <si>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</si>
  <si>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</si>
  <si>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</si>
  <si>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</si>
  <si>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</si>
  <si>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</si>
  <si>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</si>
  <si>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</si>
  <si>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</si>
  <si>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</si>
  <si>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</si>
  <si>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</si>
  <si>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</si>
  <si>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</si>
  <si>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</si>
  <si>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</si>
  <si>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</si>
  <si>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</si>
  <si>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</si>
  <si>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</si>
  <si>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</si>
  <si>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</si>
  <si>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</si>
  <si>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</si>
  <si>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</si>
  <si>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</si>
  <si>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</si>
  <si>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</si>
  <si>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</si>
  <si>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</si>
  <si>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</si>
  <si>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</si>
  <si>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</si>
  <si>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</si>
  <si>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</si>
  <si>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</si>
  <si>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</si>
  <si>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</si>
  <si>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</si>
  <si>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</si>
  <si>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</si>
  <si>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</si>
  <si>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</si>
  <si>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</si>
  <si>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</si>
  <si>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</si>
  <si>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</si>
  <si>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</si>
  <si>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</si>
  <si>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</si>
  <si>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</si>
  <si>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</si>
  <si>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</si>
  <si>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</si>
  <si>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</si>
  <si>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</si>
  <si>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</si>
  <si>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</si>
  <si>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</si>
  <si>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</si>
  <si>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</si>
  <si>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</si>
  <si>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</si>
  <si>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</si>
  <si>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</si>
  <si>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</si>
  <si>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</si>
  <si>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</si>
  <si>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</si>
  <si>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</si>
  <si>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</si>
  <si>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</si>
  <si>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</si>
  <si>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</si>
  <si>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</si>
  <si>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</si>
  <si>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</si>
  <si>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</si>
  <si>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</si>
  <si>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</si>
  <si>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</si>
  <si>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</si>
  <si>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</si>
  <si>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</si>
  <si>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</si>
  <si>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</si>
  <si>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</si>
  <si>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</si>
  <si>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</si>
  <si>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</si>
  <si>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</si>
  <si>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</si>
  <si>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</si>
  <si>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</si>
  <si>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</si>
  <si>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</si>
  <si>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</si>
  <si>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</si>
  <si>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</si>
  <si>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</si>
  <si>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</si>
  <si>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</si>
  <si>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</si>
  <si>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</si>
  <si>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</si>
  <si>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</si>
  <si>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</si>
  <si>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</si>
  <si>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</si>
  <si>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</si>
  <si>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</si>
  <si>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</si>
  <si>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</si>
  <si>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</si>
  <si>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</si>
  <si>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</si>
  <si>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</si>
  <si>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</si>
  <si>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</si>
  <si>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</si>
  <si>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</si>
  <si>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</si>
  <si>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</si>
  <si>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</si>
  <si>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</si>
  <si>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</si>
  <si>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</si>
  <si>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</si>
  <si>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</si>
  <si>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</si>
  <si>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</si>
  <si>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</si>
  <si>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</si>
  <si>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</si>
  <si>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</si>
  <si>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</si>
  <si>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</si>
  <si>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</si>
  <si>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</si>
  <si>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</si>
  <si>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</si>
  <si>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</si>
  <si>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</si>
  <si>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</si>
  <si>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</si>
  <si>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</si>
  <si>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</si>
  <si>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</si>
  <si>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</si>
  <si>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</si>
  <si>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</si>
  <si>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</si>
  <si>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</si>
  <si>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</si>
  <si>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</si>
  <si>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</si>
  <si>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</si>
  <si>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</si>
  <si>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</si>
  <si>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</si>
  <si>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</si>
  <si>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</si>
  <si>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</si>
  <si>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</si>
  <si>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</si>
  <si>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</si>
  <si>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</si>
  <si>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</si>
  <si>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</si>
  <si>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</si>
  <si>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</si>
  <si>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</si>
  <si>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</si>
  <si>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</si>
  <si>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</si>
  <si>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</si>
  <si>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</si>
  <si>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</si>
  <si>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</si>
  <si>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</si>
  <si>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</si>
  <si>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</si>
  <si>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</si>
  <si>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</si>
  <si>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</si>
  <si>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</si>
  <si>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</si>
  <si>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</si>
  <si>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</si>
  <si>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</si>
  <si>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</si>
  <si>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</si>
  <si>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</si>
  <si>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</si>
  <si>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</si>
  <si>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</si>
  <si>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</si>
  <si>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</si>
  <si>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</si>
  <si>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</si>
  <si>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</si>
  <si>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</si>
  <si>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</si>
  <si>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</si>
  <si>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</si>
  <si>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</si>
  <si>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</si>
  <si>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</si>
  <si>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</si>
  <si>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</si>
  <si>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</si>
  <si>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</si>
  <si>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</si>
  <si>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</si>
  <si>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</si>
  <si>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</si>
  <si>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</si>
  <si>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</si>
  <si>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</si>
  <si>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</si>
  <si>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</si>
  <si>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</si>
  <si>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</si>
  <si>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</si>
  <si>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</si>
  <si>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</si>
  <si>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</si>
  <si>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</si>
  <si>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</si>
  <si>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</si>
  <si>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</si>
  <si>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</si>
  <si>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</si>
  <si>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</si>
  <si>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</si>
  <si>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</si>
  <si>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</si>
  <si>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</si>
  <si>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</si>
  <si>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</si>
  <si>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</si>
  <si>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</si>
  <si>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</si>
  <si>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</si>
  <si>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</si>
  <si>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</si>
  <si>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</si>
  <si>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</si>
  <si>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</si>
  <si>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</si>
  <si>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</si>
  <si>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</si>
  <si>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</si>
  <si>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</si>
  <si>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</si>
  <si>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</si>
  <si>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</si>
  <si>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</si>
  <si>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</si>
  <si>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</si>
  <si>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</si>
  <si>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</si>
  <si>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</si>
  <si>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</si>
  <si>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</si>
  <si>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</si>
  <si>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</si>
  <si>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</si>
  <si>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</si>
  <si>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</si>
  <si>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</si>
  <si>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</si>
  <si>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</si>
  <si>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</si>
  <si>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</si>
  <si>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</si>
  <si>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</si>
  <si>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</si>
  <si>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</si>
  <si>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</si>
  <si>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</si>
  <si>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</si>
  <si>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</si>
  <si>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</si>
  <si>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</si>
  <si>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</si>
  <si>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</si>
  <si>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</si>
  <si>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</si>
  <si>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</si>
  <si>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</si>
  <si>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</si>
  <si>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</si>
  <si>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</si>
  <si>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</si>
  <si>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</si>
  <si>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</si>
  <si>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</si>
  <si>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</si>
  <si>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</si>
  <si>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</si>
  <si>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</si>
  <si>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</si>
  <si>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</si>
  <si>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</si>
  <si>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</si>
  <si>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</si>
  <si>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</si>
  <si>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</si>
  <si>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</si>
  <si>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</si>
  <si>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</si>
  <si>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</si>
  <si>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</si>
  <si>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</si>
  <si>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</si>
  <si>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</si>
  <si>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</si>
  <si>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</si>
  <si>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</si>
  <si>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</si>
  <si>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</si>
  <si>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</si>
  <si>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</si>
  <si>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</si>
  <si>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</si>
  <si>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</si>
  <si>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</si>
  <si>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</si>
  <si>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</si>
  <si>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</si>
  <si>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</si>
  <si>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</si>
  <si>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</si>
  <si>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</si>
  <si>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</si>
  <si>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</si>
  <si>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</si>
  <si>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</si>
  <si>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</si>
  <si>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</si>
  <si>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</si>
  <si>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</si>
  <si>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</si>
  <si>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</si>
  <si>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</si>
  <si>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</si>
  <si>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</si>
  <si>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</si>
  <si>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</si>
  <si>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</si>
  <si>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</si>
  <si>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</si>
  <si>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</si>
  <si>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</si>
  <si>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</si>
  <si>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</si>
  <si>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</si>
  <si>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</si>
  <si>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</si>
  <si>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</si>
  <si>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</si>
  <si>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</si>
  <si>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</si>
  <si>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</si>
  <si>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</si>
  <si>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</si>
  <si>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</si>
  <si>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</si>
  <si>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</si>
  <si>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</si>
  <si>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</si>
  <si>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</si>
  <si>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</si>
  <si>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</si>
  <si>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</si>
  <si>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</si>
  <si>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</si>
  <si>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</si>
  <si>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</si>
  <si>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</si>
  <si>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</si>
  <si>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</si>
  <si>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</si>
  <si>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</si>
  <si>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</si>
  <si>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</si>
  <si>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</si>
  <si>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</si>
  <si>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</si>
  <si>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</si>
  <si>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</si>
  <si>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</si>
  <si>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</si>
  <si>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</si>
  <si>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</si>
  <si>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</si>
  <si>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</si>
  <si>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</si>
  <si>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</si>
  <si>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</si>
  <si>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</si>
  <si>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</si>
  <si>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</si>
  <si>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</si>
  <si>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</si>
  <si>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</si>
  <si>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</si>
  <si>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</si>
  <si>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</si>
  <si>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</si>
  <si>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</si>
  <si>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</si>
  <si>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</si>
  <si>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</si>
  <si>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</si>
  <si>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</si>
  <si>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</si>
  <si>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</si>
  <si>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</si>
  <si>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</si>
  <si>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</si>
  <si>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</si>
  <si>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</si>
  <si>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</si>
  <si>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</si>
  <si>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</si>
  <si>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</si>
  <si>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</si>
  <si>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</si>
  <si>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</si>
  <si>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</si>
  <si>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</si>
  <si>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</si>
  <si>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</si>
  <si>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</si>
  <si>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</si>
  <si>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</si>
  <si>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</si>
  <si>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</si>
  <si>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</si>
  <si>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</si>
  <si>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</si>
  <si>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</si>
  <si>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</si>
  <si>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</si>
  <si>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</si>
  <si>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</si>
  <si>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</si>
  <si>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</si>
  <si>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</si>
  <si>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</si>
  <si>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</si>
  <si>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</si>
  <si>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</si>
  <si>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</si>
  <si>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</si>
  <si>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</si>
  <si>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</si>
  <si>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</si>
  <si>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</si>
  <si>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</si>
  <si>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</si>
  <si>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</si>
  <si>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</si>
  <si>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</si>
  <si>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</si>
  <si>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</si>
  <si>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</si>
  <si>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</si>
  <si>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</si>
  <si>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</si>
  <si>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</si>
  <si>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</si>
  <si>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</si>
  <si>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</si>
  <si>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</si>
  <si>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</si>
  <si>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</si>
  <si>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</si>
  <si>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</si>
  <si>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</si>
  <si>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</si>
  <si>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</si>
  <si>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</si>
  <si>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</si>
  <si>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</si>
  <si>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Dennis G Koch &amp; Associates LLC</t>
  </si>
  <si>
    <t>Hancock</t>
  </si>
  <si>
    <t>Dennis G Koch</t>
  </si>
  <si>
    <t>1706 N 16th St</t>
  </si>
  <si>
    <t>2461 North State Highway 96</t>
  </si>
  <si>
    <t>Quincy</t>
  </si>
  <si>
    <t>IL</t>
  </si>
  <si>
    <t>Nauvoo</t>
  </si>
  <si>
    <t>217-224-8484</t>
  </si>
  <si>
    <t>217-224-0504</t>
  </si>
  <si>
    <t>millerv@nauvoo-colusa.com</t>
  </si>
  <si>
    <t>066-004856</t>
  </si>
  <si>
    <t>dgkoch@dgkochcpa.com</t>
  </si>
  <si>
    <t>Kent Young</t>
  </si>
  <si>
    <t>John Meixner</t>
  </si>
  <si>
    <t>kyoung@nauvoo-colusa.com</t>
  </si>
  <si>
    <t>jmeixner@roe26.net</t>
  </si>
  <si>
    <t>217-453-2231</t>
  </si>
  <si>
    <t>217-453-6395</t>
  </si>
  <si>
    <t>309-837-4821</t>
  </si>
  <si>
    <t>GO Bonds Series 2019</t>
  </si>
  <si>
    <t>Western Area Purchasing Cooperative</t>
  </si>
  <si>
    <t>West Central Illinois Special Education Cooperative</t>
  </si>
  <si>
    <t>Hancock County Schools - First Teacher Institute</t>
  </si>
  <si>
    <t>Deactivated HS/Warsaw Jr. H to Nauvoo-Colusa</t>
  </si>
  <si>
    <t>No Contracts</t>
  </si>
  <si>
    <t>Dennis G Koch &amp; Associates LLC, CPAs</t>
  </si>
  <si>
    <t>Dallas City - Speech and Psyc. Warsaw Band</t>
  </si>
  <si>
    <t>Nauvoo-Colusa CUSD 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</si>
</sst>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cellStyleXfs>
  <cellXfs count="262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5" fillId="0" borderId="155"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2" fillId="0" borderId="105" xfId="18" applyFont="1" applyBorder="1" applyProtection="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605270</xdr:colOff>
          <xdr:row>9</xdr:row>
          <xdr:rowOff>23380</xdr:rowOff>
        </xdr:from>
        <xdr:to>
          <xdr:col>4</xdr:col>
          <xdr:colOff>297007</xdr:colOff>
          <xdr:row>13</xdr:row>
          <xdr:rowOff>71870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605270</xdr:colOff>
          <xdr:row>14</xdr:row>
          <xdr:rowOff>36368</xdr:rowOff>
        </xdr:from>
        <xdr:to>
          <xdr:col>4</xdr:col>
          <xdr:colOff>297007</xdr:colOff>
          <xdr:row>15</xdr:row>
          <xdr:rowOff>562841</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26034325026</v>
      </c>
      <c r="B13" s="2088"/>
      <c r="C13" s="2088"/>
      <c r="D13" s="2088"/>
      <c r="E13" s="2088"/>
      <c r="F13" s="2088"/>
      <c r="G13" s="2088"/>
      <c r="H13" s="2089"/>
      <c r="I13" s="31"/>
      <c r="J13" s="30"/>
      <c r="K13" s="28"/>
      <c r="L13" s="30"/>
      <c r="M13" s="30"/>
      <c r="N13" s="30"/>
      <c r="O13" s="30"/>
      <c r="P13" s="30"/>
      <c r="Q13" s="30"/>
      <c r="R13" s="30"/>
      <c r="S13" s="30"/>
      <c r="T13" s="2092" t="s">
        <v>2052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2053</v>
      </c>
      <c r="B15" s="2090"/>
      <c r="C15" s="2090"/>
      <c r="D15" s="2090"/>
      <c r="E15" s="2090"/>
      <c r="F15" s="2090"/>
      <c r="G15" s="2090"/>
      <c r="H15" s="2091"/>
      <c r="T15" s="2053" t="s">
        <v>2054</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2080</v>
      </c>
      <c r="B17" s="2115"/>
      <c r="C17" s="2115"/>
      <c r="D17" s="2115"/>
      <c r="E17" s="2115"/>
      <c r="F17" s="2115"/>
      <c r="G17" s="2115"/>
      <c r="H17" s="2116"/>
      <c r="T17" s="2102" t="s">
        <v>2055</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2056</v>
      </c>
      <c r="B19" s="2086"/>
      <c r="C19" s="2086"/>
      <c r="D19" s="2086"/>
      <c r="E19" s="2086"/>
      <c r="F19" s="2086"/>
      <c r="G19" s="2086"/>
      <c r="H19" s="2084"/>
      <c r="I19" s="30"/>
      <c r="J19" s="96"/>
      <c r="K19" s="40"/>
      <c r="L19" s="38"/>
      <c r="M19" s="109" t="s">
        <v>312</v>
      </c>
      <c r="P19" s="27"/>
      <c r="Q19" s="27"/>
      <c r="R19" s="27"/>
      <c r="S19" s="31"/>
      <c r="T19" s="2085" t="s">
        <v>2057</v>
      </c>
      <c r="U19" s="2083"/>
      <c r="V19" s="2083"/>
      <c r="W19" s="2084"/>
      <c r="X19" s="2100" t="s">
        <v>2058</v>
      </c>
      <c r="Y19" s="2101"/>
      <c r="Z19" s="2098">
        <v>62301</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2059</v>
      </c>
      <c r="B21" s="2083"/>
      <c r="C21" s="2083"/>
      <c r="D21" s="2083"/>
      <c r="E21" s="2083"/>
      <c r="F21" s="2083"/>
      <c r="G21" s="2083"/>
      <c r="H21" s="2084"/>
      <c r="I21" s="2108" t="s">
        <v>673</v>
      </c>
      <c r="J21" s="2071"/>
      <c r="K21" s="2071"/>
      <c r="L21" s="2071"/>
      <c r="M21" s="2071"/>
      <c r="N21" s="2071"/>
      <c r="O21" s="2071"/>
      <c r="P21" s="2071"/>
      <c r="Q21" s="2071"/>
      <c r="R21" s="2071"/>
      <c r="S21" s="2072"/>
      <c r="T21" s="2050" t="s">
        <v>2060</v>
      </c>
      <c r="U21" s="2051"/>
      <c r="V21" s="2051"/>
      <c r="W21" s="2051"/>
      <c r="X21" s="2064" t="s">
        <v>2061</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2062</v>
      </c>
      <c r="B23" s="2106"/>
      <c r="C23" s="2106"/>
      <c r="D23" s="2106"/>
      <c r="E23" s="2106"/>
      <c r="F23" s="2106"/>
      <c r="G23" s="2106"/>
      <c r="H23" s="2107"/>
      <c r="T23" s="2045" t="s">
        <v>2063</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62354</v>
      </c>
      <c r="B25" s="2083"/>
      <c r="C25" s="2083"/>
      <c r="D25" s="2083"/>
      <c r="E25" s="2083"/>
      <c r="F25" s="2083"/>
      <c r="G25" s="2083"/>
      <c r="H25" s="2084"/>
      <c r="I25" s="110"/>
      <c r="J25" s="2149"/>
      <c r="K25" s="2149"/>
      <c r="L25" s="2149"/>
      <c r="M25" s="2149"/>
      <c r="N25" s="2149"/>
      <c r="O25" s="2149"/>
      <c r="P25" s="2149"/>
      <c r="Q25" s="2149"/>
      <c r="R25" s="2149"/>
      <c r="S25" s="2150"/>
      <c r="T25" s="2042" t="s">
        <v>2064</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2051</v>
      </c>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2065</v>
      </c>
      <c r="B38" s="2115"/>
      <c r="C38" s="2115"/>
      <c r="D38" s="2115"/>
      <c r="E38" s="2115"/>
      <c r="F38" s="2083"/>
      <c r="G38" s="2083"/>
      <c r="H38" s="2084"/>
      <c r="I38" s="2134"/>
      <c r="J38" s="2054"/>
      <c r="K38" s="2054"/>
      <c r="L38" s="2054"/>
      <c r="M38" s="2054"/>
      <c r="N38" s="2054"/>
      <c r="O38" s="2054"/>
      <c r="P38" s="2055"/>
      <c r="Q38" s="2055"/>
      <c r="R38" s="2055"/>
      <c r="S38" s="2056"/>
      <c r="T38" s="2053" t="s">
        <v>2066</v>
      </c>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2067</v>
      </c>
      <c r="B40" s="2142"/>
      <c r="C40" s="2143"/>
      <c r="D40" s="2143"/>
      <c r="E40" s="2143"/>
      <c r="F40" s="2144"/>
      <c r="G40" s="2144"/>
      <c r="H40" s="2145"/>
      <c r="I40" s="2057"/>
      <c r="J40" s="2059"/>
      <c r="K40" s="2059"/>
      <c r="L40" s="2059"/>
      <c r="M40" s="2059"/>
      <c r="N40" s="2059"/>
      <c r="O40" s="2059"/>
      <c r="P40" s="2059"/>
      <c r="Q40" s="2059"/>
      <c r="R40" s="2059"/>
      <c r="S40" s="2060"/>
      <c r="T40" s="2057" t="s">
        <v>2068</v>
      </c>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2069</v>
      </c>
      <c r="B42" s="2132"/>
      <c r="C42" s="2133"/>
      <c r="D42" s="2146" t="s">
        <v>2070</v>
      </c>
      <c r="E42" s="2132"/>
      <c r="F42" s="2132"/>
      <c r="G42" s="2132"/>
      <c r="H42" s="2133"/>
      <c r="I42" s="2052"/>
      <c r="J42" s="2048"/>
      <c r="K42" s="2048"/>
      <c r="L42" s="2048"/>
      <c r="M42" s="2048"/>
      <c r="N42" s="2048"/>
      <c r="O42" s="2049"/>
      <c r="P42" s="2047"/>
      <c r="Q42" s="2048"/>
      <c r="R42" s="2048"/>
      <c r="S42" s="2049"/>
      <c r="T42" s="2052" t="s">
        <v>2071</v>
      </c>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H36"/>
  <sheetViews>
    <sheetView showGridLines="0" defaultGridColor="0" colorId="8" zoomScale="110" zoomScaleNormal="110" workbookViewId="0">
      <selection activeCell="Q45" sqref="Q4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1473808</v>
      </c>
      <c r="C4" s="1722"/>
      <c r="D4" s="1723">
        <f>B4-C4</f>
        <v>1473808</v>
      </c>
      <c r="E4" s="1722">
        <v>1485851</v>
      </c>
      <c r="F4" s="1723">
        <f>E4-C4</f>
        <v>1485851</v>
      </c>
    </row>
    <row r="5" spans="1:8" ht="13.7" customHeight="1" x14ac:dyDescent="0.2">
      <c r="A5" s="579" t="s">
        <v>865</v>
      </c>
      <c r="B5" s="1724">
        <f>'Revenues 9-14'!D5</f>
        <v>288980</v>
      </c>
      <c r="C5" s="1664"/>
      <c r="D5" s="1725">
        <f t="shared" ref="D5:D18" si="0">B5-C5</f>
        <v>288980</v>
      </c>
      <c r="E5" s="1664">
        <v>291344</v>
      </c>
      <c r="F5" s="1725">
        <f>E5-C5</f>
        <v>291344</v>
      </c>
    </row>
    <row r="6" spans="1:8" ht="13.7" customHeight="1" x14ac:dyDescent="0.2">
      <c r="A6" s="579" t="s">
        <v>408</v>
      </c>
      <c r="B6" s="1724">
        <f>'Revenues 9-14'!E5</f>
        <v>0</v>
      </c>
      <c r="C6" s="1664"/>
      <c r="D6" s="1725">
        <f t="shared" si="0"/>
        <v>0</v>
      </c>
      <c r="E6" s="1664">
        <v>169218</v>
      </c>
      <c r="F6" s="1725">
        <f t="shared" ref="F6:F18" si="1">E6-C6</f>
        <v>169218</v>
      </c>
    </row>
    <row r="7" spans="1:8" ht="13.7" customHeight="1" x14ac:dyDescent="0.2">
      <c r="A7" s="579" t="s">
        <v>154</v>
      </c>
      <c r="B7" s="1724">
        <f>'Revenues 9-14'!F5</f>
        <v>115592</v>
      </c>
      <c r="C7" s="1664"/>
      <c r="D7" s="1725">
        <f t="shared" si="0"/>
        <v>115592</v>
      </c>
      <c r="E7" s="1664">
        <v>116537</v>
      </c>
      <c r="F7" s="1725">
        <f t="shared" si="1"/>
        <v>116537</v>
      </c>
    </row>
    <row r="8" spans="1:8" ht="13.7" customHeight="1" x14ac:dyDescent="0.2">
      <c r="A8" s="579" t="s">
        <v>1169</v>
      </c>
      <c r="B8" s="1724">
        <f>'Revenues 9-14'!G5</f>
        <v>24955</v>
      </c>
      <c r="C8" s="1664"/>
      <c r="D8" s="1725">
        <f t="shared" si="0"/>
        <v>24955</v>
      </c>
      <c r="E8" s="1664">
        <v>26250</v>
      </c>
      <c r="F8" s="1725">
        <f t="shared" si="1"/>
        <v>26250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28898</v>
      </c>
      <c r="C10" s="1664"/>
      <c r="D10" s="1725">
        <f t="shared" si="0"/>
        <v>28898</v>
      </c>
      <c r="E10" s="1664">
        <v>29134</v>
      </c>
      <c r="F10" s="1725">
        <f t="shared" si="1"/>
        <v>29134</v>
      </c>
    </row>
    <row r="11" spans="1:8" x14ac:dyDescent="0.2">
      <c r="A11" s="579" t="s">
        <v>406</v>
      </c>
      <c r="B11" s="1724">
        <f>'Revenues 9-14'!J5</f>
        <v>193150</v>
      </c>
      <c r="C11" s="1664"/>
      <c r="D11" s="1725">
        <f t="shared" si="0"/>
        <v>193150</v>
      </c>
      <c r="E11" s="1664">
        <v>190002</v>
      </c>
      <c r="F11" s="1725">
        <f t="shared" si="1"/>
        <v>190002</v>
      </c>
    </row>
    <row r="12" spans="1:8" ht="13.7" customHeight="1" x14ac:dyDescent="0.2">
      <c r="A12" s="579" t="s">
        <v>156</v>
      </c>
      <c r="B12" s="1724">
        <f>'Revenues 9-14'!K5</f>
        <v>28898</v>
      </c>
      <c r="C12" s="1664"/>
      <c r="D12" s="1725">
        <f t="shared" si="0"/>
        <v>28898</v>
      </c>
      <c r="E12" s="1664">
        <v>29134</v>
      </c>
      <c r="F12" s="1725">
        <f t="shared" si="1"/>
        <v>29134</v>
      </c>
    </row>
    <row r="13" spans="1:8" ht="13.7" customHeight="1" x14ac:dyDescent="0.2">
      <c r="A13" s="579" t="s">
        <v>930</v>
      </c>
      <c r="B13" s="1724">
        <f>SUM('Revenues 9-14'!C6:D6)</f>
        <v>28898</v>
      </c>
      <c r="C13" s="1664"/>
      <c r="D13" s="1725">
        <f t="shared" si="0"/>
        <v>28898</v>
      </c>
      <c r="E13" s="1664">
        <v>29134</v>
      </c>
      <c r="F13" s="1725">
        <f t="shared" si="1"/>
        <v>29134</v>
      </c>
    </row>
    <row r="14" spans="1:8" ht="13.7" customHeight="1" x14ac:dyDescent="0.2">
      <c r="A14" s="579" t="s">
        <v>407</v>
      </c>
      <c r="B14" s="1724">
        <f>SUM('Revenues 9-14'!C7:D7,'Revenues 9-14'!F7:H7)</f>
        <v>23117</v>
      </c>
      <c r="C14" s="1664"/>
      <c r="D14" s="1725">
        <f t="shared" si="0"/>
        <v>23117</v>
      </c>
      <c r="E14" s="1664">
        <v>23308</v>
      </c>
      <c r="F14" s="1725">
        <f t="shared" si="1"/>
        <v>23308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59893</v>
      </c>
      <c r="C16" s="1664"/>
      <c r="D16" s="1725">
        <f t="shared" si="0"/>
        <v>59893</v>
      </c>
      <c r="E16" s="1664">
        <v>63000</v>
      </c>
      <c r="F16" s="1725">
        <f t="shared" si="1"/>
        <v>63000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2266189</v>
      </c>
      <c r="C19" s="1726">
        <f>SUM(C4:C18)</f>
        <v>0</v>
      </c>
      <c r="D19" s="1726">
        <f>SUM(D4:D18)</f>
        <v>2266189</v>
      </c>
      <c r="E19" s="1726">
        <f>SUM(E4:E18)</f>
        <v>2452912</v>
      </c>
      <c r="F19" s="1726">
        <f>SUM(F4:F18)</f>
        <v>2452912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7" colorId="8" zoomScale="110" zoomScaleNormal="110" workbookViewId="0">
      <selection activeCell="Q45" sqref="Q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43655</v>
      </c>
      <c r="C31" s="1734">
        <v>1310000</v>
      </c>
      <c r="D31" s="1735">
        <v>3</v>
      </c>
      <c r="E31" s="1734"/>
      <c r="F31" s="1734">
        <v>1310000</v>
      </c>
      <c r="G31" s="1734"/>
      <c r="H31" s="1734"/>
      <c r="I31" s="1736">
        <f>((E31+F31)-H31)+G31</f>
        <v>1310000</v>
      </c>
      <c r="J31" s="1734">
        <v>1310000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1310000</v>
      </c>
      <c r="D49" s="1742"/>
      <c r="E49" s="1736">
        <f t="shared" ref="E49:J49" si="2">SUM(E31:E48)</f>
        <v>0</v>
      </c>
      <c r="F49" s="1736">
        <f t="shared" si="2"/>
        <v>1310000</v>
      </c>
      <c r="G49" s="1736">
        <f t="shared" si="2"/>
        <v>0</v>
      </c>
      <c r="H49" s="1736">
        <f t="shared" si="2"/>
        <v>0</v>
      </c>
      <c r="I49" s="1736">
        <f t="shared" si="2"/>
        <v>1310000</v>
      </c>
      <c r="J49" s="1736">
        <f t="shared" si="2"/>
        <v>1310000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O48"/>
  <sheetViews>
    <sheetView showGridLines="0" defaultGridColor="0" colorId="8" zoomScale="110" zoomScaleNormal="110" workbookViewId="0">
      <selection activeCell="Q45" sqref="Q4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23117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23117</v>
      </c>
      <c r="I12" s="1755">
        <f>SUM(I5:I11)</f>
        <v>0</v>
      </c>
      <c r="J12" s="1755">
        <f>SUM(J5:J11)</f>
        <v>0</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23117</v>
      </c>
      <c r="I14" s="1749"/>
      <c r="J14" s="1751"/>
      <c r="K14" s="1745"/>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23117</v>
      </c>
      <c r="I23" s="1755">
        <f>SUM(I14:I16,I21,I22)</f>
        <v>0</v>
      </c>
      <c r="J23" s="1755">
        <f>SUM(J14:J16,J21,J22)</f>
        <v>0</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Q45" sqref="Q4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29900</v>
      </c>
      <c r="D5" s="1770"/>
      <c r="E5" s="1770"/>
      <c r="F5" s="1765">
        <f>(C5+D5)-E5</f>
        <v>29900</v>
      </c>
      <c r="G5" s="676"/>
      <c r="H5" s="680"/>
      <c r="I5" s="680"/>
      <c r="J5" s="680"/>
      <c r="K5" s="637"/>
      <c r="L5" s="1442">
        <f>F5-K5</f>
        <v>29900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2396742</v>
      </c>
      <c r="D8" s="1771">
        <v>1445326</v>
      </c>
      <c r="E8" s="1771">
        <v>44890</v>
      </c>
      <c r="F8" s="1765">
        <f>(C8+D8)-E8</f>
        <v>3797178</v>
      </c>
      <c r="G8" s="681">
        <v>50</v>
      </c>
      <c r="H8" s="619">
        <v>1442847</v>
      </c>
      <c r="I8" s="619">
        <v>38838</v>
      </c>
      <c r="J8" s="619"/>
      <c r="K8" s="1442">
        <f>(H8+I8)-J8</f>
        <v>1481685</v>
      </c>
      <c r="L8" s="1442">
        <f>F8-K8</f>
        <v>2315493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177167</v>
      </c>
      <c r="D10" s="1772"/>
      <c r="E10" s="1772"/>
      <c r="F10" s="1773">
        <f>(C10+D10)-E10</f>
        <v>177167</v>
      </c>
      <c r="G10" s="681">
        <v>20</v>
      </c>
      <c r="H10" s="683">
        <v>119862</v>
      </c>
      <c r="I10" s="683">
        <v>6067</v>
      </c>
      <c r="J10" s="683"/>
      <c r="K10" s="1442">
        <f>(H10+I10)-J10</f>
        <v>125929</v>
      </c>
      <c r="L10" s="1442">
        <f>F10-K10</f>
        <v>51238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332609</v>
      </c>
      <c r="D12" s="1771">
        <v>30186</v>
      </c>
      <c r="E12" s="1771">
        <v>29575</v>
      </c>
      <c r="F12" s="1765">
        <f>(C12+D12)-E12</f>
        <v>333220</v>
      </c>
      <c r="G12" s="681">
        <v>10</v>
      </c>
      <c r="H12" s="619">
        <v>102211</v>
      </c>
      <c r="I12" s="619">
        <f>13155+11164</f>
        <v>24319</v>
      </c>
      <c r="J12" s="619">
        <v>8134</v>
      </c>
      <c r="K12" s="1442">
        <f>(H12+I12)-J12</f>
        <v>118396</v>
      </c>
      <c r="L12" s="1442">
        <f>F12-K12</f>
        <v>214824</v>
      </c>
    </row>
    <row r="13" spans="1:14" ht="14.25" thickTop="1" thickBot="1" x14ac:dyDescent="0.25">
      <c r="A13" s="684" t="s">
        <v>1112</v>
      </c>
      <c r="B13" s="679">
        <v>252</v>
      </c>
      <c r="C13" s="1771">
        <v>433920</v>
      </c>
      <c r="D13" s="1771">
        <v>94125</v>
      </c>
      <c r="E13" s="1771">
        <v>87531</v>
      </c>
      <c r="F13" s="1765">
        <f>(C13+D13)-E13</f>
        <v>440514</v>
      </c>
      <c r="G13" s="681">
        <v>5</v>
      </c>
      <c r="H13" s="619">
        <v>156508</v>
      </c>
      <c r="I13" s="619">
        <v>80990</v>
      </c>
      <c r="J13" s="619">
        <v>49106</v>
      </c>
      <c r="K13" s="1442">
        <f>(H13+I13)-J13</f>
        <v>188392</v>
      </c>
      <c r="L13" s="1442">
        <f>F13-K13</f>
        <v>252122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3370338</v>
      </c>
      <c r="D16" s="1765">
        <f>SUM(D3,D5:D6,D8:D10,D12:D15)</f>
        <v>1569637</v>
      </c>
      <c r="E16" s="1765">
        <f>SUM(E3,E5:E6,E8:E10,E12:E15)</f>
        <v>161996</v>
      </c>
      <c r="F16" s="1765">
        <f>SUM(F3,F5:F6,F8:F10,F12:F15)</f>
        <v>4777979</v>
      </c>
      <c r="G16" s="681"/>
      <c r="H16" s="1435">
        <f>SUM(H3,H6,H8:H10,H12:H14,)</f>
        <v>1821428</v>
      </c>
      <c r="I16" s="1435">
        <f>SUM(I3,I6,I8:I10,I12:I14,)</f>
        <v>150214</v>
      </c>
      <c r="J16" s="1435">
        <f>SUM(J3,J6,J8:J10,J12:J14,)</f>
        <v>57240</v>
      </c>
      <c r="K16" s="1435">
        <f>(H16+I16)-J16</f>
        <v>1914402</v>
      </c>
      <c r="L16" s="1435">
        <f>F16-K16</f>
        <v>2863577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150214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I203"/>
  <sheetViews>
    <sheetView showGridLines="0" defaultGridColor="0" topLeftCell="A20" colorId="8" zoomScale="110" zoomScaleNormal="110" workbookViewId="0">
      <selection activeCell="Q45" sqref="Q4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2643531</v>
      </c>
      <c r="G8" s="701"/>
    </row>
    <row r="9" spans="1:9" x14ac:dyDescent="0.2">
      <c r="A9" s="705" t="s">
        <v>457</v>
      </c>
      <c r="B9" s="706" t="s">
        <v>1848</v>
      </c>
      <c r="C9" s="707"/>
      <c r="D9" s="705" t="s">
        <v>498</v>
      </c>
      <c r="E9" s="704"/>
      <c r="F9" s="1775">
        <f>'Expenditures 15-22'!K151</f>
        <v>563447</v>
      </c>
      <c r="G9" s="708"/>
    </row>
    <row r="10" spans="1:9" x14ac:dyDescent="0.2">
      <c r="A10" s="705" t="s">
        <v>496</v>
      </c>
      <c r="B10" s="706" t="s">
        <v>1849</v>
      </c>
      <c r="C10" s="707"/>
      <c r="D10" s="705" t="s">
        <v>498</v>
      </c>
      <c r="E10" s="704"/>
      <c r="F10" s="1775">
        <f>'Expenditures 15-22'!K174</f>
        <v>45896</v>
      </c>
      <c r="G10" s="708"/>
    </row>
    <row r="11" spans="1:9" x14ac:dyDescent="0.2">
      <c r="A11" s="705" t="s">
        <v>458</v>
      </c>
      <c r="B11" s="706" t="s">
        <v>1850</v>
      </c>
      <c r="C11" s="707"/>
      <c r="D11" s="705" t="s">
        <v>498</v>
      </c>
      <c r="E11" s="704"/>
      <c r="F11" s="1775">
        <f>'Expenditures 15-22'!K210</f>
        <v>274626</v>
      </c>
      <c r="G11" s="708"/>
    </row>
    <row r="12" spans="1:9" x14ac:dyDescent="0.2">
      <c r="A12" s="705" t="s">
        <v>459</v>
      </c>
      <c r="B12" s="706" t="s">
        <v>1851</v>
      </c>
      <c r="C12" s="707"/>
      <c r="D12" s="705" t="s">
        <v>498</v>
      </c>
      <c r="E12" s="704"/>
      <c r="F12" s="1775">
        <f>'Expenditures 15-22'!K295</f>
        <v>68244</v>
      </c>
      <c r="G12" s="708"/>
    </row>
    <row r="13" spans="1:9" x14ac:dyDescent="0.2">
      <c r="A13" s="705" t="s">
        <v>106</v>
      </c>
      <c r="B13" s="706" t="s">
        <v>1852</v>
      </c>
      <c r="C13" s="707"/>
      <c r="D13" s="705" t="s">
        <v>498</v>
      </c>
      <c r="E13" s="704"/>
      <c r="F13" s="1775">
        <f>'Expenditures 15-22'!K342</f>
        <v>198906</v>
      </c>
      <c r="G13" s="709"/>
    </row>
    <row r="14" spans="1:9" ht="12" customHeight="1" thickBot="1" x14ac:dyDescent="0.25">
      <c r="A14" s="1443"/>
      <c r="B14" s="1444"/>
      <c r="C14" s="1445"/>
      <c r="D14" s="1446" t="s">
        <v>498</v>
      </c>
      <c r="E14" s="1447" t="s">
        <v>952</v>
      </c>
      <c r="F14" s="1776">
        <f>SUM(F8:F13)</f>
        <v>3794650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123429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3598</v>
      </c>
      <c r="G52" s="701"/>
    </row>
    <row r="53" spans="1:7" x14ac:dyDescent="0.2">
      <c r="A53" s="705" t="s">
        <v>456</v>
      </c>
      <c r="B53" s="705" t="s">
        <v>1458</v>
      </c>
      <c r="C53" s="724">
        <f>'Expenditures 15-22'!B102</f>
        <v>4000</v>
      </c>
      <c r="D53" s="723" t="str">
        <f>'Expenditures 15-22'!A102</f>
        <v>Total Payments to Other Govt Units</v>
      </c>
      <c r="E53" s="704"/>
      <c r="F53" s="1782">
        <f>'Expenditures 15-22'!K102</f>
        <v>522794</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292006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78626</v>
      </c>
      <c r="G64" s="701"/>
    </row>
    <row r="65" spans="1:9" x14ac:dyDescent="0.2">
      <c r="A65" s="705" t="s">
        <v>458</v>
      </c>
      <c r="B65" s="705" t="s">
        <v>1861</v>
      </c>
      <c r="C65" s="721" t="s">
        <v>975</v>
      </c>
      <c r="D65" s="720" t="s">
        <v>1086</v>
      </c>
      <c r="E65" s="704"/>
      <c r="F65" s="1782">
        <f>'Expenditures 15-22'!G210</f>
        <v>30187</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2860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39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1053539</v>
      </c>
      <c r="G77" s="701"/>
    </row>
    <row r="78" spans="1:9" s="728" customFormat="1" ht="12" customHeight="1" thickTop="1" thickBot="1" x14ac:dyDescent="0.25">
      <c r="A78" s="1450"/>
      <c r="B78" s="1448"/>
      <c r="C78" s="1445"/>
      <c r="D78" s="1449" t="s">
        <v>2012</v>
      </c>
      <c r="E78" s="1447"/>
      <c r="F78" s="1788">
        <f>(F14-F77)</f>
        <v>2741111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218.5</v>
      </c>
      <c r="G79" s="733"/>
      <c r="H79" s="705"/>
      <c r="I79" s="705"/>
    </row>
    <row r="80" spans="1:9" s="728" customFormat="1" ht="12" customHeight="1" thickBot="1" x14ac:dyDescent="0.25">
      <c r="A80" s="1452"/>
      <c r="B80" s="1448"/>
      <c r="C80" s="1445"/>
      <c r="D80" s="1449" t="s">
        <v>2013</v>
      </c>
      <c r="E80" s="1447" t="s">
        <v>952</v>
      </c>
      <c r="F80" s="1790">
        <f>IF(F79&gt;0,F78/F79," Complete Line 79")</f>
        <v>12545.130434782608</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32335</v>
      </c>
      <c r="G95" s="745"/>
    </row>
    <row r="96" spans="1:7" x14ac:dyDescent="0.2">
      <c r="A96" s="741" t="s">
        <v>139</v>
      </c>
      <c r="B96" s="741" t="s">
        <v>174</v>
      </c>
      <c r="C96" s="743">
        <v>1700</v>
      </c>
      <c r="D96" s="751" t="str">
        <f>'Revenues 9-14'!A82</f>
        <v>Total District/School Activity Income</v>
      </c>
      <c r="E96" s="739"/>
      <c r="F96" s="1793">
        <f>SUM('Revenues 9-14'!C82,'Revenues 9-14'!D82)</f>
        <v>21697</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25590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12676</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1250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858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216822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96473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66809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17318</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1195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5407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79495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627925</v>
      </c>
    </row>
    <row r="176" spans="1:7" ht="12" customHeight="1" x14ac:dyDescent="0.2">
      <c r="A176" s="1443"/>
      <c r="B176" s="1453"/>
      <c r="C176" s="1454"/>
      <c r="D176" s="1455" t="s">
        <v>2014</v>
      </c>
      <c r="E176" s="1456"/>
      <c r="F176" s="1793">
        <f>'PCTC-OEPP 27-28'!F78-F175</f>
        <v>2113186</v>
      </c>
    </row>
    <row r="177" spans="1:9" ht="12" customHeight="1" x14ac:dyDescent="0.2">
      <c r="A177" s="1443"/>
      <c r="B177" s="1453"/>
      <c r="C177" s="1454"/>
      <c r="D177" s="1455" t="s">
        <v>1794</v>
      </c>
      <c r="E177" s="1456"/>
      <c r="F177" s="1793">
        <f>'Cap Outlay Deprec 26'!I18</f>
        <v>150214</v>
      </c>
    </row>
    <row r="178" spans="1:9" ht="12" customHeight="1" x14ac:dyDescent="0.2">
      <c r="A178" s="1443"/>
      <c r="B178" s="1453"/>
      <c r="C178" s="1454"/>
      <c r="D178" s="1455" t="s">
        <v>2015</v>
      </c>
      <c r="E178" s="1456"/>
      <c r="F178" s="1793">
        <f>F176+F177</f>
        <v>2263400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218.5</v>
      </c>
      <c r="G179" s="763"/>
      <c r="I179" s="701"/>
    </row>
    <row r="180" spans="1:9" ht="12" customHeight="1" thickBot="1" x14ac:dyDescent="0.25">
      <c r="A180" s="1443"/>
      <c r="B180" s="1457"/>
      <c r="C180" s="1454"/>
      <c r="D180" s="1455" t="s">
        <v>2017</v>
      </c>
      <c r="E180" s="1456" t="s">
        <v>1528</v>
      </c>
      <c r="F180" s="1798">
        <f>F178/F179</f>
        <v>10358.810068649886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142"/>
  <sheetViews>
    <sheetView showGridLines="0" zoomScaleNormal="100" workbookViewId="0">
      <selection activeCell="Q45" sqref="Q45"/>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N83"/>
  <sheetViews>
    <sheetView showGridLines="0" topLeftCell="A50" zoomScaleNormal="100" workbookViewId="0">
      <selection activeCell="Q45" sqref="Q45"/>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391" t="str">
        <f>COVER!A17</f>
        <v>Nauvoo-Colusa CUSD 325</v>
      </c>
      <c r="K6" s="2391"/>
      <c r="L6" s="2392"/>
      <c r="M6" s="838"/>
      <c r="N6" s="1999"/>
    </row>
    <row r="7" spans="1:14" x14ac:dyDescent="0.2">
      <c r="A7" s="2393" t="s">
        <v>864</v>
      </c>
      <c r="B7" s="2394"/>
      <c r="C7" s="2394"/>
      <c r="D7" s="2394"/>
      <c r="E7" s="2395"/>
      <c r="F7" s="839"/>
      <c r="G7" s="838"/>
      <c r="H7" s="838"/>
      <c r="I7" s="1925" t="s">
        <v>369</v>
      </c>
      <c r="J7" s="2396">
        <f>COVER!A13</f>
        <v>26034325026</v>
      </c>
      <c r="K7" s="2396"/>
      <c r="L7" s="239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397" t="s">
        <v>478</v>
      </c>
      <c r="B11" s="2398"/>
      <c r="C11" s="239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145438</v>
      </c>
      <c r="F12" s="1943"/>
      <c r="G12" s="1969">
        <f>G68</f>
        <v>0</v>
      </c>
      <c r="H12" s="1945">
        <f t="shared" ref="H12:H18" si="0">SUM(E12:G12)</f>
        <v>145438</v>
      </c>
      <c r="I12" s="1944">
        <v>153229</v>
      </c>
      <c r="J12" s="1943"/>
      <c r="K12" s="1944"/>
      <c r="L12" s="1945">
        <f t="shared" ref="L12:L18" si="1">SUM(I12:K12)</f>
        <v>153229</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00" t="s">
        <v>7</v>
      </c>
      <c r="C18" s="2401"/>
      <c r="D18" s="240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145438</v>
      </c>
      <c r="F19" s="1951">
        <f t="shared" si="2"/>
        <v>0</v>
      </c>
      <c r="G19" s="1951">
        <f t="shared" ref="G19" si="3">SUM(G12:G17)-G18</f>
        <v>0</v>
      </c>
      <c r="H19" s="1951">
        <f t="shared" si="2"/>
        <v>145438</v>
      </c>
      <c r="I19" s="1951">
        <f t="shared" si="2"/>
        <v>153229</v>
      </c>
      <c r="J19" s="1951">
        <f t="shared" si="2"/>
        <v>0</v>
      </c>
      <c r="K19" s="1951">
        <f t="shared" si="2"/>
        <v>0</v>
      </c>
      <c r="L19" s="1951">
        <f t="shared" si="2"/>
        <v>153229</v>
      </c>
      <c r="M19" s="838"/>
      <c r="N19" s="1999"/>
    </row>
    <row r="20" spans="1:14" ht="13.5" thickTop="1" x14ac:dyDescent="0.2">
      <c r="A20" s="2004">
        <v>9</v>
      </c>
      <c r="B20" s="2403" t="s">
        <v>2021</v>
      </c>
      <c r="C20" s="2403"/>
      <c r="D20" s="2404"/>
      <c r="E20" s="1952"/>
      <c r="F20" s="1952"/>
      <c r="G20" s="1952"/>
      <c r="H20" s="1952"/>
      <c r="I20" s="1952"/>
      <c r="J20" s="1952"/>
      <c r="K20" s="1952"/>
      <c r="L20" s="1953">
        <f>IF(AND(H19&gt;0,L19&gt;0),(((L19-H19)/H19)),"Enter Budget Data")</f>
        <v>5.3569218498604215E-2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05"/>
      <c r="D27" s="2405"/>
      <c r="E27" s="843"/>
      <c r="F27" s="2406"/>
      <c r="G27" s="2406"/>
      <c r="H27" s="2406"/>
      <c r="I27" s="838"/>
      <c r="J27" s="838"/>
      <c r="K27" s="838"/>
      <c r="L27" s="838"/>
      <c r="M27" s="838"/>
      <c r="N27" s="1999"/>
    </row>
    <row r="28" spans="1:14" x14ac:dyDescent="0.2">
      <c r="A28" s="1998"/>
      <c r="B28" s="2008"/>
      <c r="C28" s="1958" t="s">
        <v>1026</v>
      </c>
      <c r="D28" s="844"/>
      <c r="E28" s="1959"/>
      <c r="F28" s="2407" t="s">
        <v>1492</v>
      </c>
      <c r="G28" s="2407"/>
      <c r="H28" s="2407"/>
      <c r="I28" s="838"/>
      <c r="J28" s="838"/>
      <c r="K28" s="838"/>
      <c r="L28" s="838"/>
      <c r="M28" s="838"/>
      <c r="N28" s="1999"/>
    </row>
    <row r="29" spans="1:14" x14ac:dyDescent="0.2">
      <c r="A29" s="1998"/>
      <c r="B29" s="2008"/>
      <c r="C29" s="2408"/>
      <c r="D29" s="2408"/>
      <c r="E29" s="845"/>
      <c r="F29" s="2408"/>
      <c r="G29" s="2408"/>
      <c r="H29" s="2408"/>
      <c r="I29" s="838"/>
      <c r="J29" s="838"/>
      <c r="K29" s="838"/>
      <c r="L29" s="838"/>
      <c r="M29" s="838"/>
      <c r="N29" s="1999"/>
    </row>
    <row r="30" spans="1:14" x14ac:dyDescent="0.2">
      <c r="A30" s="1998"/>
      <c r="B30" s="2008"/>
      <c r="C30" s="1961" t="s">
        <v>1544</v>
      </c>
      <c r="D30" s="838"/>
      <c r="E30" s="1960"/>
      <c r="F30" s="2390" t="s">
        <v>1493</v>
      </c>
      <c r="G30" s="2390"/>
      <c r="H30" s="239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11" t="s">
        <v>2024</v>
      </c>
      <c r="D34" s="2412"/>
      <c r="E34" s="2412"/>
      <c r="F34" s="2412"/>
      <c r="G34" s="2412"/>
      <c r="H34" s="2412"/>
      <c r="I34" s="2412"/>
      <c r="J34" s="2412"/>
      <c r="K34" s="2017"/>
      <c r="L34" s="838"/>
      <c r="M34" s="838"/>
      <c r="N34" s="1999"/>
    </row>
    <row r="35" spans="1:14" x14ac:dyDescent="0.2">
      <c r="A35" s="1998"/>
      <c r="B35" s="838"/>
      <c r="C35" s="2412"/>
      <c r="D35" s="2412"/>
      <c r="E35" s="2412"/>
      <c r="F35" s="2412"/>
      <c r="G35" s="2412"/>
      <c r="H35" s="2412"/>
      <c r="I35" s="2412"/>
      <c r="J35" s="241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11" t="s">
        <v>2025</v>
      </c>
      <c r="D37" s="2412"/>
      <c r="E37" s="2412"/>
      <c r="F37" s="2412"/>
      <c r="G37" s="2412"/>
      <c r="H37" s="2412"/>
      <c r="I37" s="2412"/>
      <c r="J37" s="2412"/>
      <c r="K37" s="2017"/>
      <c r="L37" s="2019"/>
      <c r="M37" s="838"/>
      <c r="N37" s="1999"/>
    </row>
    <row r="38" spans="1:14" x14ac:dyDescent="0.2">
      <c r="A38" s="1998"/>
      <c r="B38" s="838"/>
      <c r="C38" s="2412"/>
      <c r="D38" s="2412"/>
      <c r="E38" s="2412"/>
      <c r="F38" s="2412"/>
      <c r="G38" s="2412"/>
      <c r="H38" s="2412"/>
      <c r="I38" s="2412"/>
      <c r="J38" s="241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13" t="s">
        <v>2026</v>
      </c>
      <c r="D40" s="2414"/>
      <c r="E40" s="2414"/>
      <c r="F40" s="2414"/>
      <c r="G40" s="2414"/>
      <c r="H40" s="2414"/>
      <c r="I40" s="2414"/>
      <c r="J40" s="241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15" t="s">
        <v>2027</v>
      </c>
      <c r="B43" s="2416"/>
      <c r="C43" s="2416"/>
      <c r="D43" s="2416"/>
      <c r="E43" s="2416"/>
      <c r="F43" s="2416"/>
      <c r="G43" s="2416"/>
      <c r="H43" s="2416"/>
      <c r="I43" s="2416"/>
      <c r="J43" s="2416"/>
      <c r="K43" s="2416"/>
      <c r="L43" s="2416"/>
      <c r="M43" s="2416"/>
      <c r="N43" s="241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18" t="s">
        <v>2029</v>
      </c>
      <c r="B46" s="2419"/>
      <c r="C46" s="2419"/>
      <c r="D46" s="2419"/>
      <c r="E46" s="2419"/>
      <c r="F46" s="2419"/>
      <c r="G46" s="2419"/>
      <c r="H46" s="2419"/>
      <c r="I46" s="2419"/>
      <c r="J46" s="2419"/>
      <c r="K46" s="2419"/>
      <c r="L46" s="2419"/>
      <c r="M46" s="2419"/>
      <c r="N46" s="2420"/>
    </row>
    <row r="47" spans="1:14" x14ac:dyDescent="0.2">
      <c r="A47" s="2418"/>
      <c r="B47" s="2419"/>
      <c r="C47" s="2419"/>
      <c r="D47" s="2419"/>
      <c r="E47" s="2419"/>
      <c r="F47" s="2419"/>
      <c r="G47" s="2419"/>
      <c r="H47" s="2419"/>
      <c r="I47" s="2419"/>
      <c r="J47" s="2419"/>
      <c r="K47" s="2419"/>
      <c r="L47" s="2419"/>
      <c r="M47" s="2419"/>
      <c r="N47" s="242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391" t="str">
        <f>J6</f>
        <v>Nauvoo-Colusa CUSD 325</v>
      </c>
      <c r="M52" s="2391"/>
      <c r="N52" s="2421"/>
    </row>
    <row r="53" spans="1:14" x14ac:dyDescent="0.2">
      <c r="A53" s="1983"/>
      <c r="B53" s="1984"/>
      <c r="C53" s="1984"/>
      <c r="D53" s="1984"/>
      <c r="E53" s="1984"/>
      <c r="F53" s="1984"/>
      <c r="G53" s="1984"/>
      <c r="H53" s="1984"/>
      <c r="I53" s="1984"/>
      <c r="J53" s="1984"/>
      <c r="K53" s="1925" t="s">
        <v>369</v>
      </c>
      <c r="L53" s="2396">
        <f>J7</f>
        <v>26034325026</v>
      </c>
      <c r="M53" s="2396"/>
      <c r="N53" s="242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23"/>
      <c r="B55" s="2424"/>
      <c r="C55" s="2424"/>
      <c r="D55" s="1971"/>
      <c r="E55" s="1971"/>
      <c r="F55" s="1971"/>
      <c r="G55" s="2425" t="s">
        <v>2030</v>
      </c>
      <c r="H55" s="2425"/>
      <c r="I55" s="2425"/>
      <c r="J55" s="2425"/>
      <c r="K55" s="2425"/>
      <c r="L55" s="2425"/>
      <c r="M55" s="2425"/>
      <c r="N55" s="2426"/>
    </row>
    <row r="56" spans="1:14" ht="63.75" x14ac:dyDescent="0.2">
      <c r="A56" s="2427" t="s">
        <v>2031</v>
      </c>
      <c r="B56" s="2428"/>
      <c r="C56" s="242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30" t="s">
        <v>296</v>
      </c>
      <c r="B57" s="2431"/>
      <c r="C57" s="243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09" t="s">
        <v>2041</v>
      </c>
      <c r="B58" s="2410"/>
      <c r="C58" s="241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32" t="s">
        <v>297</v>
      </c>
      <c r="B59" s="2433"/>
      <c r="C59" s="2433"/>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32" t="s">
        <v>236</v>
      </c>
      <c r="B60" s="2433"/>
      <c r="C60" s="243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32" t="s">
        <v>697</v>
      </c>
      <c r="B61" s="2433"/>
      <c r="C61" s="2433"/>
      <c r="D61" s="1968">
        <v>2365</v>
      </c>
      <c r="E61" s="1978">
        <f>'Expenditures 15-22'!K323</f>
        <v>115389</v>
      </c>
      <c r="F61" s="1973"/>
      <c r="G61" s="2032"/>
      <c r="H61" s="2033"/>
      <c r="I61" s="2033"/>
      <c r="J61" s="2033"/>
      <c r="K61" s="2033"/>
      <c r="L61" s="2033"/>
      <c r="M61" s="2033">
        <v>115389</v>
      </c>
      <c r="N61" s="1976">
        <f t="shared" si="4"/>
        <v>115389</v>
      </c>
    </row>
    <row r="62" spans="1:14" ht="24" customHeight="1" x14ac:dyDescent="0.2">
      <c r="A62" s="2432" t="s">
        <v>237</v>
      </c>
      <c r="B62" s="2433"/>
      <c r="C62" s="2433"/>
      <c r="D62" s="1968">
        <v>2366</v>
      </c>
      <c r="E62" s="1978">
        <f>'Expenditures 15-22'!K324</f>
        <v>0</v>
      </c>
      <c r="F62" s="1973"/>
      <c r="G62" s="2032"/>
      <c r="H62" s="2033"/>
      <c r="I62" s="2033"/>
      <c r="J62" s="2033"/>
      <c r="K62" s="2033"/>
      <c r="L62" s="2033"/>
      <c r="M62" s="2033"/>
      <c r="N62" s="1976">
        <f t="shared" si="4"/>
        <v>0</v>
      </c>
    </row>
    <row r="63" spans="1:14" ht="24" customHeight="1" x14ac:dyDescent="0.2">
      <c r="A63" s="2409" t="s">
        <v>1022</v>
      </c>
      <c r="B63" s="2410"/>
      <c r="C63" s="2410"/>
      <c r="D63" s="1968">
        <v>2367</v>
      </c>
      <c r="E63" s="1978">
        <f>'Expenditures 15-22'!K325</f>
        <v>0</v>
      </c>
      <c r="F63" s="1973"/>
      <c r="G63" s="2032"/>
      <c r="H63" s="2033"/>
      <c r="I63" s="2033"/>
      <c r="J63" s="2033"/>
      <c r="K63" s="2033"/>
      <c r="L63" s="2033"/>
      <c r="M63" s="2033"/>
      <c r="N63" s="1976">
        <f t="shared" si="4"/>
        <v>0</v>
      </c>
    </row>
    <row r="64" spans="1:14" ht="24" customHeight="1" x14ac:dyDescent="0.2">
      <c r="A64" s="2432" t="s">
        <v>1023</v>
      </c>
      <c r="B64" s="2433"/>
      <c r="C64" s="2433"/>
      <c r="D64" s="1968">
        <v>2368</v>
      </c>
      <c r="E64" s="1978">
        <f>'Expenditures 15-22'!K326</f>
        <v>0</v>
      </c>
      <c r="F64" s="1973"/>
      <c r="G64" s="2032"/>
      <c r="H64" s="2033"/>
      <c r="I64" s="2033"/>
      <c r="J64" s="2033"/>
      <c r="K64" s="2033"/>
      <c r="L64" s="2033"/>
      <c r="M64" s="2033"/>
      <c r="N64" s="1976">
        <f t="shared" si="4"/>
        <v>0</v>
      </c>
    </row>
    <row r="65" spans="1:14" ht="24" customHeight="1" x14ac:dyDescent="0.2">
      <c r="A65" s="2432" t="s">
        <v>965</v>
      </c>
      <c r="B65" s="2433"/>
      <c r="C65" s="2433"/>
      <c r="D65" s="1968">
        <v>2369</v>
      </c>
      <c r="E65" s="1978">
        <f>'Expenditures 15-22'!K327</f>
        <v>0</v>
      </c>
      <c r="F65" s="1973"/>
      <c r="G65" s="2032"/>
      <c r="H65" s="2033"/>
      <c r="I65" s="2033"/>
      <c r="J65" s="2033"/>
      <c r="K65" s="2033"/>
      <c r="L65" s="2033"/>
      <c r="M65" s="2033"/>
      <c r="N65" s="1976">
        <f t="shared" si="4"/>
        <v>0</v>
      </c>
    </row>
    <row r="66" spans="1:14" ht="24" customHeight="1" x14ac:dyDescent="0.2">
      <c r="A66" s="2432" t="s">
        <v>469</v>
      </c>
      <c r="B66" s="2433"/>
      <c r="C66" s="2433"/>
      <c r="D66" s="1968">
        <v>2371</v>
      </c>
      <c r="E66" s="1978">
        <f>'Expenditures 15-22'!K328</f>
        <v>83517</v>
      </c>
      <c r="F66" s="1973"/>
      <c r="G66" s="2032"/>
      <c r="H66" s="2033"/>
      <c r="I66" s="2033"/>
      <c r="J66" s="2033"/>
      <c r="K66" s="2033"/>
      <c r="L66" s="2033"/>
      <c r="M66" s="2033">
        <v>83517</v>
      </c>
      <c r="N66" s="1976">
        <f t="shared" si="4"/>
        <v>83517</v>
      </c>
    </row>
    <row r="67" spans="1:14" ht="24.75" customHeight="1" x14ac:dyDescent="0.2">
      <c r="A67" s="2434" t="s">
        <v>2042</v>
      </c>
      <c r="B67" s="2435"/>
      <c r="C67" s="2435"/>
      <c r="D67" s="1970">
        <v>2372</v>
      </c>
      <c r="E67" s="1979">
        <f>'Expenditures 15-22'!K329</f>
        <v>0</v>
      </c>
      <c r="F67" s="1973"/>
      <c r="G67" s="2034"/>
      <c r="H67" s="2035"/>
      <c r="I67" s="2035"/>
      <c r="J67" s="2035"/>
      <c r="K67" s="2035"/>
      <c r="L67" s="2035"/>
      <c r="M67" s="2035"/>
      <c r="N67" s="1976">
        <f t="shared" si="4"/>
        <v>0</v>
      </c>
    </row>
    <row r="68" spans="1:14" x14ac:dyDescent="0.2">
      <c r="A68" s="2436" t="s">
        <v>1151</v>
      </c>
      <c r="B68" s="2437"/>
      <c r="C68" s="2437"/>
      <c r="D68" s="1971"/>
      <c r="E68" s="1975">
        <f>SUM(E57:E67)</f>
        <v>198906</v>
      </c>
      <c r="F68" s="1974"/>
      <c r="G68" s="1975">
        <f t="shared" ref="G68:N68" si="5">SUM(G57:G67)</f>
        <v>0</v>
      </c>
      <c r="H68" s="1975">
        <f t="shared" si="5"/>
        <v>0</v>
      </c>
      <c r="I68" s="1975">
        <f t="shared" si="5"/>
        <v>0</v>
      </c>
      <c r="J68" s="1975">
        <f t="shared" si="5"/>
        <v>0</v>
      </c>
      <c r="K68" s="1975">
        <f t="shared" si="5"/>
        <v>0</v>
      </c>
      <c r="L68" s="1975">
        <f t="shared" si="5"/>
        <v>0</v>
      </c>
      <c r="M68" s="1975">
        <f t="shared" si="5"/>
        <v>198906</v>
      </c>
      <c r="N68" s="1989">
        <f t="shared" si="5"/>
        <v>198906</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colorId="8" zoomScale="110" zoomScaleNormal="110" workbookViewId="0">
      <selection activeCell="Q45" sqref="Q4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8" t="s">
        <v>1660</v>
      </c>
      <c r="B5" s="2439"/>
      <c r="C5" s="2439"/>
      <c r="D5" s="2439"/>
      <c r="E5" s="2439"/>
      <c r="F5" s="2439"/>
      <c r="G5" s="244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4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4"/>
      <c r="C11" s="2444"/>
      <c r="D11" s="2445"/>
      <c r="E11" s="1801">
        <v>12050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1289682</v>
      </c>
      <c r="F19" s="1802"/>
      <c r="G19" s="1804">
        <f>'Expenditures 15-22'!K33-SUM('Expenditures 15-22'!G33,'Expenditures 15-22'!I33)+'Expenditures 15-22'!D229</f>
        <v>1289682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252613</v>
      </c>
      <c r="F21" s="1805"/>
      <c r="G21" s="1808">
        <f>'Expenditures 15-22'!K42-SUM('Expenditures 15-22'!G42,'Expenditures 15-22'!I42)+'Expenditures 15-22'!K120-SUM('Expenditures 15-22'!G120,'Expenditures 15-22'!I120)+'Expenditures 15-22'!K180-SUM('Expenditures 15-22'!G180,'Expenditures 15-22'!I180)+'Expenditures 15-22'!D238</f>
        <v>252613</v>
      </c>
      <c r="H21" s="817"/>
      <c r="I21" s="157"/>
    </row>
    <row r="22" spans="1:9" s="542" customFormat="1" ht="12" customHeight="1" x14ac:dyDescent="0.2">
      <c r="A22" s="824" t="s">
        <v>560</v>
      </c>
      <c r="B22" s="825"/>
      <c r="C22" s="823">
        <v>2200</v>
      </c>
      <c r="D22" s="1805"/>
      <c r="E22" s="1807">
        <f>'Expenditures 15-22'!K47-SUM('Expenditures 15-22'!G47,'Expenditures 15-22'!I47)+'Expenditures 15-22'!D243</f>
        <v>46403</v>
      </c>
      <c r="F22" s="1805"/>
      <c r="G22" s="1808">
        <f>'Expenditures 15-22'!K47-SUM('Expenditures 15-22'!G47,'Expenditures 15-22'!I47)+'Expenditures 15-22'!D243</f>
        <v>46403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422146</v>
      </c>
      <c r="F23" s="1805"/>
      <c r="G23" s="1807">
        <f>'Expenditures 15-22'!K53-SUM('Expenditures 15-22'!G53,'Expenditures 15-22'!I53)+'Expenditures 15-22'!D257+'Expenditures 15-22'!K330-SUM('Expenditures 15-22'!G330,'Expenditures 15-22'!I330)</f>
        <v>422146</v>
      </c>
      <c r="H23" s="817"/>
      <c r="I23" s="157"/>
    </row>
    <row r="24" spans="1:9" s="542" customFormat="1" ht="12" customHeight="1" x14ac:dyDescent="0.2">
      <c r="A24" s="824" t="s">
        <v>562</v>
      </c>
      <c r="B24" s="825"/>
      <c r="C24" s="823">
        <v>2400</v>
      </c>
      <c r="D24" s="1805"/>
      <c r="E24" s="1807">
        <f>'Expenditures 15-22'!K57-SUM('Expenditures 15-22'!G57,'Expenditures 15-22'!I57)+'Expenditures 15-22'!D261</f>
        <v>105330</v>
      </c>
      <c r="F24" s="1805"/>
      <c r="G24" s="1808">
        <f>'Expenditures 15-22'!K57-SUM('Expenditures 15-22'!G57,'Expenditures 15-22'!I57)+'Expenditures 15-22'!D261</f>
        <v>105330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63862</v>
      </c>
      <c r="E27" s="1807">
        <f>E8</f>
        <v>0</v>
      </c>
      <c r="F27" s="1807">
        <f>'Expenditures 15-22'!K60-SUM('Expenditures 15-22'!G60,'Expenditures 15-22'!I60)+'Expenditures 15-22'!D264-E8</f>
        <v>63862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282626</v>
      </c>
      <c r="F28" s="1809">
        <f>'Expenditures 15-22'!K61-SUM('Expenditures 15-22'!G61,'Expenditures 15-22'!I61)+'Expenditures 15-22'!K124-SUM('Expenditures 15-22'!G124,'Expenditures 15-22'!I124)+'Expenditures 15-22'!D266-E9</f>
        <v>282626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173500</v>
      </c>
      <c r="F29" s="1805"/>
      <c r="G29" s="1808">
        <f>'Expenditures 15-22'!K62-SUM('Expenditures 15-22'!G62,'Expenditures 15-22'!I62)+'Expenditures 15-22'!K125-SUM('Expenditures 15-22'!G125,'Expenditures 15-22'!I125)+'Expenditures 15-22'!K182-SUM('Expenditures 15-22'!G182,'Expenditures 15-22'!I182)+'Expenditures 15-22'!D267</f>
        <v>173500</v>
      </c>
      <c r="H29" s="815"/>
    </row>
    <row r="30" spans="1:9" ht="12" customHeight="1" x14ac:dyDescent="0.2">
      <c r="A30" s="824" t="s">
        <v>100</v>
      </c>
      <c r="B30" s="827"/>
      <c r="C30" s="823">
        <v>2560</v>
      </c>
      <c r="D30" s="1805"/>
      <c r="E30" s="1807">
        <f>'Expenditures 15-22'!K63-SUM('Expenditures 15-22'!G63,'Expenditures 15-22'!I63)+'Expenditures 15-22'!D268-E10</f>
        <v>154034</v>
      </c>
      <c r="F30" s="1805"/>
      <c r="G30" s="1807">
        <f>'Expenditures 15-22'!K63-SUM('Expenditures 15-22'!G63,'Expenditures 15-22'!I63)+'Expenditures 15-22'!D268-E10</f>
        <v>154034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28951</v>
      </c>
      <c r="F35" s="1805"/>
      <c r="G35" s="1807">
        <f>'Expenditures 15-22'!K69-SUM('Expenditures 15-22'!G69,'Expenditures 15-22'!I69)+'Expenditures 15-22'!D274</f>
        <v>28951</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3637</v>
      </c>
      <c r="F39" s="1805"/>
      <c r="G39" s="1807">
        <f>'Expenditures 15-22'!K75-SUM('Expenditures 15-22'!G75,'Expenditures 15-22'!I75)+'Expenditures 15-22'!K130-SUM('Expenditures 15-22'!G130,'Expenditures 15-22'!I130)+'Expenditures 15-22'!K185-SUM('Expenditures 15-22'!G185,'Expenditures 15-22'!I185)+'Expenditures 15-22'!D280</f>
        <v>3637</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63862</v>
      </c>
      <c r="E41" s="1809">
        <f>SUM(E19:E40)</f>
        <v>2758922</v>
      </c>
      <c r="F41" s="1809">
        <f>SUM(F19:F39)</f>
        <v>346488</v>
      </c>
      <c r="G41" s="1809">
        <f>SUM(G19:G40)</f>
        <v>2476296</v>
      </c>
    </row>
    <row r="42" spans="1:7" x14ac:dyDescent="0.2">
      <c r="A42" s="817"/>
      <c r="B42" s="157"/>
      <c r="C42" s="831"/>
      <c r="D42" s="2441" t="s">
        <v>519</v>
      </c>
      <c r="E42" s="2442"/>
      <c r="F42" s="832" t="s">
        <v>520</v>
      </c>
      <c r="G42" s="833"/>
    </row>
    <row r="43" spans="1:7" ht="12" customHeight="1" x14ac:dyDescent="0.2">
      <c r="A43" s="817"/>
      <c r="B43" s="157"/>
      <c r="C43" s="831"/>
      <c r="D43" s="1458" t="s">
        <v>470</v>
      </c>
      <c r="E43" s="1810">
        <f>D41</f>
        <v>63862</v>
      </c>
      <c r="F43" s="1458" t="s">
        <v>470</v>
      </c>
      <c r="G43" s="1810">
        <f>F41</f>
        <v>346488</v>
      </c>
    </row>
    <row r="44" spans="1:7" ht="12" customHeight="1" x14ac:dyDescent="0.2">
      <c r="A44" s="817"/>
      <c r="B44" s="157"/>
      <c r="C44" s="831"/>
      <c r="D44" s="1458" t="s">
        <v>471</v>
      </c>
      <c r="E44" s="1810">
        <f>E41</f>
        <v>2758922</v>
      </c>
      <c r="F44" s="1458" t="s">
        <v>471</v>
      </c>
      <c r="G44" s="1810">
        <f>G41</f>
        <v>2476296</v>
      </c>
    </row>
    <row r="45" spans="1:7" ht="12" customHeight="1" x14ac:dyDescent="0.2">
      <c r="A45" s="817"/>
      <c r="B45" s="157"/>
      <c r="C45" s="157"/>
      <c r="D45" s="1459" t="s">
        <v>999</v>
      </c>
      <c r="E45" s="1811">
        <f>(E43/E44)</f>
        <v>2.3147446720131994E-2</v>
      </c>
      <c r="F45" s="1459" t="s">
        <v>999</v>
      </c>
      <c r="G45" s="1811">
        <f>(G43/G44)</f>
        <v>0.13992188332897199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O97"/>
  <sheetViews>
    <sheetView showGridLines="0" zoomScale="110" zoomScaleNormal="110" workbookViewId="0">
      <selection activeCell="Q45" sqref="Q4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9" t="s">
        <v>1363</v>
      </c>
      <c r="B1" s="2449"/>
      <c r="C1" s="2449"/>
      <c r="D1" s="2449"/>
      <c r="E1" s="2449"/>
      <c r="F1" s="244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0" t="s">
        <v>1529</v>
      </c>
      <c r="B5" s="2451"/>
      <c r="C5" s="2452"/>
      <c r="D5" s="2452"/>
      <c r="E5" s="2452"/>
      <c r="F5" s="2452"/>
      <c r="G5" s="1507"/>
      <c r="L5" s="1507"/>
      <c r="M5" s="1855"/>
      <c r="N5" s="1855"/>
      <c r="O5" s="1855"/>
    </row>
    <row r="6" spans="1:15" ht="12" customHeight="1" x14ac:dyDescent="0.25">
      <c r="A6" s="1480"/>
      <c r="B6" s="1481"/>
      <c r="C6" s="2453" t="str">
        <f>COVER!A17</f>
        <v>Nauvoo-Colusa CUSD 325</v>
      </c>
      <c r="D6" s="2453"/>
      <c r="E6" s="2453"/>
      <c r="F6" s="1482"/>
      <c r="G6" s="1507"/>
      <c r="L6" s="1507"/>
      <c r="M6" s="1855"/>
      <c r="N6" s="1855"/>
      <c r="O6" s="1855"/>
    </row>
    <row r="7" spans="1:15" ht="11.25" customHeight="1" thickBot="1" x14ac:dyDescent="0.3">
      <c r="A7" s="1480"/>
      <c r="B7" s="1481"/>
      <c r="C7" s="2454">
        <f>COVER!A13</f>
        <v>26034325026</v>
      </c>
      <c r="D7" s="2454"/>
      <c r="E7" s="245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c r="F12" s="2037" t="s">
        <v>2076</v>
      </c>
      <c r="G12" s="1507"/>
      <c r="H12" s="1507">
        <f t="shared" ref="H12:H33" si="0">IF(C12="X",5,0)</f>
        <v>5</v>
      </c>
      <c r="I12" s="1507">
        <f t="shared" ref="I12:I33" si="1">IF(D12="X",5,0)</f>
        <v>5</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2037" t="s">
        <v>2075</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2051</v>
      </c>
      <c r="D25" s="1495" t="s">
        <v>2051</v>
      </c>
      <c r="E25" s="1498"/>
      <c r="F25" s="2037" t="s">
        <v>2079</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2037" t="s">
        <v>2074</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203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55"/>
      <c r="D35" s="2455"/>
      <c r="E35" s="2455"/>
      <c r="F35" s="2456"/>
    </row>
    <row r="36" spans="1:15" ht="12" customHeight="1" x14ac:dyDescent="0.2">
      <c r="A36" s="2446"/>
      <c r="B36" s="2447"/>
      <c r="C36" s="2447"/>
      <c r="D36" s="2447"/>
      <c r="E36" s="2447"/>
      <c r="F36" s="2448"/>
    </row>
    <row r="37" spans="1:15" ht="12" customHeight="1" x14ac:dyDescent="0.2">
      <c r="A37" s="2446"/>
      <c r="B37" s="2447"/>
      <c r="C37" s="2447"/>
      <c r="D37" s="2447"/>
      <c r="E37" s="2447"/>
      <c r="F37" s="2448"/>
    </row>
    <row r="38" spans="1:15" ht="12" customHeight="1" x14ac:dyDescent="0.2">
      <c r="A38" s="2460"/>
      <c r="B38" s="2461"/>
      <c r="C38" s="2461"/>
      <c r="D38" s="2461"/>
      <c r="E38" s="2461"/>
      <c r="F38" s="2462"/>
    </row>
    <row r="39" spans="1:15" ht="4.5" hidden="1" customHeight="1" x14ac:dyDescent="0.2">
      <c r="A39" s="1502"/>
      <c r="B39" s="1502"/>
      <c r="C39" s="1502"/>
      <c r="D39" s="1502"/>
      <c r="E39" s="1502"/>
      <c r="F39" s="1502"/>
    </row>
    <row r="40" spans="1:15" s="1499" customFormat="1" ht="12" customHeight="1" x14ac:dyDescent="0.25">
      <c r="A40" s="1503" t="s">
        <v>1375</v>
      </c>
      <c r="B40" s="1504"/>
      <c r="C40" s="2463"/>
      <c r="D40" s="2463"/>
      <c r="E40" s="2463"/>
      <c r="F40" s="2464"/>
      <c r="H40" s="1508"/>
      <c r="I40" s="1508"/>
      <c r="J40" s="1508"/>
      <c r="K40" s="1508"/>
    </row>
    <row r="41" spans="1:15" s="1499" customFormat="1" ht="12" customHeight="1" x14ac:dyDescent="0.25">
      <c r="A41" s="2465"/>
      <c r="B41" s="2466"/>
      <c r="C41" s="2466"/>
      <c r="D41" s="2466"/>
      <c r="E41" s="2466"/>
      <c r="F41" s="2467"/>
      <c r="H41" s="1508"/>
      <c r="I41" s="1508"/>
      <c r="J41" s="1508"/>
      <c r="K41" s="1508"/>
    </row>
    <row r="42" spans="1:15" s="1499" customFormat="1" ht="12" customHeight="1" x14ac:dyDescent="0.25">
      <c r="A42" s="2465"/>
      <c r="B42" s="2466"/>
      <c r="C42" s="2466"/>
      <c r="D42" s="2466"/>
      <c r="E42" s="2466"/>
      <c r="F42" s="2467"/>
      <c r="H42" s="1508"/>
      <c r="I42" s="1508"/>
      <c r="J42" s="1508"/>
      <c r="K42" s="1508"/>
    </row>
    <row r="43" spans="1:15" s="1499" customFormat="1" ht="15" x14ac:dyDescent="0.25">
      <c r="A43" s="2457"/>
      <c r="B43" s="2458"/>
      <c r="C43" s="2458"/>
      <c r="D43" s="2458"/>
      <c r="E43" s="2458"/>
      <c r="F43" s="2459"/>
      <c r="H43" s="1508"/>
      <c r="I43" s="1508"/>
      <c r="J43" s="1508"/>
      <c r="K43" s="1508"/>
    </row>
    <row r="44" spans="1:15" s="1499" customFormat="1" ht="12" hidden="1" customHeight="1" x14ac:dyDescent="0.25">
      <c r="A44" s="2457"/>
      <c r="B44" s="2458"/>
      <c r="C44" s="2458"/>
      <c r="D44" s="2458"/>
      <c r="E44" s="2458"/>
      <c r="F44" s="245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Nauvoo-Colusa CUSD 325</v>
      </c>
    </row>
    <row r="65" spans="2:2" x14ac:dyDescent="0.2">
      <c r="B65" s="849">
        <f>COVER!A13</f>
        <v>26034325026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Q45" sqref="Q4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D18" sqref="D1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9</xdr:row>
                <xdr:rowOff>0</xdr:rowOff>
              </from>
              <to>
                <xdr:col>4</xdr:col>
                <xdr:colOff>304800</xdr:colOff>
                <xdr:row>13</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3</xdr:col>
                <xdr:colOff>0</xdr:colOff>
                <xdr:row>14</xdr:row>
                <xdr:rowOff>0</xdr:rowOff>
              </from>
              <to>
                <xdr:col>4</xdr:col>
                <xdr:colOff>304800</xdr:colOff>
                <xdr:row>15</xdr:row>
                <xdr:rowOff>523875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3115436</v>
      </c>
      <c r="C8" s="1813">
        <f>'Acct Summary 7-8'!D8</f>
        <v>345696</v>
      </c>
      <c r="D8" s="1813">
        <f>'Acct Summary 7-8'!F8</f>
        <v>354189</v>
      </c>
      <c r="E8" s="1813">
        <f>'Acct Summary 7-8'!I8</f>
        <v>29337</v>
      </c>
      <c r="F8" s="1813">
        <f>SUM(B8:E8)</f>
        <v>3844658</v>
      </c>
    </row>
    <row r="9" spans="1:8" s="858" customFormat="1" ht="14.25" customHeight="1" thickBot="1" x14ac:dyDescent="0.25">
      <c r="A9" s="857" t="s">
        <v>1353</v>
      </c>
      <c r="B9" s="1814">
        <f>'Acct Summary 7-8'!C17</f>
        <v>2643531</v>
      </c>
      <c r="C9" s="1814">
        <f>'Acct Summary 7-8'!D17</f>
        <v>563447</v>
      </c>
      <c r="D9" s="1814">
        <f>'Acct Summary 7-8'!F17</f>
        <v>274626</v>
      </c>
      <c r="E9" s="1813"/>
      <c r="F9" s="1813">
        <f>SUM(B9:E9)</f>
        <v>3481604</v>
      </c>
    </row>
    <row r="10" spans="1:8" s="858" customFormat="1" ht="14.25" thickTop="1" thickBot="1" x14ac:dyDescent="0.25">
      <c r="A10" s="859" t="s">
        <v>1354</v>
      </c>
      <c r="B10" s="1815">
        <f>(B8-B9)</f>
        <v>471905</v>
      </c>
      <c r="C10" s="1815">
        <f>(C8-C9)</f>
        <v>-217751</v>
      </c>
      <c r="D10" s="1815">
        <f>(D8-D9)</f>
        <v>79563</v>
      </c>
      <c r="E10" s="1814">
        <f>(E8-E9)</f>
        <v>29337</v>
      </c>
      <c r="F10" s="1816">
        <f>SUM(F8-F9)</f>
        <v>363054</v>
      </c>
    </row>
    <row r="11" spans="1:8" s="858" customFormat="1" ht="14.25" thickTop="1" thickBot="1" x14ac:dyDescent="0.25">
      <c r="A11" s="860" t="s">
        <v>1903</v>
      </c>
      <c r="B11" s="1817">
        <f>'Acct Summary 7-8'!C81</f>
        <v>1556252</v>
      </c>
      <c r="C11" s="1817">
        <f>'Acct Summary 7-8'!D81</f>
        <v>715434</v>
      </c>
      <c r="D11" s="1817">
        <f>'Acct Summary 7-8'!F81</f>
        <v>483998</v>
      </c>
      <c r="E11" s="1817">
        <f>'Acct Summary 7-8'!I81</f>
        <v>0</v>
      </c>
      <c r="F11" s="1818">
        <f>SUM(B11:E11)</f>
        <v>2755684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 5-6'!C4&lt;-0.49, "ERROR!","OK")</f>
        <v>OK</v>
      </c>
    </row>
    <row r="35" spans="1:12" x14ac:dyDescent="0.2">
      <c r="A35" s="896"/>
      <c r="B35" s="919"/>
      <c r="C35" s="897" t="s">
        <v>303</v>
      </c>
      <c r="D35" s="882" t="str">
        <f>IF('Assets 5-6'!D4&lt;-0.49, "ERROR!","OK")</f>
        <v>OK</v>
      </c>
      <c r="L35" s="951"/>
    </row>
    <row r="36" spans="1:12" x14ac:dyDescent="0.2">
      <c r="A36" s="896"/>
      <c r="B36" s="919"/>
      <c r="C36" s="897" t="s">
        <v>776</v>
      </c>
      <c r="D36" s="882" t="str">
        <f>IF('Assets 5-6'!E4&lt;-0.49, "ERROR!","OK")</f>
        <v>OK</v>
      </c>
    </row>
    <row r="37" spans="1:12" x14ac:dyDescent="0.2">
      <c r="A37" s="896"/>
      <c r="B37" s="919"/>
      <c r="C37" s="897" t="s">
        <v>304</v>
      </c>
      <c r="D37" s="882" t="str">
        <f>IF('Assets 5-6'!F4&lt;-0.49, "ERROR!","OK")</f>
        <v>OK</v>
      </c>
    </row>
    <row r="38" spans="1:12" x14ac:dyDescent="0.2">
      <c r="A38" s="896"/>
      <c r="B38" s="919"/>
      <c r="C38" s="897" t="s">
        <v>305</v>
      </c>
      <c r="D38" s="882" t="str">
        <f>IF('Assets 5-6'!G4&lt;-0.49, "ERROR!","OK")</f>
        <v>OK</v>
      </c>
    </row>
    <row r="39" spans="1:12" x14ac:dyDescent="0.2">
      <c r="A39" s="896"/>
      <c r="B39" s="919"/>
      <c r="C39" s="897" t="s">
        <v>777</v>
      </c>
      <c r="D39" s="882" t="str">
        <f>IF('Assets 5-6'!H4&lt;-0.49, "ERROR!","OK")</f>
        <v>OK</v>
      </c>
    </row>
    <row r="40" spans="1:12" x14ac:dyDescent="0.2">
      <c r="A40" s="896"/>
      <c r="B40" s="919"/>
      <c r="C40" s="897" t="s">
        <v>306</v>
      </c>
      <c r="D40" s="882" t="str">
        <f>IF('Assets 5-6'!I4&lt;-0.49, "ERROR!","OK")</f>
        <v>OK</v>
      </c>
    </row>
    <row r="41" spans="1:12" x14ac:dyDescent="0.2">
      <c r="A41" s="896"/>
      <c r="B41" s="919"/>
      <c r="C41" s="897" t="s">
        <v>778</v>
      </c>
      <c r="D41" s="882" t="str">
        <f>IF('Assets 5-6'!J4&lt;-0.49, "ERROR!","OK")</f>
        <v>OK</v>
      </c>
    </row>
    <row r="42" spans="1:12" x14ac:dyDescent="0.2">
      <c r="A42" s="896"/>
      <c r="B42" s="919"/>
      <c r="C42" s="897" t="s">
        <v>307</v>
      </c>
      <c r="D42" s="882" t="str">
        <f>IF('Assets 5-6'!K4&lt;-0.49, "ERROR!","OK")</f>
        <v>OK</v>
      </c>
    </row>
    <row r="43" spans="1:12" x14ac:dyDescent="0.2">
      <c r="A43" s="898"/>
      <c r="B43" s="899">
        <f>B33+1</f>
        <v>5</v>
      </c>
      <c r="C43" s="2511" t="s">
        <v>533</v>
      </c>
      <c r="D43" s="2512"/>
    </row>
    <row r="44" spans="1:12" x14ac:dyDescent="0.2">
      <c r="A44" s="898"/>
      <c r="B44" s="900"/>
      <c r="C44" s="901" t="s">
        <v>1324</v>
      </c>
      <c r="D44" s="902" t="str">
        <f>IF(SUM('Assets 5-6'!C13)&lt;&gt;SUM('Assets 5-6'!C41),"ERROR!","OK")</f>
        <v>OK</v>
      </c>
    </row>
    <row r="45" spans="1:12" x14ac:dyDescent="0.2">
      <c r="A45" s="898"/>
      <c r="B45" s="900"/>
      <c r="C45" s="901" t="s">
        <v>1325</v>
      </c>
      <c r="D45" s="902" t="str">
        <f>IF(SUM('Assets 5-6'!D13)&lt;&gt;SUM('Assets 5-6'!D41),"ERROR!","OK")</f>
        <v>OK</v>
      </c>
    </row>
    <row r="46" spans="1:12" x14ac:dyDescent="0.2">
      <c r="A46" s="898"/>
      <c r="B46" s="900"/>
      <c r="C46" s="901" t="s">
        <v>1326</v>
      </c>
      <c r="D46" s="902" t="str">
        <f>IF(SUM('Assets 5-6'!E13)&lt;&gt;SUM('Assets 5-6'!E41),"ERROR!","OK")</f>
        <v>OK</v>
      </c>
    </row>
    <row r="47" spans="1:12" x14ac:dyDescent="0.2">
      <c r="A47" s="898"/>
      <c r="B47" s="900"/>
      <c r="C47" s="901" t="s">
        <v>1327</v>
      </c>
      <c r="D47" s="902" t="str">
        <f>IF(SUM('Assets 5-6'!F13)&lt;&gt;SUM('Assets 5-6'!F41),"ERROR!","OK")</f>
        <v>OK</v>
      </c>
    </row>
    <row r="48" spans="1:12" x14ac:dyDescent="0.2">
      <c r="A48" s="898"/>
      <c r="B48" s="900"/>
      <c r="C48" s="901" t="s">
        <v>1328</v>
      </c>
      <c r="D48" s="902" t="str">
        <f>IF(SUM('Assets 5-6'!G13)&lt;&gt;SUM('Assets 5-6'!G41),"ERROR!","OK")</f>
        <v>OK</v>
      </c>
    </row>
    <row r="49" spans="1:4" x14ac:dyDescent="0.2">
      <c r="A49" s="898"/>
      <c r="B49" s="900"/>
      <c r="C49" s="901" t="s">
        <v>1329</v>
      </c>
      <c r="D49" s="902" t="str">
        <f>IF(SUM('Assets 5-6'!H13)&lt;&gt;SUM('Assets 5-6'!H41),"ERROR!","OK")</f>
        <v>OK</v>
      </c>
    </row>
    <row r="50" spans="1:4" x14ac:dyDescent="0.2">
      <c r="A50" s="898"/>
      <c r="B50" s="900"/>
      <c r="C50" s="901" t="s">
        <v>1330</v>
      </c>
      <c r="D50" s="902" t="str">
        <f>IF(SUM('Assets 5-6'!I13)&lt;&gt;SUM('Assets 5-6'!I41),"ERROR!","OK")</f>
        <v>OK</v>
      </c>
    </row>
    <row r="51" spans="1:4" x14ac:dyDescent="0.2">
      <c r="A51" s="898"/>
      <c r="B51" s="900"/>
      <c r="C51" s="901" t="s">
        <v>1331</v>
      </c>
      <c r="D51" s="902" t="str">
        <f>IF(SUM('Assets 5-6'!J13)&lt;&gt;SUM('Assets 5-6'!J41),"ERROR!","OK")</f>
        <v>OK</v>
      </c>
    </row>
    <row r="52" spans="1:4" x14ac:dyDescent="0.2">
      <c r="A52" s="898"/>
      <c r="B52" s="900"/>
      <c r="C52" s="901" t="s">
        <v>1332</v>
      </c>
      <c r="D52" s="902" t="str">
        <f>IF(SUM('Assets 5-6'!K13)&lt;&gt;SUM('Assets 5-6'!K41),"ERROR!","OK")</f>
        <v>OK</v>
      </c>
    </row>
    <row r="53" spans="1:4" x14ac:dyDescent="0.2">
      <c r="A53" s="898"/>
      <c r="B53" s="900"/>
      <c r="C53" s="901" t="s">
        <v>1333</v>
      </c>
      <c r="D53" s="902" t="str">
        <f>IF(SUM('Assets 5-6'!L13)&lt;&gt;('Assets 5-6'!L41),"ERROR!","OK")</f>
        <v>OK</v>
      </c>
    </row>
    <row r="54" spans="1:4" x14ac:dyDescent="0.2">
      <c r="A54" s="898"/>
      <c r="B54" s="900"/>
      <c r="C54" s="901" t="s">
        <v>1334</v>
      </c>
      <c r="D54" s="902" t="str">
        <f>IF(SUM('Assets 5-6'!M23)&lt;&gt;('Assets 5-6'!M41),"ERROR!","OK")</f>
        <v>OK</v>
      </c>
    </row>
    <row r="55" spans="1:4" x14ac:dyDescent="0.2">
      <c r="A55" s="898"/>
      <c r="B55" s="900"/>
      <c r="C55" s="901" t="s">
        <v>1335</v>
      </c>
      <c r="D55" s="902" t="str">
        <f>IF(SUM('Assets 5-6'!N23)&lt;&gt;('Assets 5-6'!N41),"ERROR!","OK")</f>
        <v>OK</v>
      </c>
    </row>
    <row r="56" spans="1:4" x14ac:dyDescent="0.2">
      <c r="A56" s="879"/>
      <c r="B56" s="899">
        <f>B43+1</f>
        <v>6</v>
      </c>
      <c r="C56" s="2503" t="s">
        <v>779</v>
      </c>
      <c r="D56" s="2504"/>
    </row>
    <row r="57" spans="1:4" s="895" customFormat="1" x14ac:dyDescent="0.2">
      <c r="A57" s="879"/>
      <c r="B57" s="889"/>
      <c r="C57" s="897" t="s">
        <v>1336</v>
      </c>
      <c r="D57" s="903" t="str">
        <f>IF('Assets 5-6'!C38+'Assets 5-6'!C39='Acct Summary 7-8'!C81,"OK","ERROR!")</f>
        <v>OK</v>
      </c>
    </row>
    <row r="58" spans="1:4" x14ac:dyDescent="0.2">
      <c r="A58" s="879"/>
      <c r="B58" s="889"/>
      <c r="C58" s="897" t="s">
        <v>1337</v>
      </c>
      <c r="D58" s="903" t="str">
        <f>IF((('Assets 5-6'!D38+'Assets 5-6'!D39) ='Acct Summary 7-8'!D81), "OK", "ERROR!" )</f>
        <v>OK</v>
      </c>
    </row>
    <row r="59" spans="1:4" s="895" customFormat="1" x14ac:dyDescent="0.2">
      <c r="A59" s="879"/>
      <c r="B59" s="889"/>
      <c r="C59" s="897" t="s">
        <v>1338</v>
      </c>
      <c r="D59" s="903" t="str">
        <f>IF((('Assets 5-6'!E38 + 'Assets 5-6'!E39) ='Acct Summary 7-8'!E81), "OK", "ERROR!" )</f>
        <v>OK</v>
      </c>
    </row>
    <row r="60" spans="1:4" x14ac:dyDescent="0.2">
      <c r="A60" s="879"/>
      <c r="B60" s="889"/>
      <c r="C60" s="897" t="s">
        <v>1339</v>
      </c>
      <c r="D60" s="903" t="str">
        <f>IF((('Assets 5-6'!F38 + 'Assets 5-6'!F39) ='Acct Summary 7-8'!F81), "OK", "ERROR!" )</f>
        <v>OK</v>
      </c>
    </row>
    <row r="61" spans="1:4" ht="12.75" customHeight="1" x14ac:dyDescent="0.2">
      <c r="A61" s="879"/>
      <c r="B61" s="889"/>
      <c r="C61" s="897" t="s">
        <v>1347</v>
      </c>
      <c r="D61" s="903" t="str">
        <f>IF((('Assets 5-6'!G38 + 'Assets 5-6'!G39) ='Acct Summary 7-8'!G81), "OK", "ERROR!" )</f>
        <v>OK</v>
      </c>
    </row>
    <row r="62" spans="1:4" x14ac:dyDescent="0.2">
      <c r="A62" s="879"/>
      <c r="B62" s="889"/>
      <c r="C62" s="897" t="s">
        <v>1340</v>
      </c>
      <c r="D62" s="903" t="str">
        <f>IF((('Assets 5-6'!H38 + 'Assets 5-6'!H39) ='Acct Summary 7-8'!H81), "OK", "ERROR!" )</f>
        <v>OK</v>
      </c>
    </row>
    <row r="63" spans="1:4" ht="12.75" customHeight="1" x14ac:dyDescent="0.2">
      <c r="A63" s="879"/>
      <c r="B63" s="889"/>
      <c r="C63" s="897" t="s">
        <v>1341</v>
      </c>
      <c r="D63" s="903" t="str">
        <f>IF((('Assets 5-6'!I38 + 'Assets 5-6'!I39) ='Acct Summary 7-8'!I81), "OK", "ERROR!" )</f>
        <v>OK</v>
      </c>
    </row>
    <row r="64" spans="1:4" x14ac:dyDescent="0.2">
      <c r="A64" s="879"/>
      <c r="B64" s="889"/>
      <c r="C64" s="897" t="s">
        <v>1342</v>
      </c>
      <c r="D64" s="903" t="str">
        <f>IF((('Assets 5-6'!J38 + 'Assets 5-6'!J39) ='Acct Summary 7-8'!J81), "OK", "ERROR!" )</f>
        <v>OK</v>
      </c>
    </row>
    <row r="65" spans="1:4" x14ac:dyDescent="0.2">
      <c r="A65" s="896"/>
      <c r="B65" s="889"/>
      <c r="C65" s="897" t="s">
        <v>1348</v>
      </c>
      <c r="D65" s="903" t="str">
        <f>IF((('Assets 5-6'!K38 + 'Assets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 5-6'!C38:H38)&gt;=SUM('Rest Tax Levies-Tort Im 25'!G25:K25),"OK","ERROR")</f>
        <v>OK</v>
      </c>
    </row>
    <row r="76" spans="1:4" x14ac:dyDescent="0.2">
      <c r="A76" s="879"/>
      <c r="B76" s="889"/>
      <c r="C76" s="897" t="s">
        <v>1401</v>
      </c>
      <c r="D76" s="903" t="str">
        <f>IF(SUM('Assets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26034325026</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Nauvoo-Colusa CUSD 325</v>
      </c>
      <c r="E4" s="1828">
        <v>44119</v>
      </c>
      <c r="F4" s="1829">
        <v>44151</v>
      </c>
      <c r="G4" s="1899">
        <v>101000600</v>
      </c>
    </row>
    <row r="5" spans="1:7" ht="15" x14ac:dyDescent="0.25">
      <c r="A5" t="s">
        <v>699</v>
      </c>
      <c r="B5" s="135" t="str">
        <f>COVER!A38</f>
        <v>Kent Young</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John Meixner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066-004856</v>
      </c>
      <c r="G15" s="1899">
        <v>402100400</v>
      </c>
    </row>
    <row r="16" spans="1:7" ht="15" x14ac:dyDescent="0.25">
      <c r="A16" t="s">
        <v>419</v>
      </c>
      <c r="B16" s="135" t="str">
        <f>COVER!T13</f>
        <v>Dennis G Koch &amp; Associates LLC</v>
      </c>
      <c r="G16" s="1899">
        <v>402100600</v>
      </c>
    </row>
    <row r="17" spans="1:7" ht="15" x14ac:dyDescent="0.25">
      <c r="A17" t="s">
        <v>878</v>
      </c>
      <c r="B17" s="135" t="str">
        <f>COVER!T15</f>
        <v>Dennis G Koch</v>
      </c>
      <c r="G17" s="1899">
        <v>402100800</v>
      </c>
    </row>
    <row r="18" spans="1:7" ht="15" x14ac:dyDescent="0.25">
      <c r="A18" t="s">
        <v>1140</v>
      </c>
      <c r="B18" s="135" t="str">
        <f>COVER!T17</f>
        <v>1706 N 16th St</v>
      </c>
      <c r="G18" s="1899">
        <v>102200300</v>
      </c>
    </row>
    <row r="19" spans="1:7" ht="15" x14ac:dyDescent="0.25">
      <c r="A19" t="s">
        <v>880</v>
      </c>
      <c r="B19" s="135" t="str">
        <f>COVER!T25</f>
        <v>dgkoch@dgkochcpa.com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f>COVER!Z19</f>
        <v>62301</v>
      </c>
      <c r="G22" s="1899">
        <v>102300300</v>
      </c>
    </row>
    <row r="23" spans="1:7" ht="15" x14ac:dyDescent="0.25">
      <c r="A23" t="s">
        <v>1142</v>
      </c>
      <c r="B23" s="135" t="str">
        <f>COVER!T21</f>
        <v>217-224-8484</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 5-6'!C10</f>
        <v>0</v>
      </c>
      <c r="D72" s="2" t="str">
        <f t="shared" si="0"/>
        <v>Error?</v>
      </c>
      <c r="G72" s="1899">
        <v>102560600</v>
      </c>
    </row>
    <row r="73" spans="1:7" ht="15" x14ac:dyDescent="0.25">
      <c r="A73" s="5">
        <v>12</v>
      </c>
      <c r="B73" s="1832">
        <f>'Assets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 5-6'!C12</f>
        <v>0</v>
      </c>
      <c r="D76" s="2" t="str">
        <f t="shared" si="0"/>
        <v>Error?</v>
      </c>
      <c r="G76" s="1899">
        <v>102570600</v>
      </c>
    </row>
    <row r="77" spans="1:7" ht="15" x14ac:dyDescent="0.25">
      <c r="A77" s="5">
        <v>16</v>
      </c>
      <c r="B77" s="1832">
        <f>'Assets 5-6'!C13</f>
        <v>1556252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 5-6'!C34</f>
        <v>0</v>
      </c>
      <c r="C91" s="2" t="s">
        <v>569</v>
      </c>
      <c r="D91" s="2" t="str">
        <f t="shared" si="0"/>
        <v>Error?</v>
      </c>
      <c r="G91" s="1899">
        <v>102640400</v>
      </c>
    </row>
    <row r="92" spans="1:7" ht="15" x14ac:dyDescent="0.25">
      <c r="A92" s="5">
        <v>31</v>
      </c>
      <c r="B92" s="1832">
        <f>'Assets 5-6'!C39</f>
        <v>1556252</v>
      </c>
      <c r="D92" s="2" t="str">
        <f t="shared" si="0"/>
        <v>Error?</v>
      </c>
      <c r="G92" s="1899">
        <v>102640600</v>
      </c>
    </row>
    <row r="93" spans="1:7" ht="15" x14ac:dyDescent="0.25">
      <c r="A93" s="5">
        <v>32</v>
      </c>
      <c r="B93" s="1832">
        <f>'Assets 5-6'!C41</f>
        <v>1556252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 5-6'!D10</f>
        <v>0</v>
      </c>
      <c r="D104" s="2" t="str">
        <f t="shared" si="0"/>
        <v>Error?</v>
      </c>
      <c r="G104" s="1899">
        <v>202900600</v>
      </c>
    </row>
    <row r="105" spans="1:7" ht="15" x14ac:dyDescent="0.25">
      <c r="A105" s="5">
        <v>44</v>
      </c>
      <c r="B105" s="1832">
        <f>'Assets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 5-6'!D12</f>
        <v>0</v>
      </c>
      <c r="D108" s="2" t="str">
        <f t="shared" si="0"/>
        <v>Error?</v>
      </c>
      <c r="G108" s="1899">
        <v>402900600</v>
      </c>
    </row>
    <row r="109" spans="1:7" ht="15" x14ac:dyDescent="0.25">
      <c r="A109" s="5">
        <v>48</v>
      </c>
      <c r="B109" s="1832">
        <f>'Assets 5-6'!D13</f>
        <v>715434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 5-6'!D34</f>
        <v>0</v>
      </c>
      <c r="C122" s="2" t="s">
        <v>569</v>
      </c>
      <c r="D122" s="2" t="str">
        <f t="shared" si="0"/>
        <v>Error?</v>
      </c>
      <c r="G122" s="1899">
        <v>203000300</v>
      </c>
    </row>
    <row r="123" spans="1:7" ht="15" x14ac:dyDescent="0.25">
      <c r="A123" s="5">
        <v>62</v>
      </c>
      <c r="B123" s="1832">
        <f>'Assets 5-6'!D39</f>
        <v>715434</v>
      </c>
      <c r="D123" s="2" t="str">
        <f t="shared" si="0"/>
        <v>Error?</v>
      </c>
      <c r="G123" s="1899">
        <v>203000400</v>
      </c>
    </row>
    <row r="124" spans="1:7" ht="15" x14ac:dyDescent="0.25">
      <c r="A124" s="5">
        <v>63</v>
      </c>
      <c r="B124" s="1832">
        <f>'Assets 5-6'!D41</f>
        <v>715434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 5-6'!E5</f>
        <v>0</v>
      </c>
      <c r="D129" s="2" t="str">
        <f t="shared" si="1"/>
        <v>Error?</v>
      </c>
      <c r="G129" s="1899">
        <v>403000800</v>
      </c>
    </row>
    <row r="130" spans="1:7" x14ac:dyDescent="0.2">
      <c r="A130" s="5">
        <v>69</v>
      </c>
      <c r="B130" s="1832">
        <f>'Assets 5-6'!E12</f>
        <v>0</v>
      </c>
      <c r="D130" s="2" t="str">
        <f t="shared" si="1"/>
        <v>Error?</v>
      </c>
    </row>
    <row r="131" spans="1:7" x14ac:dyDescent="0.2">
      <c r="A131" s="5">
        <v>70</v>
      </c>
      <c r="B131" s="1832">
        <f>'Assets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 5-6'!E34</f>
        <v>0</v>
      </c>
      <c r="C139" s="2" t="s">
        <v>569</v>
      </c>
      <c r="D139" s="2" t="str">
        <f t="shared" si="1"/>
        <v>Error?</v>
      </c>
    </row>
    <row r="140" spans="1:7" x14ac:dyDescent="0.2">
      <c r="A140" s="5">
        <v>79</v>
      </c>
      <c r="B140" s="1832">
        <f>'Assets 5-6'!E39</f>
        <v>0</v>
      </c>
      <c r="D140" s="2" t="str">
        <f t="shared" si="1"/>
        <v>Error?</v>
      </c>
    </row>
    <row r="141" spans="1:7" x14ac:dyDescent="0.2">
      <c r="A141" s="5">
        <v>80</v>
      </c>
      <c r="B141" s="1832">
        <f>'Assets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 5-6'!F10</f>
        <v>0</v>
      </c>
      <c r="D152" s="2" t="str">
        <f t="shared" si="1"/>
        <v>Error?</v>
      </c>
    </row>
    <row r="153" spans="1:4" x14ac:dyDescent="0.2">
      <c r="A153" s="5">
        <v>92</v>
      </c>
      <c r="B153" s="1832">
        <f>'Assets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 5-6'!F12</f>
        <v>0</v>
      </c>
      <c r="D156" s="2" t="str">
        <f t="shared" si="1"/>
        <v>Error?</v>
      </c>
    </row>
    <row r="157" spans="1:4" x14ac:dyDescent="0.2">
      <c r="A157" s="5">
        <v>96</v>
      </c>
      <c r="B157" s="1832">
        <f>'Assets 5-6'!F13</f>
        <v>483998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 5-6'!F31</f>
        <v>0</v>
      </c>
      <c r="D164" s="2" t="str">
        <f t="shared" si="1"/>
        <v>Error?</v>
      </c>
    </row>
    <row r="165" spans="1:4" x14ac:dyDescent="0.2">
      <c r="A165" s="10">
        <v>104</v>
      </c>
      <c r="B165" s="1832"/>
      <c r="D165" s="2" t="str">
        <f t="shared" si="1"/>
        <v>OK</v>
      </c>
    </row>
    <row r="166" spans="1:4" x14ac:dyDescent="0.2">
      <c r="A166" s="5">
        <v>105</v>
      </c>
      <c r="B166" s="1832">
        <f>'Assets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 5-6'!F34</f>
        <v>0</v>
      </c>
      <c r="C169" s="2" t="s">
        <v>569</v>
      </c>
      <c r="D169" s="2" t="str">
        <f t="shared" si="1"/>
        <v>Error?</v>
      </c>
    </row>
    <row r="170" spans="1:4" x14ac:dyDescent="0.2">
      <c r="A170" s="5">
        <v>109</v>
      </c>
      <c r="B170" s="1832">
        <f>'Assets 5-6'!F39</f>
        <v>483998</v>
      </c>
      <c r="D170" s="2" t="str">
        <f t="shared" si="1"/>
        <v>Error?</v>
      </c>
    </row>
    <row r="171" spans="1:4" x14ac:dyDescent="0.2">
      <c r="A171" s="5">
        <v>110</v>
      </c>
      <c r="B171" s="1832">
        <f>'Assets 5-6'!F41</f>
        <v>483998</v>
      </c>
      <c r="C171" s="2" t="s">
        <v>569</v>
      </c>
      <c r="D171" s="2" t="str">
        <f t="shared" si="1"/>
        <v>Error?</v>
      </c>
    </row>
    <row r="172" spans="1:4" x14ac:dyDescent="0.2">
      <c r="A172" s="10">
        <v>111</v>
      </c>
      <c r="B172" s="1832"/>
      <c r="D172" s="2" t="str">
        <f t="shared" si="1"/>
        <v>OK</v>
      </c>
    </row>
    <row r="173" spans="1:4" x14ac:dyDescent="0.2">
      <c r="A173" s="5">
        <v>112</v>
      </c>
      <c r="B173" s="1832">
        <f>'Assets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 5-6'!G5</f>
        <v>0</v>
      </c>
      <c r="D177" s="2" t="str">
        <f t="shared" si="1"/>
        <v>Error?</v>
      </c>
    </row>
    <row r="178" spans="1:4" x14ac:dyDescent="0.2">
      <c r="A178" s="10">
        <v>117</v>
      </c>
      <c r="B178" s="1832"/>
      <c r="D178" s="2" t="str">
        <f t="shared" si="1"/>
        <v>OK</v>
      </c>
    </row>
    <row r="179" spans="1:4" x14ac:dyDescent="0.2">
      <c r="A179" s="5">
        <v>118</v>
      </c>
      <c r="B179" s="1832">
        <f>'Assets 5-6'!G12</f>
        <v>0</v>
      </c>
      <c r="D179" s="2" t="str">
        <f t="shared" si="1"/>
        <v>Error?</v>
      </c>
    </row>
    <row r="180" spans="1:4" x14ac:dyDescent="0.2">
      <c r="A180" s="5">
        <v>119</v>
      </c>
      <c r="B180" s="1832">
        <f>'Assets 5-6'!G13</f>
        <v>352194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 5-6'!G31</f>
        <v>0</v>
      </c>
      <c r="D184" s="2" t="str">
        <f t="shared" si="1"/>
        <v>Error?</v>
      </c>
    </row>
    <row r="185" spans="1:4" x14ac:dyDescent="0.2">
      <c r="A185" s="5">
        <v>124</v>
      </c>
      <c r="B185" s="1832">
        <f>'Assets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 5-6'!G34</f>
        <v>0</v>
      </c>
      <c r="C188" s="2" t="s">
        <v>569</v>
      </c>
      <c r="D188" s="2" t="str">
        <f t="shared" si="1"/>
        <v>Error?</v>
      </c>
    </row>
    <row r="189" spans="1:4" x14ac:dyDescent="0.2">
      <c r="A189" s="5">
        <v>128</v>
      </c>
      <c r="B189" s="1832">
        <f>'Assets 5-6'!G39</f>
        <v>352194</v>
      </c>
      <c r="D189" s="2" t="str">
        <f t="shared" si="1"/>
        <v>Error?</v>
      </c>
    </row>
    <row r="190" spans="1:4" x14ac:dyDescent="0.2">
      <c r="A190" s="5">
        <v>129</v>
      </c>
      <c r="B190" s="1832">
        <f>'Assets 5-6'!G41</f>
        <v>352194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 5-6'!H10</f>
        <v>0</v>
      </c>
      <c r="D198" s="2" t="str">
        <f t="shared" si="2"/>
        <v>Error?</v>
      </c>
    </row>
    <row r="199" spans="1:4" x14ac:dyDescent="0.2">
      <c r="A199" s="5">
        <v>138</v>
      </c>
      <c r="B199" s="1832">
        <f>'Assets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 5-6'!H12</f>
        <v>0</v>
      </c>
      <c r="D202" s="2" t="str">
        <f t="shared" si="2"/>
        <v>Error?</v>
      </c>
    </row>
    <row r="203" spans="1:4" x14ac:dyDescent="0.2">
      <c r="A203" s="5">
        <v>142</v>
      </c>
      <c r="B203" s="1832">
        <f>'Assets 5-6'!H13</f>
        <v>187663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 5-6'!H31</f>
        <v>0</v>
      </c>
      <c r="D206" s="2" t="str">
        <f t="shared" si="2"/>
        <v>Error?</v>
      </c>
    </row>
    <row r="207" spans="1:4" x14ac:dyDescent="0.2">
      <c r="A207" s="10">
        <v>146</v>
      </c>
      <c r="B207" s="1832"/>
      <c r="D207" s="2" t="str">
        <f t="shared" si="2"/>
        <v>OK</v>
      </c>
    </row>
    <row r="208" spans="1:4" x14ac:dyDescent="0.2">
      <c r="A208" s="5">
        <v>147</v>
      </c>
      <c r="B208" s="1832">
        <f>'Assets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 5-6'!H34</f>
        <v>0</v>
      </c>
      <c r="C211" s="2" t="s">
        <v>569</v>
      </c>
      <c r="D211" s="2" t="str">
        <f t="shared" si="2"/>
        <v>Error?</v>
      </c>
    </row>
    <row r="212" spans="1:4" x14ac:dyDescent="0.2">
      <c r="A212" s="5">
        <v>151</v>
      </c>
      <c r="B212" s="1832">
        <f>'Assets 5-6'!H39</f>
        <v>187663</v>
      </c>
      <c r="D212" s="2" t="str">
        <f t="shared" si="2"/>
        <v>Error?</v>
      </c>
    </row>
    <row r="213" spans="1:4" x14ac:dyDescent="0.2">
      <c r="A213" s="12">
        <v>152</v>
      </c>
      <c r="B213" s="1832">
        <f>'Assets 5-6'!H41</f>
        <v>187663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 5-6'!M16</f>
        <v>29900</v>
      </c>
      <c r="D273" s="2" t="str">
        <f t="shared" si="3"/>
        <v>Error?</v>
      </c>
    </row>
    <row r="274" spans="1:4" x14ac:dyDescent="0.2">
      <c r="A274" s="5">
        <v>213</v>
      </c>
      <c r="B274" s="1832">
        <f>'Assets 5-6'!M17</f>
        <v>2315493</v>
      </c>
      <c r="D274" s="2" t="str">
        <f t="shared" si="3"/>
        <v>Error?</v>
      </c>
    </row>
    <row r="275" spans="1:4" x14ac:dyDescent="0.2">
      <c r="A275" s="5">
        <v>214</v>
      </c>
      <c r="B275" s="1832">
        <f>'Assets 5-6'!M18</f>
        <v>51238</v>
      </c>
      <c r="D275" s="2" t="str">
        <f t="shared" si="3"/>
        <v>Error?</v>
      </c>
    </row>
    <row r="276" spans="1:4" x14ac:dyDescent="0.2">
      <c r="A276" s="5">
        <v>215</v>
      </c>
      <c r="B276" s="1832">
        <f>'Assets 5-6'!M19</f>
        <v>466946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 5-6'!M23</f>
        <v>2863577</v>
      </c>
      <c r="C279" s="2" t="s">
        <v>569</v>
      </c>
      <c r="D279" s="2" t="str">
        <f t="shared" si="3"/>
        <v>Error?</v>
      </c>
    </row>
    <row r="280" spans="1:4" x14ac:dyDescent="0.2">
      <c r="A280" s="5">
        <v>219</v>
      </c>
      <c r="B280" s="1832">
        <f>'Assets 5-6'!M40</f>
        <v>2863577</v>
      </c>
      <c r="D280" s="2" t="str">
        <f t="shared" si="3"/>
        <v>Error?</v>
      </c>
    </row>
    <row r="281" spans="1:4" x14ac:dyDescent="0.2">
      <c r="A281" s="5">
        <v>220</v>
      </c>
      <c r="B281" s="1832">
        <f>'Assets 5-6'!M41</f>
        <v>2863577</v>
      </c>
      <c r="C281" s="2" t="s">
        <v>569</v>
      </c>
      <c r="D281" s="2" t="str">
        <f t="shared" si="3"/>
        <v>Error?</v>
      </c>
    </row>
    <row r="282" spans="1:4" x14ac:dyDescent="0.2">
      <c r="A282" s="5">
        <v>221</v>
      </c>
      <c r="B282" s="1832">
        <f>'Assets 5-6'!N21</f>
        <v>0</v>
      </c>
      <c r="D282" s="2" t="str">
        <f t="shared" si="3"/>
        <v>Error?</v>
      </c>
    </row>
    <row r="283" spans="1:4" x14ac:dyDescent="0.2">
      <c r="A283" s="5">
        <v>222</v>
      </c>
      <c r="B283" s="1832">
        <f>'Assets 5-6'!N22</f>
        <v>1310000</v>
      </c>
      <c r="D283" s="2" t="str">
        <f t="shared" si="3"/>
        <v>Error?</v>
      </c>
    </row>
    <row r="284" spans="1:4" x14ac:dyDescent="0.2">
      <c r="A284" s="5">
        <v>223</v>
      </c>
      <c r="B284" s="1832">
        <f>'Assets 5-6'!N23</f>
        <v>1310000</v>
      </c>
      <c r="C284" s="2" t="s">
        <v>569</v>
      </c>
      <c r="D284" s="2" t="str">
        <f t="shared" si="3"/>
        <v>Error?</v>
      </c>
    </row>
    <row r="285" spans="1:4" x14ac:dyDescent="0.2">
      <c r="A285" s="5">
        <v>224</v>
      </c>
      <c r="B285" s="1832">
        <f>'Assets 5-6'!N36</f>
        <v>1310000</v>
      </c>
      <c r="D285" s="2" t="str">
        <f t="shared" si="3"/>
        <v>Error?</v>
      </c>
    </row>
    <row r="286" spans="1:4" x14ac:dyDescent="0.2">
      <c r="A286" s="10">
        <v>225</v>
      </c>
      <c r="B286" s="1832"/>
      <c r="D286" s="2" t="str">
        <f t="shared" si="3"/>
        <v>OK</v>
      </c>
    </row>
    <row r="287" spans="1:4" x14ac:dyDescent="0.2">
      <c r="A287" s="5">
        <v>226</v>
      </c>
      <c r="B287" s="1832">
        <f>'Assets 5-6'!N37</f>
        <v>1310000</v>
      </c>
      <c r="C287" s="2" t="s">
        <v>569</v>
      </c>
      <c r="D287" s="2" t="str">
        <f t="shared" si="3"/>
        <v>Error?</v>
      </c>
    </row>
    <row r="288" spans="1:4" x14ac:dyDescent="0.2">
      <c r="A288" s="5">
        <v>227</v>
      </c>
      <c r="B288" s="1832">
        <f>'Assets 5-6'!N41</f>
        <v>1310000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1310000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641409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24378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881751</v>
      </c>
      <c r="C720" s="2" t="s">
        <v>569</v>
      </c>
      <c r="D720" s="2" t="str">
        <f t="shared" si="10"/>
        <v>Error?</v>
      </c>
    </row>
    <row r="721" spans="1:4" x14ac:dyDescent="0.2">
      <c r="A721" s="5">
        <v>660</v>
      </c>
      <c r="B721" s="1832">
        <f>'Expenditures 15-22'!C36</f>
        <v>47852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75892</v>
      </c>
      <c r="D725" s="2" t="str">
        <f t="shared" si="10"/>
        <v>Error?</v>
      </c>
    </row>
    <row r="726" spans="1:4" x14ac:dyDescent="0.2">
      <c r="A726" s="5">
        <v>665</v>
      </c>
      <c r="B726" s="1832">
        <f>'Expenditures 15-22'!C41</f>
        <v>105692</v>
      </c>
      <c r="D726" s="2" t="str">
        <f t="shared" si="10"/>
        <v>Error?</v>
      </c>
    </row>
    <row r="727" spans="1:4" x14ac:dyDescent="0.2">
      <c r="A727" s="5">
        <v>666</v>
      </c>
      <c r="B727" s="1832">
        <f>'Expenditures 15-22'!C42</f>
        <v>229436</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44354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44354</v>
      </c>
      <c r="C731" s="2" t="s">
        <v>569</v>
      </c>
      <c r="D731" s="2" t="str">
        <f t="shared" si="10"/>
        <v>Error?</v>
      </c>
    </row>
    <row r="732" spans="1:4" x14ac:dyDescent="0.2">
      <c r="A732" s="5">
        <v>671</v>
      </c>
      <c r="B732" s="1832">
        <f>'Expenditures 15-22'!C49</f>
        <v>3116</v>
      </c>
      <c r="D732" s="2" t="str">
        <f t="shared" si="10"/>
        <v>Error?</v>
      </c>
    </row>
    <row r="733" spans="1:4" x14ac:dyDescent="0.2">
      <c r="A733" s="5">
        <v>672</v>
      </c>
      <c r="B733" s="1832">
        <f>'Expenditures 15-22'!C50</f>
        <v>97054</v>
      </c>
      <c r="D733" s="2" t="str">
        <f t="shared" si="10"/>
        <v>Error?</v>
      </c>
    </row>
    <row r="734" spans="1:4" x14ac:dyDescent="0.2">
      <c r="A734" s="5">
        <v>673</v>
      </c>
      <c r="B734" s="1832">
        <f>'Expenditures 15-22'!C53</f>
        <v>100170</v>
      </c>
      <c r="C734" s="2" t="s">
        <v>569</v>
      </c>
      <c r="D734" s="2" t="str">
        <f t="shared" si="10"/>
        <v>Error?</v>
      </c>
    </row>
    <row r="735" spans="1:4" x14ac:dyDescent="0.2">
      <c r="A735" s="5">
        <v>674</v>
      </c>
      <c r="B735" s="1832">
        <f>'Expenditures 15-22'!C55</f>
        <v>87399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87399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44337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47453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91790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553149</v>
      </c>
      <c r="C755" s="2" t="s">
        <v>569</v>
      </c>
      <c r="D755" s="2" t="str">
        <f t="shared" si="10"/>
        <v>Error?</v>
      </c>
    </row>
    <row r="756" spans="1:4" x14ac:dyDescent="0.2">
      <c r="A756" s="5">
        <v>695</v>
      </c>
      <c r="B756" s="1832">
        <f>'Expenditures 15-22'!C75</f>
        <v>2738</v>
      </c>
      <c r="D756" s="2" t="str">
        <f t="shared" si="10"/>
        <v>Error?</v>
      </c>
    </row>
    <row r="757" spans="1:4" x14ac:dyDescent="0.2">
      <c r="A757" s="5">
        <v>696</v>
      </c>
      <c r="B757" s="1832">
        <f>'Expenditures 15-22'!C114</f>
        <v>1437638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126800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437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161112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9607</v>
      </c>
      <c r="D783" s="2" t="str">
        <f t="shared" si="11"/>
        <v>Error?</v>
      </c>
    </row>
    <row r="784" spans="1:4" x14ac:dyDescent="0.2">
      <c r="A784" s="5">
        <v>723</v>
      </c>
      <c r="B784" s="1832">
        <f>'Expenditures 15-22'!D41</f>
        <v>1355</v>
      </c>
      <c r="D784" s="2" t="str">
        <f t="shared" si="11"/>
        <v>Error?</v>
      </c>
    </row>
    <row r="785" spans="1:4" x14ac:dyDescent="0.2">
      <c r="A785" s="5">
        <v>724</v>
      </c>
      <c r="B785" s="1832">
        <f>'Expenditures 15-22'!D42</f>
        <v>10962</v>
      </c>
      <c r="C785" s="2" t="s">
        <v>569</v>
      </c>
      <c r="D785" s="2" t="str">
        <f t="shared" si="11"/>
        <v>Error?</v>
      </c>
    </row>
    <row r="786" spans="1:4" x14ac:dyDescent="0.2">
      <c r="A786" s="5">
        <v>725</v>
      </c>
      <c r="B786" s="1832">
        <f>'Expenditures 15-22'!D44</f>
        <v>718</v>
      </c>
      <c r="D786" s="2" t="str">
        <f t="shared" si="11"/>
        <v>Error?</v>
      </c>
    </row>
    <row r="787" spans="1:4" x14ac:dyDescent="0.2">
      <c r="A787" s="5">
        <v>726</v>
      </c>
      <c r="B787" s="1832">
        <f>'Expenditures 15-22'!D45</f>
        <v>688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1406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40921</v>
      </c>
      <c r="D791" s="2" t="str">
        <f t="shared" si="11"/>
        <v>Error?</v>
      </c>
    </row>
    <row r="792" spans="1:4" x14ac:dyDescent="0.2">
      <c r="A792" s="5">
        <v>731</v>
      </c>
      <c r="B792" s="1832">
        <f>'Expenditures 15-22'!D53</f>
        <v>40921</v>
      </c>
      <c r="C792" s="2" t="s">
        <v>569</v>
      </c>
      <c r="D792" s="2" t="str">
        <f t="shared" si="11"/>
        <v>Error?</v>
      </c>
    </row>
    <row r="793" spans="1:4" x14ac:dyDescent="0.2">
      <c r="A793" s="5">
        <v>732</v>
      </c>
      <c r="B793" s="1832">
        <f>'Expenditures 15-22'!D55</f>
        <v>14547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14547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27420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27441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95277</v>
      </c>
      <c r="C813" s="2" t="s">
        <v>569</v>
      </c>
      <c r="D813" s="2" t="str">
        <f t="shared" si="11"/>
        <v>Error?</v>
      </c>
    </row>
    <row r="814" spans="1:4" x14ac:dyDescent="0.2">
      <c r="A814" s="5">
        <v>753</v>
      </c>
      <c r="B814" s="1832">
        <f>'Expenditures 15-22'!D75</f>
        <v>860</v>
      </c>
      <c r="D814" s="2" t="str">
        <f t="shared" si="11"/>
        <v>Error?</v>
      </c>
    </row>
    <row r="815" spans="1:4" x14ac:dyDescent="0.2">
      <c r="A815" s="5">
        <v>754</v>
      </c>
      <c r="B815" s="1832">
        <f>'Expenditures 15-22'!D114</f>
        <v>257249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76134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8226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135831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11400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11400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67663</v>
      </c>
      <c r="D848" s="2" t="str">
        <f t="shared" si="12"/>
        <v>Error?</v>
      </c>
    </row>
    <row r="849" spans="1:4" x14ac:dyDescent="0.2">
      <c r="A849" s="5">
        <v>788</v>
      </c>
      <c r="B849" s="1832">
        <f>'Expenditures 15-22'!E50</f>
        <v>6014</v>
      </c>
      <c r="D849" s="2" t="str">
        <f t="shared" si="12"/>
        <v>Error?</v>
      </c>
    </row>
    <row r="850" spans="1:4" x14ac:dyDescent="0.2">
      <c r="A850" s="5">
        <v>789</v>
      </c>
      <c r="B850" s="1832">
        <f>'Expenditures 15-22'!E53</f>
        <v>73677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13689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1443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15132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7393</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7393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107602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243433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58749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2820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82775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99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201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72095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72296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21558</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21558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93953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176728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1297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2022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1678</v>
      </c>
      <c r="D1022" s="2" t="str">
        <f t="shared" si="14"/>
        <v>Error?</v>
      </c>
    </row>
    <row r="1023" spans="1:4" x14ac:dyDescent="0.2">
      <c r="A1023" s="5">
        <v>962</v>
      </c>
      <c r="B1023" s="1832">
        <f>'Expenditures 15-22'!H50</f>
        <v>1449</v>
      </c>
      <c r="D1023" s="2" t="str">
        <f t="shared" ref="D1023:D1086" si="15">IF(ISBLANK(B1023),"OK",IF(A1023-B1023=0,"OK","Error?"))</f>
        <v>Error?</v>
      </c>
    </row>
    <row r="1024" spans="1:4" x14ac:dyDescent="0.2">
      <c r="A1024" s="5">
        <v>963</v>
      </c>
      <c r="B1024" s="1832">
        <f>'Expenditures 15-22'!H53</f>
        <v>3127</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540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540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3667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522794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528483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904389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36586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1263491</v>
      </c>
      <c r="C1108" s="2" t="s">
        <v>569</v>
      </c>
      <c r="D1108" s="2" t="str">
        <f t="shared" si="16"/>
        <v>Error?</v>
      </c>
    </row>
    <row r="1109" spans="1:4" x14ac:dyDescent="0.2">
      <c r="A1109" s="5">
        <v>1048</v>
      </c>
      <c r="B1109" s="1832">
        <f>'Expenditures 15-22'!K36</f>
        <v>47852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11400</v>
      </c>
      <c r="C1112" s="2" t="s">
        <v>569</v>
      </c>
      <c r="D1112" s="2" t="str">
        <f t="shared" si="16"/>
        <v>Error?</v>
      </c>
    </row>
    <row r="1113" spans="1:4" x14ac:dyDescent="0.2">
      <c r="A1113" s="5">
        <v>1052</v>
      </c>
      <c r="B1113" s="1832">
        <f>'Expenditures 15-22'!K40</f>
        <v>85598</v>
      </c>
      <c r="C1113" s="2" t="s">
        <v>569</v>
      </c>
      <c r="D1113" s="2" t="str">
        <f t="shared" si="16"/>
        <v>Error?</v>
      </c>
    </row>
    <row r="1114" spans="1:4" x14ac:dyDescent="0.2">
      <c r="A1114" s="5">
        <v>1053</v>
      </c>
      <c r="B1114" s="1832">
        <f>'Expenditures 15-22'!K41</f>
        <v>107047</v>
      </c>
      <c r="C1114" s="2" t="s">
        <v>569</v>
      </c>
      <c r="D1114" s="2" t="str">
        <f t="shared" si="16"/>
        <v>Error?</v>
      </c>
    </row>
    <row r="1115" spans="1:4" x14ac:dyDescent="0.2">
      <c r="A1115" s="5">
        <v>1054</v>
      </c>
      <c r="B1115" s="1832">
        <f>'Expenditures 15-22'!K42</f>
        <v>251897</v>
      </c>
      <c r="C1115" s="2" t="s">
        <v>569</v>
      </c>
      <c r="D1115" s="2" t="str">
        <f t="shared" si="16"/>
        <v>Error?</v>
      </c>
    </row>
    <row r="1116" spans="1:4" x14ac:dyDescent="0.2">
      <c r="A1116" s="5">
        <v>1055</v>
      </c>
      <c r="B1116" s="1832">
        <f>'Expenditures 15-22'!K44</f>
        <v>718</v>
      </c>
      <c r="C1116" s="2" t="s">
        <v>569</v>
      </c>
      <c r="D1116" s="2" t="str">
        <f t="shared" si="16"/>
        <v>Error?</v>
      </c>
    </row>
    <row r="1117" spans="1:4" x14ac:dyDescent="0.2">
      <c r="A1117" s="5">
        <v>1056</v>
      </c>
      <c r="B1117" s="1832">
        <f>'Expenditures 15-22'!K45</f>
        <v>45042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45760</v>
      </c>
      <c r="C1119" s="2" t="s">
        <v>569</v>
      </c>
      <c r="D1119" s="2" t="str">
        <f t="shared" si="16"/>
        <v>Error?</v>
      </c>
    </row>
    <row r="1120" spans="1:4" x14ac:dyDescent="0.2">
      <c r="A1120" s="5">
        <v>1059</v>
      </c>
      <c r="B1120" s="1832">
        <f>'Expenditures 15-22'!K49</f>
        <v>72457</v>
      </c>
      <c r="C1120" s="2" t="s">
        <v>569</v>
      </c>
      <c r="D1120" s="2" t="str">
        <f t="shared" si="16"/>
        <v>Error?</v>
      </c>
    </row>
    <row r="1121" spans="1:4" x14ac:dyDescent="0.2">
      <c r="A1121" s="5">
        <v>1060</v>
      </c>
      <c r="B1121" s="1832">
        <f>'Expenditures 15-22'!K50</f>
        <v>145438</v>
      </c>
      <c r="C1121" s="2" t="s">
        <v>569</v>
      </c>
      <c r="D1121" s="2" t="str">
        <f t="shared" si="16"/>
        <v>Error?</v>
      </c>
    </row>
    <row r="1122" spans="1:4" x14ac:dyDescent="0.2">
      <c r="A1122" s="5">
        <v>1061</v>
      </c>
      <c r="B1122" s="1832">
        <f>'Expenditures 15-22'!K53</f>
        <v>217895</v>
      </c>
      <c r="C1122" s="2" t="s">
        <v>569</v>
      </c>
      <c r="D1122" s="2" t="str">
        <f t="shared" si="16"/>
        <v>Error?</v>
      </c>
    </row>
    <row r="1123" spans="1:4" x14ac:dyDescent="0.2">
      <c r="A1123" s="5">
        <v>1062</v>
      </c>
      <c r="B1123" s="1832">
        <f>'Expenditures 15-22'!K55</f>
        <v>101946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101946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58248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148951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207199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28951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28951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853648</v>
      </c>
      <c r="C1143" s="2" t="s">
        <v>569</v>
      </c>
      <c r="D1143" s="2" t="str">
        <f t="shared" si="16"/>
        <v>Error?</v>
      </c>
    </row>
    <row r="1144" spans="1:4" x14ac:dyDescent="0.2">
      <c r="A1144" s="5">
        <v>1083</v>
      </c>
      <c r="B1144" s="1832">
        <f>'Expenditures 15-22'!K75</f>
        <v>3598</v>
      </c>
      <c r="C1144" s="2" t="s">
        <v>569</v>
      </c>
      <c r="D1144" s="2" t="str">
        <f t="shared" si="16"/>
        <v>Error?</v>
      </c>
    </row>
    <row r="1145" spans="1:4" x14ac:dyDescent="0.2">
      <c r="A1145" s="5">
        <v>1084</v>
      </c>
      <c r="B1145" s="1832">
        <f>'Expenditures 15-22'!K102</f>
        <v>522794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2643531</v>
      </c>
      <c r="C1152" s="2" t="s">
        <v>569</v>
      </c>
      <c r="D1152" s="2" t="str">
        <f t="shared" si="17"/>
        <v>Error?</v>
      </c>
    </row>
    <row r="1153" spans="1:4" x14ac:dyDescent="0.2">
      <c r="A1153" s="5">
        <v>1092</v>
      </c>
      <c r="B1153" s="1832">
        <f>'Expenditures 15-22'!K115</f>
        <v>471905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105423</v>
      </c>
      <c r="D1221" s="2" t="str">
        <f t="shared" si="18"/>
        <v>Error?</v>
      </c>
    </row>
    <row r="1222" spans="1:4" x14ac:dyDescent="0.2">
      <c r="A1222" s="10">
        <v>1161</v>
      </c>
      <c r="B1222" s="1832"/>
      <c r="D1222" s="2" t="str">
        <f t="shared" si="18"/>
        <v>OK</v>
      </c>
    </row>
    <row r="1223" spans="1:4" x14ac:dyDescent="0.2">
      <c r="A1223" s="5">
        <v>1162</v>
      </c>
      <c r="B1223" s="1832">
        <f>'Expenditures 15-22'!C127</f>
        <v>105423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105423</v>
      </c>
      <c r="C1225" s="2" t="s">
        <v>569</v>
      </c>
      <c r="D1225" s="2" t="str">
        <f t="shared" si="18"/>
        <v>Error?</v>
      </c>
    </row>
    <row r="1226" spans="1:4" x14ac:dyDescent="0.2">
      <c r="A1226" s="5">
        <v>1165</v>
      </c>
      <c r="B1226" s="1832">
        <f>'Expenditures 15-22'!C151</f>
        <v>105423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16427</v>
      </c>
      <c r="D1229" s="2" t="str">
        <f t="shared" si="18"/>
        <v>Error?</v>
      </c>
    </row>
    <row r="1230" spans="1:4" x14ac:dyDescent="0.2">
      <c r="A1230" s="10">
        <v>1169</v>
      </c>
      <c r="B1230" s="1832"/>
      <c r="D1230" s="2" t="str">
        <f t="shared" si="18"/>
        <v>OK</v>
      </c>
    </row>
    <row r="1231" spans="1:4" x14ac:dyDescent="0.2">
      <c r="A1231" s="5">
        <v>1170</v>
      </c>
      <c r="B1231" s="1832">
        <f>'Expenditures 15-22'!D127</f>
        <v>16427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16427</v>
      </c>
      <c r="C1233" s="2" t="s">
        <v>569</v>
      </c>
      <c r="D1233" s="2" t="str">
        <f t="shared" si="18"/>
        <v>Error?</v>
      </c>
    </row>
    <row r="1234" spans="1:4" x14ac:dyDescent="0.2">
      <c r="A1234" s="5">
        <v>1173</v>
      </c>
      <c r="B1234" s="1832">
        <f>'Expenditures 15-22'!D151</f>
        <v>16427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77760</v>
      </c>
      <c r="D1237" s="2" t="str">
        <f t="shared" si="18"/>
        <v>Error?</v>
      </c>
    </row>
    <row r="1238" spans="1:4" x14ac:dyDescent="0.2">
      <c r="A1238" s="10">
        <v>1177</v>
      </c>
      <c r="B1238" s="1832"/>
      <c r="D1238" s="2" t="str">
        <f t="shared" si="18"/>
        <v>OK</v>
      </c>
    </row>
    <row r="1239" spans="1:4" x14ac:dyDescent="0.2">
      <c r="A1239" s="5">
        <v>1178</v>
      </c>
      <c r="B1239" s="1832">
        <f>'Expenditures 15-22'!E127</f>
        <v>77760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77760</v>
      </c>
      <c r="C1241" s="2" t="s">
        <v>569</v>
      </c>
      <c r="D1241" s="2" t="str">
        <f t="shared" si="18"/>
        <v>Error?</v>
      </c>
    </row>
    <row r="1242" spans="1:4" x14ac:dyDescent="0.2">
      <c r="A1242" s="5">
        <v>1181</v>
      </c>
      <c r="B1242" s="1832">
        <f>'Expenditures 15-22'!E151</f>
        <v>77760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71831</v>
      </c>
      <c r="D1245" s="2" t="str">
        <f t="shared" si="18"/>
        <v>Error?</v>
      </c>
    </row>
    <row r="1246" spans="1:4" x14ac:dyDescent="0.2">
      <c r="A1246" s="10">
        <v>1185</v>
      </c>
      <c r="B1246" s="1832"/>
      <c r="D1246" s="2" t="str">
        <f t="shared" si="18"/>
        <v>OK</v>
      </c>
    </row>
    <row r="1247" spans="1:4" x14ac:dyDescent="0.2">
      <c r="A1247" s="5">
        <v>1186</v>
      </c>
      <c r="B1247" s="1832">
        <f>'Expenditures 15-22'!F127</f>
        <v>71831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71831</v>
      </c>
      <c r="C1249" s="2" t="s">
        <v>569</v>
      </c>
      <c r="D1249" s="2" t="str">
        <f t="shared" si="18"/>
        <v>Error?</v>
      </c>
    </row>
    <row r="1250" spans="1:4" x14ac:dyDescent="0.2">
      <c r="A1250" s="5">
        <v>1189</v>
      </c>
      <c r="B1250" s="1832">
        <f>'Expenditures 15-22'!F151</f>
        <v>71831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292006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292006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292006</v>
      </c>
      <c r="C1258" s="2" t="s">
        <v>569</v>
      </c>
      <c r="D1258" s="2" t="str">
        <f t="shared" si="18"/>
        <v>Error?</v>
      </c>
    </row>
    <row r="1259" spans="1:4" x14ac:dyDescent="0.2">
      <c r="A1259" s="5">
        <v>1198</v>
      </c>
      <c r="B1259" s="1832">
        <f>'Expenditures 15-22'!G151</f>
        <v>292006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563447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563447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563447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563447</v>
      </c>
      <c r="C1288" s="2" t="s">
        <v>569</v>
      </c>
      <c r="D1288" s="2" t="str">
        <f t="shared" si="19"/>
        <v>Error?</v>
      </c>
    </row>
    <row r="1289" spans="1:4" x14ac:dyDescent="0.2">
      <c r="A1289" s="5">
        <v>1228</v>
      </c>
      <c r="B1289" s="1832">
        <f>'Expenditures 15-22'!K152</f>
        <v>-217751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45896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45896</v>
      </c>
      <c r="C1317" s="2" t="s">
        <v>569</v>
      </c>
      <c r="D1317" s="2" t="str">
        <f t="shared" si="19"/>
        <v>Error?</v>
      </c>
    </row>
    <row r="1318" spans="1:4" x14ac:dyDescent="0.2">
      <c r="A1318" s="5">
        <v>1257</v>
      </c>
      <c r="B1318" s="1832">
        <f>'Expenditures 15-22'!H174</f>
        <v>45896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45896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45896</v>
      </c>
      <c r="C1331" s="2" t="s">
        <v>569</v>
      </c>
      <c r="D1331" s="2" t="str">
        <f t="shared" si="19"/>
        <v>Error?</v>
      </c>
    </row>
    <row r="1332" spans="1:4" x14ac:dyDescent="0.2">
      <c r="A1332" s="5">
        <v>1271</v>
      </c>
      <c r="B1332" s="1832">
        <f>'Expenditures 15-22'!K174</f>
        <v>45896</v>
      </c>
      <c r="C1332" s="2" t="s">
        <v>569</v>
      </c>
      <c r="D1332" s="2" t="str">
        <f t="shared" si="19"/>
        <v>Error?</v>
      </c>
    </row>
    <row r="1333" spans="1:4" x14ac:dyDescent="0.2">
      <c r="A1333" s="5">
        <v>1272</v>
      </c>
      <c r="B1333" s="1832">
        <f>'Expenditures 15-22'!K175</f>
        <v>-45896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108766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108766</v>
      </c>
      <c r="C1339" s="2" t="s">
        <v>569</v>
      </c>
      <c r="D1339" s="2" t="str">
        <f t="shared" si="19"/>
        <v>Error?</v>
      </c>
    </row>
    <row r="1340" spans="1:4" x14ac:dyDescent="0.2">
      <c r="A1340" s="5">
        <v>1279</v>
      </c>
      <c r="B1340" s="1832">
        <f>'Expenditures 15-22'!C210</f>
        <v>108766</v>
      </c>
      <c r="C1340" s="2" t="s">
        <v>569</v>
      </c>
      <c r="D1340" s="2" t="str">
        <f t="shared" si="19"/>
        <v>Error?</v>
      </c>
    </row>
    <row r="1341" spans="1:4" x14ac:dyDescent="0.2">
      <c r="A1341" s="5">
        <v>1280</v>
      </c>
      <c r="B1341" s="1832">
        <f>'Expenditures 15-22'!D182</f>
        <v>10709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10709</v>
      </c>
      <c r="C1345" s="2" t="s">
        <v>569</v>
      </c>
      <c r="D1345" s="2" t="str">
        <f t="shared" si="20"/>
        <v>Error?</v>
      </c>
    </row>
    <row r="1346" spans="1:4" x14ac:dyDescent="0.2">
      <c r="A1346" s="5">
        <v>1285</v>
      </c>
      <c r="B1346" s="1832">
        <f>'Expenditures 15-22'!D210</f>
        <v>10709</v>
      </c>
      <c r="C1346" s="2" t="s">
        <v>569</v>
      </c>
      <c r="D1346" s="2" t="str">
        <f t="shared" si="20"/>
        <v>Error?</v>
      </c>
    </row>
    <row r="1347" spans="1:4" x14ac:dyDescent="0.2">
      <c r="A1347" s="5">
        <v>1286</v>
      </c>
      <c r="B1347" s="1832">
        <f>'Expenditures 15-22'!E182</f>
        <v>22729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22729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22729</v>
      </c>
      <c r="C1353" s="2" t="s">
        <v>569</v>
      </c>
      <c r="D1353" s="2" t="str">
        <f t="shared" si="20"/>
        <v>Error?</v>
      </c>
    </row>
    <row r="1354" spans="1:4" x14ac:dyDescent="0.2">
      <c r="A1354" s="5">
        <v>1293</v>
      </c>
      <c r="B1354" s="1832">
        <f>'Expenditures 15-22'!F182</f>
        <v>21252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21252</v>
      </c>
      <c r="C1358" s="2" t="s">
        <v>569</v>
      </c>
      <c r="D1358" s="2" t="str">
        <f t="shared" si="20"/>
        <v>Error?</v>
      </c>
    </row>
    <row r="1359" spans="1:4" x14ac:dyDescent="0.2">
      <c r="A1359" s="5">
        <v>1298</v>
      </c>
      <c r="B1359" s="1832">
        <f>'Expenditures 15-22'!F210</f>
        <v>21252</v>
      </c>
      <c r="C1359" s="2" t="s">
        <v>569</v>
      </c>
      <c r="D1359" s="2" t="str">
        <f t="shared" si="20"/>
        <v>Error?</v>
      </c>
    </row>
    <row r="1360" spans="1:4" x14ac:dyDescent="0.2">
      <c r="A1360" s="5">
        <v>1299</v>
      </c>
      <c r="B1360" s="1832">
        <f>'Expenditures 15-22'!G182</f>
        <v>30187</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30187</v>
      </c>
      <c r="C1364" s="2" t="s">
        <v>569</v>
      </c>
      <c r="D1364" s="2" t="str">
        <f t="shared" si="20"/>
        <v>Error?</v>
      </c>
    </row>
    <row r="1365" spans="1:4" x14ac:dyDescent="0.2">
      <c r="A1365" s="5">
        <v>1304</v>
      </c>
      <c r="B1365" s="1832">
        <f>'Expenditures 15-22'!G210</f>
        <v>30187</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80983</v>
      </c>
      <c r="C1375" s="2" t="s">
        <v>569</v>
      </c>
      <c r="D1375" s="2" t="str">
        <f t="shared" si="20"/>
        <v>Error?</v>
      </c>
    </row>
    <row r="1376" spans="1:4" x14ac:dyDescent="0.2">
      <c r="A1376" s="5">
        <v>1315</v>
      </c>
      <c r="B1376" s="1832">
        <f>'Expenditures 15-22'!H210</f>
        <v>80983</v>
      </c>
      <c r="C1376" s="2" t="s">
        <v>569</v>
      </c>
      <c r="D1376" s="2" t="str">
        <f t="shared" si="20"/>
        <v>Error?</v>
      </c>
    </row>
    <row r="1377" spans="1:4" x14ac:dyDescent="0.2">
      <c r="A1377" s="5">
        <v>1316</v>
      </c>
      <c r="B1377" s="1832">
        <f>'Expenditures 15-22'!K182</f>
        <v>193643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193643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80983</v>
      </c>
      <c r="C1387" s="2" t="s">
        <v>569</v>
      </c>
      <c r="D1387" s="2" t="str">
        <f t="shared" si="20"/>
        <v>Error?</v>
      </c>
    </row>
    <row r="1388" spans="1:4" x14ac:dyDescent="0.2">
      <c r="A1388" s="5">
        <v>1327</v>
      </c>
      <c r="B1388" s="1832">
        <f>'Expenditures 15-22'!K210</f>
        <v>274626</v>
      </c>
      <c r="C1388" s="2" t="s">
        <v>569</v>
      </c>
      <c r="D1388" s="2" t="str">
        <f t="shared" si="20"/>
        <v>Error?</v>
      </c>
    </row>
    <row r="1389" spans="1:4" x14ac:dyDescent="0.2">
      <c r="A1389" s="5">
        <v>1328</v>
      </c>
      <c r="B1389" s="1832">
        <f>'Expenditures 15-22'!K211</f>
        <v>79563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1104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26191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716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716</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643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643</v>
      </c>
      <c r="C1421" s="2" t="s">
        <v>569</v>
      </c>
      <c r="D1421" s="2" t="str">
        <f t="shared" si="21"/>
        <v>Error?</v>
      </c>
    </row>
    <row r="1422" spans="1:4" x14ac:dyDescent="0.2">
      <c r="A1422" s="5">
        <v>1361</v>
      </c>
      <c r="B1422" s="1832">
        <f>'Expenditures 15-22'!D245</f>
        <v>239</v>
      </c>
      <c r="D1422" s="2" t="str">
        <f t="shared" si="21"/>
        <v>Error?</v>
      </c>
    </row>
    <row r="1423" spans="1:4" x14ac:dyDescent="0.2">
      <c r="A1423" s="5">
        <v>1362</v>
      </c>
      <c r="B1423" s="1832">
        <f>'Expenditures 15-22'!D246</f>
        <v>1397</v>
      </c>
      <c r="D1423" s="2" t="str">
        <f t="shared" si="21"/>
        <v>Error?</v>
      </c>
    </row>
    <row r="1424" spans="1:4" x14ac:dyDescent="0.2">
      <c r="A1424" s="5">
        <v>1363</v>
      </c>
      <c r="B1424" s="1832">
        <f>'Expenditures 15-22'!D257</f>
        <v>5345</v>
      </c>
      <c r="C1424" s="2" t="s">
        <v>569</v>
      </c>
      <c r="D1424" s="2" t="str">
        <f t="shared" si="21"/>
        <v>Error?</v>
      </c>
    </row>
    <row r="1425" spans="1:4" x14ac:dyDescent="0.2">
      <c r="A1425" s="5">
        <v>1364</v>
      </c>
      <c r="B1425" s="1832">
        <f>'Expenditures 15-22'!D259</f>
        <v>3384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3384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5614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11185</v>
      </c>
      <c r="D1431" s="2" t="str">
        <f t="shared" si="21"/>
        <v>Error?</v>
      </c>
    </row>
    <row r="1432" spans="1:4" x14ac:dyDescent="0.2">
      <c r="A1432" s="5">
        <v>1371</v>
      </c>
      <c r="B1432" s="1832">
        <f>'Expenditures 15-22'!D267</f>
        <v>10044</v>
      </c>
      <c r="D1432" s="2" t="str">
        <f t="shared" si="21"/>
        <v>Error?</v>
      </c>
    </row>
    <row r="1433" spans="1:4" x14ac:dyDescent="0.2">
      <c r="A1433" s="5">
        <v>1372</v>
      </c>
      <c r="B1433" s="1832">
        <f>'Expenditures 15-22'!D268</f>
        <v>5083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31926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42014</v>
      </c>
      <c r="C1446" s="2" t="s">
        <v>569</v>
      </c>
      <c r="D1446" s="2" t="str">
        <f t="shared" si="21"/>
        <v>Error?</v>
      </c>
    </row>
    <row r="1447" spans="1:4" x14ac:dyDescent="0.2">
      <c r="A1447" s="5">
        <v>1386</v>
      </c>
      <c r="B1447" s="1832">
        <f>'Expenditures 15-22'!D280</f>
        <v>39</v>
      </c>
      <c r="D1447" s="2" t="str">
        <f t="shared" si="21"/>
        <v>Error?</v>
      </c>
    </row>
    <row r="1448" spans="1:4" x14ac:dyDescent="0.2">
      <c r="A1448" s="5">
        <v>1387</v>
      </c>
      <c r="B1448" s="1832">
        <f>'Expenditures 15-22'!D295</f>
        <v>68244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1104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26191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716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716</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643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643</v>
      </c>
      <c r="C1485" s="2" t="s">
        <v>569</v>
      </c>
      <c r="D1485" s="2" t="str">
        <f t="shared" si="22"/>
        <v>Error?</v>
      </c>
    </row>
    <row r="1486" spans="1:4" x14ac:dyDescent="0.2">
      <c r="A1486" s="5">
        <v>1425</v>
      </c>
      <c r="B1486" s="1832">
        <f>'Expenditures 15-22'!K245</f>
        <v>239</v>
      </c>
      <c r="C1486" s="2" t="s">
        <v>569</v>
      </c>
      <c r="D1486" s="2" t="str">
        <f t="shared" si="22"/>
        <v>Error?</v>
      </c>
    </row>
    <row r="1487" spans="1:4" x14ac:dyDescent="0.2">
      <c r="A1487" s="5">
        <v>1426</v>
      </c>
      <c r="B1487" s="1832">
        <f>'Expenditures 15-22'!K246</f>
        <v>1397</v>
      </c>
      <c r="C1487" s="2" t="s">
        <v>569</v>
      </c>
      <c r="D1487" s="2" t="str">
        <f t="shared" si="22"/>
        <v>Error?</v>
      </c>
    </row>
    <row r="1488" spans="1:4" x14ac:dyDescent="0.2">
      <c r="A1488" s="5">
        <v>1427</v>
      </c>
      <c r="B1488" s="1832">
        <f>'Expenditures 15-22'!K257</f>
        <v>5345</v>
      </c>
      <c r="C1488" s="2" t="s">
        <v>569</v>
      </c>
      <c r="D1488" s="2" t="str">
        <f t="shared" si="22"/>
        <v>Error?</v>
      </c>
    </row>
    <row r="1489" spans="1:4" x14ac:dyDescent="0.2">
      <c r="A1489" s="5">
        <v>1428</v>
      </c>
      <c r="B1489" s="1832">
        <f>'Expenditures 15-22'!K259</f>
        <v>3384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3384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5614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11185</v>
      </c>
      <c r="C1495" s="2" t="s">
        <v>569</v>
      </c>
      <c r="D1495" s="2" t="str">
        <f t="shared" si="22"/>
        <v>Error?</v>
      </c>
    </row>
    <row r="1496" spans="1:4" x14ac:dyDescent="0.2">
      <c r="A1496" s="5">
        <v>1435</v>
      </c>
      <c r="B1496" s="1832">
        <f>'Expenditures 15-22'!K267</f>
        <v>10044</v>
      </c>
      <c r="C1496" s="2" t="s">
        <v>569</v>
      </c>
      <c r="D1496" s="2" t="str">
        <f t="shared" si="22"/>
        <v>Error?</v>
      </c>
    </row>
    <row r="1497" spans="1:4" x14ac:dyDescent="0.2">
      <c r="A1497" s="5">
        <v>1436</v>
      </c>
      <c r="B1497" s="1832">
        <f>'Expenditures 15-22'!K268</f>
        <v>5083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31926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42014</v>
      </c>
      <c r="C1510" s="2" t="s">
        <v>569</v>
      </c>
      <c r="D1510" s="2" t="str">
        <f t="shared" si="22"/>
        <v>Error?</v>
      </c>
    </row>
    <row r="1511" spans="1:4" x14ac:dyDescent="0.2">
      <c r="A1511" s="5">
        <v>1450</v>
      </c>
      <c r="B1511" s="1832">
        <f>'Expenditures 15-22'!K280</f>
        <v>39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68244</v>
      </c>
      <c r="C1517" s="2" t="s">
        <v>569</v>
      </c>
      <c r="D1517" s="2" t="str">
        <f t="shared" si="22"/>
        <v>Error?</v>
      </c>
    </row>
    <row r="1518" spans="1:4" x14ac:dyDescent="0.2">
      <c r="A1518" s="5">
        <v>1457</v>
      </c>
      <c r="B1518" s="1832">
        <f>'Expenditures 15-22'!K296</f>
        <v>18929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1108430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1108430</v>
      </c>
      <c r="C1547" s="2" t="s">
        <v>569</v>
      </c>
      <c r="D1547" s="2" t="str">
        <f t="shared" si="23"/>
        <v>Error?</v>
      </c>
    </row>
    <row r="1548" spans="1:4" x14ac:dyDescent="0.2">
      <c r="A1548" s="5">
        <v>1487</v>
      </c>
      <c r="B1548" s="1832">
        <f>'Expenditures 15-22'!G312</f>
        <v>1108430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1108430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1108430</v>
      </c>
      <c r="C1559" s="2" t="s">
        <v>569</v>
      </c>
      <c r="D1559" s="2" t="str">
        <f t="shared" si="23"/>
        <v>Error?</v>
      </c>
    </row>
    <row r="1560" spans="1:4" x14ac:dyDescent="0.2">
      <c r="A1560" s="5">
        <v>1499</v>
      </c>
      <c r="B1560" s="1832">
        <f>'Expenditures 15-22'!K312</f>
        <v>1108430</v>
      </c>
      <c r="C1560" s="2" t="s">
        <v>569</v>
      </c>
      <c r="D1560" s="2" t="str">
        <f t="shared" si="23"/>
        <v>Error?</v>
      </c>
    </row>
    <row r="1561" spans="1:4" x14ac:dyDescent="0.2">
      <c r="A1561" s="5">
        <v>1500</v>
      </c>
      <c r="B1561" s="1832">
        <f>'Expenditures 15-22'!K313</f>
        <v>-1106025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1084347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1556252</v>
      </c>
      <c r="C1630" s="2" t="s">
        <v>569</v>
      </c>
      <c r="D1630" s="2" t="str">
        <f t="shared" si="24"/>
        <v>Error?</v>
      </c>
    </row>
    <row r="1631" spans="1:4" x14ac:dyDescent="0.2">
      <c r="A1631" s="5">
        <v>1570</v>
      </c>
      <c r="B1631" s="1832">
        <f>'Acct Summary 7-8'!D79</f>
        <v>933185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715434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404435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483998</v>
      </c>
      <c r="C1672" s="2" t="s">
        <v>569</v>
      </c>
      <c r="D1672" s="2" t="str">
        <f t="shared" si="25"/>
        <v>Error?</v>
      </c>
    </row>
    <row r="1673" spans="1:4" x14ac:dyDescent="0.2">
      <c r="A1673" s="5">
        <v>1612</v>
      </c>
      <c r="B1673" s="1832">
        <f>'Acct Summary 7-8'!G79</f>
        <v>333265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352194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187663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1473808</v>
      </c>
      <c r="C1744" s="2" t="s">
        <v>569</v>
      </c>
      <c r="D1744" s="2" t="str">
        <f t="shared" si="26"/>
        <v>Error?</v>
      </c>
    </row>
    <row r="1745" spans="1:5" x14ac:dyDescent="0.2">
      <c r="A1745" s="5">
        <v>1684</v>
      </c>
      <c r="B1745" s="1832">
        <f>'Tax Sched 23'!B5</f>
        <v>288980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115592</v>
      </c>
      <c r="C1747" s="2" t="s">
        <v>569</v>
      </c>
      <c r="D1747" s="2" t="str">
        <f t="shared" si="26"/>
        <v>Error?</v>
      </c>
    </row>
    <row r="1748" spans="1:5" x14ac:dyDescent="0.2">
      <c r="A1748" s="5">
        <v>1687</v>
      </c>
      <c r="B1748" s="1832">
        <f>'Tax Sched 23'!B8</f>
        <v>24955</v>
      </c>
      <c r="C1748" s="2" t="s">
        <v>569</v>
      </c>
      <c r="D1748" s="2" t="str">
        <f t="shared" si="26"/>
        <v>Error?</v>
      </c>
    </row>
    <row r="1749" spans="1:5" x14ac:dyDescent="0.2">
      <c r="A1749" s="5">
        <v>1688</v>
      </c>
      <c r="B1749" s="1832">
        <f>'Tax Sched 23'!B10</f>
        <v>28898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193150</v>
      </c>
      <c r="C1752" s="2" t="s">
        <v>569</v>
      </c>
      <c r="D1752" s="2" t="str">
        <f t="shared" si="26"/>
        <v>Error?</v>
      </c>
    </row>
    <row r="1753" spans="1:5" x14ac:dyDescent="0.2">
      <c r="A1753" s="5">
        <v>1692</v>
      </c>
      <c r="B1753" s="1832">
        <f>'Tax Sched 23'!B12</f>
        <v>28898</v>
      </c>
      <c r="C1753" s="2" t="s">
        <v>569</v>
      </c>
      <c r="D1753" s="2" t="str">
        <f t="shared" si="26"/>
        <v>Error?</v>
      </c>
    </row>
    <row r="1754" spans="1:5" x14ac:dyDescent="0.2">
      <c r="A1754" s="5">
        <v>1693</v>
      </c>
      <c r="B1754" s="1832">
        <f>'Tax Sched 23'!B14</f>
        <v>23117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2266189</v>
      </c>
      <c r="C1759" s="2" t="s">
        <v>569</v>
      </c>
      <c r="D1759" s="2" t="str">
        <f t="shared" si="26"/>
        <v>Error?</v>
      </c>
    </row>
    <row r="1760" spans="1:5" x14ac:dyDescent="0.2">
      <c r="A1760" s="5">
        <v>1699</v>
      </c>
      <c r="B1760" s="1832">
        <f>'Tax Sched 23'!D4</f>
        <v>1473808</v>
      </c>
      <c r="C1760" s="2" t="s">
        <v>569</v>
      </c>
      <c r="D1760" s="2" t="str">
        <f t="shared" si="26"/>
        <v>Error?</v>
      </c>
    </row>
    <row r="1761" spans="1:7" x14ac:dyDescent="0.2">
      <c r="A1761" s="5">
        <v>1700</v>
      </c>
      <c r="B1761" s="1832">
        <f>'Tax Sched 23'!D5</f>
        <v>288980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115592</v>
      </c>
      <c r="C1763" s="2" t="s">
        <v>569</v>
      </c>
      <c r="D1763" s="2" t="str">
        <f t="shared" si="26"/>
        <v>Error?</v>
      </c>
    </row>
    <row r="1764" spans="1:7" x14ac:dyDescent="0.2">
      <c r="A1764" s="5">
        <v>1703</v>
      </c>
      <c r="B1764" s="1832">
        <f>'Tax Sched 23'!D8</f>
        <v>24955</v>
      </c>
      <c r="C1764" s="2" t="s">
        <v>569</v>
      </c>
      <c r="D1764" s="2" t="str">
        <f t="shared" si="26"/>
        <v>Error?</v>
      </c>
    </row>
    <row r="1765" spans="1:7" x14ac:dyDescent="0.2">
      <c r="A1765" s="5">
        <v>1704</v>
      </c>
      <c r="B1765" s="1832">
        <f>'Tax Sched 23'!D10</f>
        <v>28898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193150</v>
      </c>
      <c r="C1768" s="2" t="s">
        <v>569</v>
      </c>
      <c r="D1768" s="2" t="str">
        <f t="shared" si="26"/>
        <v>Error?</v>
      </c>
    </row>
    <row r="1769" spans="1:7" x14ac:dyDescent="0.2">
      <c r="A1769" s="5">
        <v>1708</v>
      </c>
      <c r="B1769" s="1832">
        <f>'Tax Sched 23'!D12</f>
        <v>28898</v>
      </c>
      <c r="C1769" s="2" t="s">
        <v>569</v>
      </c>
      <c r="D1769" s="2" t="str">
        <f t="shared" si="26"/>
        <v>Error?</v>
      </c>
    </row>
    <row r="1770" spans="1:7" x14ac:dyDescent="0.2">
      <c r="A1770" s="5">
        <v>1709</v>
      </c>
      <c r="B1770" s="1832">
        <f>'Tax Sched 23'!D14</f>
        <v>23117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2266189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1485851</v>
      </c>
      <c r="C1792" s="2" t="s">
        <v>569</v>
      </c>
      <c r="D1792" s="2" t="str">
        <f t="shared" si="27"/>
        <v>Error?</v>
      </c>
    </row>
    <row r="1793" spans="1:4" x14ac:dyDescent="0.2">
      <c r="A1793" s="5">
        <v>1732</v>
      </c>
      <c r="B1793" s="1832">
        <f>'Tax Sched 23'!F5</f>
        <v>291344</v>
      </c>
      <c r="C1793" s="2" t="s">
        <v>569</v>
      </c>
      <c r="D1793" s="2" t="str">
        <f t="shared" si="27"/>
        <v>Error?</v>
      </c>
    </row>
    <row r="1794" spans="1:4" x14ac:dyDescent="0.2">
      <c r="A1794" s="5">
        <v>1733</v>
      </c>
      <c r="B1794" s="1832">
        <f>'Tax Sched 23'!F6</f>
        <v>169218</v>
      </c>
      <c r="C1794" s="2" t="s">
        <v>569</v>
      </c>
      <c r="D1794" s="2" t="str">
        <f t="shared" si="27"/>
        <v>Error?</v>
      </c>
    </row>
    <row r="1795" spans="1:4" x14ac:dyDescent="0.2">
      <c r="A1795" s="5">
        <v>1734</v>
      </c>
      <c r="B1795" s="1832">
        <f>'Tax Sched 23'!F7</f>
        <v>116537</v>
      </c>
      <c r="C1795" s="2" t="s">
        <v>569</v>
      </c>
      <c r="D1795" s="2" t="str">
        <f t="shared" si="27"/>
        <v>Error?</v>
      </c>
    </row>
    <row r="1796" spans="1:4" x14ac:dyDescent="0.2">
      <c r="A1796" s="5">
        <v>1735</v>
      </c>
      <c r="B1796" s="1832">
        <f>'Tax Sched 23'!F8</f>
        <v>26250</v>
      </c>
      <c r="C1796" s="2" t="s">
        <v>569</v>
      </c>
      <c r="D1796" s="2" t="str">
        <f t="shared" si="27"/>
        <v>Error?</v>
      </c>
    </row>
    <row r="1797" spans="1:4" x14ac:dyDescent="0.2">
      <c r="A1797" s="5">
        <v>1736</v>
      </c>
      <c r="B1797" s="1832">
        <f>'Tax Sched 23'!F10</f>
        <v>29134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190002</v>
      </c>
      <c r="C1800" s="2" t="s">
        <v>569</v>
      </c>
      <c r="D1800" s="2" t="str">
        <f t="shared" si="27"/>
        <v>Error?</v>
      </c>
    </row>
    <row r="1801" spans="1:4" x14ac:dyDescent="0.2">
      <c r="A1801" s="5">
        <v>1740</v>
      </c>
      <c r="B1801" s="1832">
        <f>'Tax Sched 23'!F12</f>
        <v>29134</v>
      </c>
      <c r="C1801" s="2" t="s">
        <v>569</v>
      </c>
      <c r="D1801" s="2" t="str">
        <f t="shared" si="27"/>
        <v>Error?</v>
      </c>
    </row>
    <row r="1802" spans="1:4" x14ac:dyDescent="0.2">
      <c r="A1802" s="5">
        <v>1741</v>
      </c>
      <c r="B1802" s="1832">
        <f>'Tax Sched 23'!F14</f>
        <v>23308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2452912</v>
      </c>
      <c r="C1807" s="2" t="s">
        <v>569</v>
      </c>
      <c r="D1807" s="2" t="str">
        <f t="shared" si="27"/>
        <v>Error?</v>
      </c>
    </row>
    <row r="1808" spans="1:4" x14ac:dyDescent="0.2">
      <c r="A1808" s="5">
        <v>1747</v>
      </c>
      <c r="B1808" s="1832">
        <f>'Tax Sched 23'!E4</f>
        <v>1485851</v>
      </c>
      <c r="D1808" s="2" t="str">
        <f t="shared" si="27"/>
        <v>Error?</v>
      </c>
    </row>
    <row r="1809" spans="1:4" x14ac:dyDescent="0.2">
      <c r="A1809" s="5">
        <v>1748</v>
      </c>
      <c r="B1809" s="1832">
        <f>'Tax Sched 23'!E5</f>
        <v>291344</v>
      </c>
      <c r="D1809" s="2" t="str">
        <f t="shared" si="27"/>
        <v>Error?</v>
      </c>
    </row>
    <row r="1810" spans="1:4" x14ac:dyDescent="0.2">
      <c r="A1810" s="5">
        <v>1749</v>
      </c>
      <c r="B1810" s="1832">
        <f>'Tax Sched 23'!E6</f>
        <v>169218</v>
      </c>
      <c r="D1810" s="2" t="str">
        <f t="shared" si="27"/>
        <v>Error?</v>
      </c>
    </row>
    <row r="1811" spans="1:4" x14ac:dyDescent="0.2">
      <c r="A1811" s="5">
        <v>1750</v>
      </c>
      <c r="B1811" s="1832">
        <f>'Tax Sched 23'!E7</f>
        <v>116537</v>
      </c>
      <c r="D1811" s="2" t="str">
        <f t="shared" si="27"/>
        <v>Error?</v>
      </c>
    </row>
    <row r="1812" spans="1:4" x14ac:dyDescent="0.2">
      <c r="A1812" s="5">
        <v>1751</v>
      </c>
      <c r="B1812" s="1832">
        <f>'Tax Sched 23'!E8</f>
        <v>26250</v>
      </c>
      <c r="D1812" s="2" t="str">
        <f t="shared" si="27"/>
        <v>Error?</v>
      </c>
    </row>
    <row r="1813" spans="1:4" x14ac:dyDescent="0.2">
      <c r="A1813" s="5">
        <v>1752</v>
      </c>
      <c r="B1813" s="1832">
        <f>'Tax Sched 23'!E10</f>
        <v>29134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190002</v>
      </c>
      <c r="D1816" s="2" t="str">
        <f t="shared" si="27"/>
        <v>Error?</v>
      </c>
    </row>
    <row r="1817" spans="1:4" x14ac:dyDescent="0.2">
      <c r="A1817" s="5">
        <v>1756</v>
      </c>
      <c r="B1817" s="1832">
        <f>'Tax Sched 23'!E12</f>
        <v>29134</v>
      </c>
      <c r="D1817" s="2" t="str">
        <f t="shared" si="27"/>
        <v>Error?</v>
      </c>
    </row>
    <row r="1818" spans="1:4" x14ac:dyDescent="0.2">
      <c r="A1818" s="5">
        <v>1757</v>
      </c>
      <c r="B1818" s="1832">
        <f>'Tax Sched 23'!E14</f>
        <v>23308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2452912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1310000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23117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23117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23117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29900</v>
      </c>
      <c r="D2008" s="2" t="str">
        <f t="shared" si="30"/>
        <v>Error?</v>
      </c>
    </row>
    <row r="2009" spans="1:4" x14ac:dyDescent="0.2">
      <c r="A2009" s="5">
        <v>1948</v>
      </c>
      <c r="B2009" s="1832">
        <f>'Cap Outlay Deprec 26'!C8</f>
        <v>2396742</v>
      </c>
      <c r="D2009" s="2" t="str">
        <f t="shared" si="30"/>
        <v>Error?</v>
      </c>
    </row>
    <row r="2010" spans="1:4" x14ac:dyDescent="0.2">
      <c r="A2010" s="5">
        <v>1949</v>
      </c>
      <c r="B2010" s="1832">
        <f>'Cap Outlay Deprec 26'!C10</f>
        <v>177167</v>
      </c>
      <c r="D2010" s="2" t="str">
        <f t="shared" si="30"/>
        <v>Error?</v>
      </c>
    </row>
    <row r="2011" spans="1:4" x14ac:dyDescent="0.2">
      <c r="A2011" s="5">
        <v>1950</v>
      </c>
      <c r="B2011" s="1832">
        <f>'Cap Outlay Deprec 26'!C12</f>
        <v>332609</v>
      </c>
      <c r="D2011" s="2" t="str">
        <f t="shared" si="30"/>
        <v>Error?</v>
      </c>
    </row>
    <row r="2012" spans="1:4" x14ac:dyDescent="0.2">
      <c r="A2012" s="5">
        <v>1951</v>
      </c>
      <c r="B2012" s="1832">
        <f>'Cap Outlay Deprec 26'!C13</f>
        <v>433920</v>
      </c>
      <c r="D2012" s="2" t="str">
        <f t="shared" si="30"/>
        <v>Error?</v>
      </c>
    </row>
    <row r="2013" spans="1:4" x14ac:dyDescent="0.2">
      <c r="A2013" s="5">
        <v>1952</v>
      </c>
      <c r="B2013" s="1832">
        <f>'Cap Outlay Deprec 26'!C16</f>
        <v>3370338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1445326</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30186</v>
      </c>
      <c r="D2017" s="2" t="str">
        <f t="shared" si="30"/>
        <v>Error?</v>
      </c>
    </row>
    <row r="2018" spans="1:4" x14ac:dyDescent="0.2">
      <c r="A2018" s="5">
        <v>1957</v>
      </c>
      <c r="B2018" s="1832">
        <f>'Cap Outlay Deprec 26'!D13</f>
        <v>94125</v>
      </c>
      <c r="D2018" s="2" t="str">
        <f t="shared" si="30"/>
        <v>Error?</v>
      </c>
    </row>
    <row r="2019" spans="1:4" x14ac:dyDescent="0.2">
      <c r="A2019" s="5">
        <v>1958</v>
      </c>
      <c r="B2019" s="1832">
        <f>'Cap Outlay Deprec 26'!D16</f>
        <v>1569637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44890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29575</v>
      </c>
      <c r="D2023" s="2" t="str">
        <f t="shared" si="30"/>
        <v>Error?</v>
      </c>
    </row>
    <row r="2024" spans="1:4" x14ac:dyDescent="0.2">
      <c r="A2024" s="5">
        <v>1963</v>
      </c>
      <c r="B2024" s="1832">
        <f>'Cap Outlay Deprec 26'!E13</f>
        <v>87531</v>
      </c>
      <c r="D2024" s="2" t="str">
        <f t="shared" si="30"/>
        <v>Error?</v>
      </c>
    </row>
    <row r="2025" spans="1:4" x14ac:dyDescent="0.2">
      <c r="A2025" s="5">
        <v>1964</v>
      </c>
      <c r="B2025" s="1832">
        <f>'Cap Outlay Deprec 26'!E16</f>
        <v>161996</v>
      </c>
      <c r="C2025" s="2" t="s">
        <v>569</v>
      </c>
      <c r="D2025" s="2" t="str">
        <f t="shared" si="30"/>
        <v>Error?</v>
      </c>
    </row>
    <row r="2026" spans="1:4" x14ac:dyDescent="0.2">
      <c r="A2026" s="5">
        <v>1965</v>
      </c>
      <c r="B2026" s="1832">
        <f>'Cap Outlay Deprec 26'!F5</f>
        <v>29900</v>
      </c>
      <c r="C2026" s="2" t="s">
        <v>569</v>
      </c>
      <c r="D2026" s="2" t="str">
        <f t="shared" si="30"/>
        <v>Error?</v>
      </c>
    </row>
    <row r="2027" spans="1:4" x14ac:dyDescent="0.2">
      <c r="A2027" s="5">
        <v>1966</v>
      </c>
      <c r="B2027" s="1832">
        <f>'Cap Outlay Deprec 26'!F8</f>
        <v>3797178</v>
      </c>
      <c r="C2027" s="2" t="s">
        <v>569</v>
      </c>
      <c r="D2027" s="2" t="str">
        <f t="shared" si="30"/>
        <v>Error?</v>
      </c>
    </row>
    <row r="2028" spans="1:4" x14ac:dyDescent="0.2">
      <c r="A2028" s="5">
        <v>1967</v>
      </c>
      <c r="B2028" s="1832">
        <f>'Cap Outlay Deprec 26'!F10</f>
        <v>177167</v>
      </c>
      <c r="C2028" s="2" t="s">
        <v>569</v>
      </c>
      <c r="D2028" s="2" t="str">
        <f t="shared" si="30"/>
        <v>Error?</v>
      </c>
    </row>
    <row r="2029" spans="1:4" x14ac:dyDescent="0.2">
      <c r="A2029" s="5">
        <v>1968</v>
      </c>
      <c r="B2029" s="1832">
        <f>'Cap Outlay Deprec 26'!F12</f>
        <v>333220</v>
      </c>
      <c r="C2029" s="2" t="s">
        <v>569</v>
      </c>
      <c r="D2029" s="2" t="str">
        <f t="shared" si="30"/>
        <v>Error?</v>
      </c>
    </row>
    <row r="2030" spans="1:4" x14ac:dyDescent="0.2">
      <c r="A2030" s="5">
        <v>1969</v>
      </c>
      <c r="B2030" s="1832">
        <f>'Cap Outlay Deprec 26'!F13</f>
        <v>440514</v>
      </c>
      <c r="C2030" s="2" t="s">
        <v>569</v>
      </c>
      <c r="D2030" s="2" t="str">
        <f t="shared" si="30"/>
        <v>Error?</v>
      </c>
    </row>
    <row r="2031" spans="1:4" x14ac:dyDescent="0.2">
      <c r="A2031" s="5">
        <v>1970</v>
      </c>
      <c r="B2031" s="1832">
        <f>'Cap Outlay Deprec 26'!F16</f>
        <v>4777979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1442847</v>
      </c>
      <c r="D2033" s="2" t="str">
        <f t="shared" si="30"/>
        <v>Error?</v>
      </c>
    </row>
    <row r="2034" spans="1:4" x14ac:dyDescent="0.2">
      <c r="A2034" s="5">
        <v>1973</v>
      </c>
      <c r="B2034" s="1832">
        <f>'Cap Outlay Deprec 26'!H10</f>
        <v>119862</v>
      </c>
      <c r="D2034" s="2" t="str">
        <f t="shared" si="30"/>
        <v>Error?</v>
      </c>
    </row>
    <row r="2035" spans="1:4" x14ac:dyDescent="0.2">
      <c r="A2035" s="5">
        <v>1974</v>
      </c>
      <c r="B2035" s="1832">
        <f>'Cap Outlay Deprec 26'!H12</f>
        <v>102211</v>
      </c>
      <c r="D2035" s="2" t="str">
        <f t="shared" si="30"/>
        <v>Error?</v>
      </c>
    </row>
    <row r="2036" spans="1:4" x14ac:dyDescent="0.2">
      <c r="A2036" s="5">
        <v>1975</v>
      </c>
      <c r="B2036" s="1832">
        <f>'Cap Outlay Deprec 26'!H13</f>
        <v>156508</v>
      </c>
      <c r="D2036" s="2" t="str">
        <f t="shared" si="30"/>
        <v>Error?</v>
      </c>
    </row>
    <row r="2037" spans="1:4" x14ac:dyDescent="0.2">
      <c r="A2037" s="5">
        <v>1976</v>
      </c>
      <c r="B2037" s="1832">
        <f>'Cap Outlay Deprec 26'!H16</f>
        <v>1821428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38838</v>
      </c>
      <c r="D2039" s="2" t="str">
        <f t="shared" si="30"/>
        <v>Error?</v>
      </c>
    </row>
    <row r="2040" spans="1:4" x14ac:dyDescent="0.2">
      <c r="A2040" s="5">
        <v>1979</v>
      </c>
      <c r="B2040" s="1832">
        <f>'Cap Outlay Deprec 26'!I10</f>
        <v>6067</v>
      </c>
      <c r="D2040" s="2" t="str">
        <f t="shared" si="30"/>
        <v>Error?</v>
      </c>
    </row>
    <row r="2041" spans="1:4" x14ac:dyDescent="0.2">
      <c r="A2041" s="5">
        <v>1980</v>
      </c>
      <c r="B2041" s="1832">
        <f>'Cap Outlay Deprec 26'!I12</f>
        <v>24319</v>
      </c>
      <c r="D2041" s="2" t="str">
        <f t="shared" si="30"/>
        <v>Error?</v>
      </c>
    </row>
    <row r="2042" spans="1:4" x14ac:dyDescent="0.2">
      <c r="A2042" s="5">
        <v>1981</v>
      </c>
      <c r="B2042" s="1832">
        <f>'Cap Outlay Deprec 26'!I13</f>
        <v>80990</v>
      </c>
      <c r="D2042" s="2" t="str">
        <f t="shared" si="30"/>
        <v>Error?</v>
      </c>
    </row>
    <row r="2043" spans="1:4" x14ac:dyDescent="0.2">
      <c r="A2043" s="5">
        <v>1982</v>
      </c>
      <c r="B2043" s="1832">
        <f>'Cap Outlay Deprec 26'!I16</f>
        <v>150214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8134</v>
      </c>
      <c r="D2047" s="2" t="str">
        <f t="shared" ref="D2047:D2110" si="31">IF(ISBLANK(B2047),"OK",IF(A2047-B2047=0,"OK","Error?"))</f>
        <v>Error?</v>
      </c>
    </row>
    <row r="2048" spans="1:4" x14ac:dyDescent="0.2">
      <c r="A2048" s="5">
        <v>1987</v>
      </c>
      <c r="B2048" s="1832">
        <f>'Cap Outlay Deprec 26'!J13</f>
        <v>49106</v>
      </c>
      <c r="D2048" s="2" t="str">
        <f t="shared" si="31"/>
        <v>Error?</v>
      </c>
    </row>
    <row r="2049" spans="1:4" x14ac:dyDescent="0.2">
      <c r="A2049" s="5">
        <v>1988</v>
      </c>
      <c r="B2049" s="1832">
        <f>'Cap Outlay Deprec 26'!J16</f>
        <v>57240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1481685</v>
      </c>
      <c r="C2051" s="2" t="s">
        <v>569</v>
      </c>
      <c r="D2051" s="2" t="str">
        <f t="shared" si="31"/>
        <v>Error?</v>
      </c>
    </row>
    <row r="2052" spans="1:4" x14ac:dyDescent="0.2">
      <c r="A2052" s="5">
        <v>1991</v>
      </c>
      <c r="B2052" s="1832">
        <f>'Cap Outlay Deprec 26'!K10</f>
        <v>125929</v>
      </c>
      <c r="C2052" s="2" t="s">
        <v>569</v>
      </c>
      <c r="D2052" s="2" t="str">
        <f t="shared" si="31"/>
        <v>Error?</v>
      </c>
    </row>
    <row r="2053" spans="1:4" x14ac:dyDescent="0.2">
      <c r="A2053" s="5">
        <v>1992</v>
      </c>
      <c r="B2053" s="1832">
        <f>'Cap Outlay Deprec 26'!K12</f>
        <v>118396</v>
      </c>
      <c r="C2053" s="2" t="s">
        <v>569</v>
      </c>
      <c r="D2053" s="2" t="str">
        <f t="shared" si="31"/>
        <v>Error?</v>
      </c>
    </row>
    <row r="2054" spans="1:4" x14ac:dyDescent="0.2">
      <c r="A2054" s="5">
        <v>1993</v>
      </c>
      <c r="B2054" s="1832">
        <f>'Cap Outlay Deprec 26'!K13</f>
        <v>188392</v>
      </c>
      <c r="C2054" s="2" t="s">
        <v>569</v>
      </c>
      <c r="D2054" s="2" t="str">
        <f t="shared" si="31"/>
        <v>Error?</v>
      </c>
    </row>
    <row r="2055" spans="1:4" x14ac:dyDescent="0.2">
      <c r="A2055" s="5">
        <v>1994</v>
      </c>
      <c r="B2055" s="1832">
        <f>'Cap Outlay Deprec 26'!K16</f>
        <v>1914402</v>
      </c>
      <c r="C2055" s="2" t="s">
        <v>569</v>
      </c>
      <c r="D2055" s="2" t="str">
        <f t="shared" si="31"/>
        <v>Error?</v>
      </c>
    </row>
    <row r="2056" spans="1:4" x14ac:dyDescent="0.2">
      <c r="A2056" s="5">
        <v>1995</v>
      </c>
      <c r="B2056" s="1832">
        <f>'Cap Outlay Deprec 26'!L5</f>
        <v>29900</v>
      </c>
      <c r="C2056" s="2" t="s">
        <v>569</v>
      </c>
      <c r="D2056" s="2" t="str">
        <f t="shared" si="31"/>
        <v>Error?</v>
      </c>
    </row>
    <row r="2057" spans="1:4" x14ac:dyDescent="0.2">
      <c r="A2057" s="5">
        <v>1996</v>
      </c>
      <c r="B2057" s="1832">
        <f>'Cap Outlay Deprec 26'!L8</f>
        <v>2315493</v>
      </c>
      <c r="C2057" s="2" t="s">
        <v>569</v>
      </c>
      <c r="D2057" s="2" t="str">
        <f t="shared" si="31"/>
        <v>Error?</v>
      </c>
    </row>
    <row r="2058" spans="1:4" x14ac:dyDescent="0.2">
      <c r="A2058" s="5">
        <v>1997</v>
      </c>
      <c r="B2058" s="1832">
        <f>'Cap Outlay Deprec 26'!L10</f>
        <v>51238</v>
      </c>
      <c r="C2058" s="2" t="s">
        <v>569</v>
      </c>
      <c r="D2058" s="2" t="str">
        <f t="shared" si="31"/>
        <v>Error?</v>
      </c>
    </row>
    <row r="2059" spans="1:4" x14ac:dyDescent="0.2">
      <c r="A2059" s="5">
        <v>1998</v>
      </c>
      <c r="B2059" s="1832">
        <f>'Cap Outlay Deprec 26'!L12</f>
        <v>214824</v>
      </c>
      <c r="C2059" s="2" t="s">
        <v>569</v>
      </c>
      <c r="D2059" s="2" t="str">
        <f t="shared" si="31"/>
        <v>Error?</v>
      </c>
    </row>
    <row r="2060" spans="1:4" x14ac:dyDescent="0.2">
      <c r="A2060" s="5">
        <v>1999</v>
      </c>
      <c r="B2060" s="1832">
        <f>'Cap Outlay Deprec 26'!L13</f>
        <v>252122</v>
      </c>
      <c r="C2060" s="2" t="s">
        <v>569</v>
      </c>
      <c r="D2060" s="2" t="str">
        <f t="shared" si="31"/>
        <v>Error?</v>
      </c>
    </row>
    <row r="2061" spans="1:4" x14ac:dyDescent="0.2">
      <c r="A2061" s="5">
        <v>2000</v>
      </c>
      <c r="B2061" s="1832">
        <f>'Cap Outlay Deprec 26'!L16</f>
        <v>2863577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522794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522794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 5-6'!C38</f>
        <v>0</v>
      </c>
      <c r="D2435" s="2" t="str">
        <f t="shared" si="37"/>
        <v>Error?</v>
      </c>
    </row>
    <row r="2436" spans="1:4" x14ac:dyDescent="0.2">
      <c r="A2436" s="10">
        <v>2375</v>
      </c>
      <c r="B2436" s="1832"/>
      <c r="D2436" s="2" t="str">
        <f t="shared" si="37"/>
        <v>OK</v>
      </c>
    </row>
    <row r="2437" spans="1:4" x14ac:dyDescent="0.2">
      <c r="A2437" s="5">
        <v>2376</v>
      </c>
      <c r="B2437" s="1832">
        <f>'Assets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 5-6'!F38</f>
        <v>0</v>
      </c>
      <c r="D2475" s="2" t="str">
        <f t="shared" si="37"/>
        <v>Error?</v>
      </c>
    </row>
    <row r="2476" spans="1:4" x14ac:dyDescent="0.2">
      <c r="A2476" s="10">
        <v>2415</v>
      </c>
      <c r="B2476" s="1832"/>
      <c r="D2476" s="2" t="str">
        <f t="shared" si="37"/>
        <v>OK</v>
      </c>
    </row>
    <row r="2477" spans="1:4" x14ac:dyDescent="0.2">
      <c r="A2477" s="5">
        <v>2416</v>
      </c>
      <c r="B2477" s="1832">
        <f>'Assets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2320080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608154</v>
      </c>
      <c r="C2553" s="2" t="s">
        <v>569</v>
      </c>
      <c r="D2553" s="2" t="str">
        <f t="shared" si="38"/>
        <v>Error?</v>
      </c>
    </row>
    <row r="2554" spans="1:4" x14ac:dyDescent="0.2">
      <c r="A2554" s="5">
        <v>2493</v>
      </c>
      <c r="B2554" s="1832">
        <f>'Acct Summary 7-8'!C7</f>
        <v>187202</v>
      </c>
      <c r="C2554" s="2" t="s">
        <v>569</v>
      </c>
      <c r="D2554" s="2" t="str">
        <f t="shared" si="38"/>
        <v>Error?</v>
      </c>
    </row>
    <row r="2555" spans="1:4" x14ac:dyDescent="0.2">
      <c r="A2555" s="5">
        <v>2494</v>
      </c>
      <c r="B2555" s="1832">
        <f>'Acct Summary 7-8'!C8</f>
        <v>3115436</v>
      </c>
      <c r="C2555" s="2" t="s">
        <v>569</v>
      </c>
      <c r="D2555" s="2" t="str">
        <f t="shared" si="38"/>
        <v>Error?</v>
      </c>
    </row>
    <row r="2556" spans="1:4" x14ac:dyDescent="0.2">
      <c r="A2556" s="5">
        <v>2495</v>
      </c>
      <c r="B2556" s="1832">
        <f>'Acct Summary 7-8'!C12</f>
        <v>1263491</v>
      </c>
      <c r="C2556" s="2" t="s">
        <v>569</v>
      </c>
      <c r="D2556" s="2" t="str">
        <f t="shared" si="38"/>
        <v>Error?</v>
      </c>
    </row>
    <row r="2557" spans="1:4" x14ac:dyDescent="0.2">
      <c r="A2557" s="5">
        <v>2496</v>
      </c>
      <c r="B2557" s="1832">
        <f>'Acct Summary 7-8'!C13</f>
        <v>853648</v>
      </c>
      <c r="C2557" s="2" t="s">
        <v>569</v>
      </c>
      <c r="D2557" s="2" t="str">
        <f t="shared" si="38"/>
        <v>Error?</v>
      </c>
    </row>
    <row r="2558" spans="1:4" x14ac:dyDescent="0.2">
      <c r="A2558" s="5">
        <v>2497</v>
      </c>
      <c r="B2558" s="1832">
        <f>'Acct Summary 7-8'!C14</f>
        <v>3598</v>
      </c>
      <c r="C2558" s="2" t="s">
        <v>569</v>
      </c>
      <c r="D2558" s="2" t="str">
        <f t="shared" si="38"/>
        <v>Error?</v>
      </c>
    </row>
    <row r="2559" spans="1:4" x14ac:dyDescent="0.2">
      <c r="A2559" s="5">
        <v>2498</v>
      </c>
      <c r="B2559" s="1832">
        <f>'Acct Summary 7-8'!C15</f>
        <v>522794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2643531</v>
      </c>
      <c r="C2561" s="2" t="s">
        <v>569</v>
      </c>
      <c r="D2561" s="2" t="str">
        <f t="shared" si="39"/>
        <v>Error?</v>
      </c>
    </row>
    <row r="2562" spans="1:4" x14ac:dyDescent="0.2">
      <c r="A2562" s="5">
        <v>2501</v>
      </c>
      <c r="B2562" s="1832">
        <f>'Acct Summary 7-8'!C20</f>
        <v>471905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295696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345696</v>
      </c>
      <c r="C2568" s="2" t="s">
        <v>569</v>
      </c>
      <c r="D2568" s="2" t="str">
        <f t="shared" si="39"/>
        <v>Error?</v>
      </c>
    </row>
    <row r="2569" spans="1:4" x14ac:dyDescent="0.2">
      <c r="A2569" s="5">
        <v>2508</v>
      </c>
      <c r="B2569" s="1832">
        <f>'Acct Summary 7-8'!D13</f>
        <v>563447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563447</v>
      </c>
      <c r="C2573" s="2" t="s">
        <v>569</v>
      </c>
      <c r="D2573" s="2" t="str">
        <f t="shared" si="39"/>
        <v>Error?</v>
      </c>
    </row>
    <row r="2574" spans="1:4" x14ac:dyDescent="0.2">
      <c r="A2574" s="5">
        <v>2513</v>
      </c>
      <c r="B2574" s="1832">
        <f>'Acct Summary 7-8'!D20</f>
        <v>-217751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137367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216822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354189</v>
      </c>
      <c r="C2595" s="2" t="s">
        <v>569</v>
      </c>
      <c r="D2595" s="2" t="str">
        <f t="shared" si="39"/>
        <v>Error?</v>
      </c>
    </row>
    <row r="2596" spans="1:4" x14ac:dyDescent="0.2">
      <c r="A2596" s="5">
        <v>2535</v>
      </c>
      <c r="B2596" s="1832">
        <f>'Acct Summary 7-8'!F13</f>
        <v>193643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80983</v>
      </c>
      <c r="C2599" s="2" t="s">
        <v>569</v>
      </c>
      <c r="D2599" s="2" t="str">
        <f t="shared" si="39"/>
        <v>Error?</v>
      </c>
    </row>
    <row r="2600" spans="1:4" x14ac:dyDescent="0.2">
      <c r="A2600" s="5">
        <v>2539</v>
      </c>
      <c r="B2600" s="1832">
        <f>'Acct Summary 7-8'!F17</f>
        <v>274626</v>
      </c>
      <c r="C2600" s="2" t="s">
        <v>569</v>
      </c>
      <c r="D2600" s="2" t="str">
        <f t="shared" si="39"/>
        <v>Error?</v>
      </c>
    </row>
    <row r="2601" spans="1:4" x14ac:dyDescent="0.2">
      <c r="A2601" s="5">
        <v>2540</v>
      </c>
      <c r="B2601" s="1832">
        <f>'Acct Summary 7-8'!F20</f>
        <v>79563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87173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87173</v>
      </c>
      <c r="C2606" s="2" t="s">
        <v>569</v>
      </c>
      <c r="D2606" s="2" t="str">
        <f t="shared" si="39"/>
        <v>Error?</v>
      </c>
    </row>
    <row r="2607" spans="1:4" x14ac:dyDescent="0.2">
      <c r="A2607" s="5">
        <v>2546</v>
      </c>
      <c r="B2607" s="1832">
        <f>'Acct Summary 7-8'!G12</f>
        <v>26191</v>
      </c>
      <c r="C2607" s="2" t="s">
        <v>569</v>
      </c>
      <c r="D2607" s="2" t="str">
        <f t="shared" si="39"/>
        <v>Error?</v>
      </c>
    </row>
    <row r="2608" spans="1:4" x14ac:dyDescent="0.2">
      <c r="A2608" s="5">
        <v>2547</v>
      </c>
      <c r="B2608" s="1832">
        <f>'Acct Summary 7-8'!G13</f>
        <v>42014</v>
      </c>
      <c r="C2608" s="2" t="s">
        <v>569</v>
      </c>
      <c r="D2608" s="2" t="str">
        <f t="shared" si="39"/>
        <v>Error?</v>
      </c>
    </row>
    <row r="2609" spans="1:4" x14ac:dyDescent="0.2">
      <c r="A2609" s="5">
        <v>2548</v>
      </c>
      <c r="B2609" s="1832">
        <f>'Acct Summary 7-8'!G14</f>
        <v>39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68244</v>
      </c>
      <c r="C2612" s="2" t="s">
        <v>569</v>
      </c>
      <c r="D2612" s="2" t="str">
        <f t="shared" si="39"/>
        <v>Error?</v>
      </c>
    </row>
    <row r="2613" spans="1:4" x14ac:dyDescent="0.2">
      <c r="A2613" s="5">
        <v>2552</v>
      </c>
      <c r="B2613" s="1832">
        <f>'Acct Summary 7-8'!G20</f>
        <v>18929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45896</v>
      </c>
      <c r="C2634" s="2" t="s">
        <v>569</v>
      </c>
      <c r="D2634" s="2" t="str">
        <f t="shared" si="40"/>
        <v>Error?</v>
      </c>
    </row>
    <row r="2635" spans="1:4" x14ac:dyDescent="0.2">
      <c r="A2635" s="5">
        <v>2574</v>
      </c>
      <c r="B2635" s="1832">
        <f>'Acct Summary 7-8'!E17</f>
        <v>45896</v>
      </c>
      <c r="C2635" s="2" t="s">
        <v>569</v>
      </c>
      <c r="D2635" s="2" t="str">
        <f t="shared" si="40"/>
        <v>Error?</v>
      </c>
    </row>
    <row r="2636" spans="1:4" x14ac:dyDescent="0.2">
      <c r="A2636" s="5">
        <v>2575</v>
      </c>
      <c r="B2636" s="1832">
        <f>'Acct Summary 7-8'!E20</f>
        <v>-45896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2405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2405</v>
      </c>
      <c r="C2658" s="2" t="s">
        <v>569</v>
      </c>
      <c r="D2658" s="2" t="str">
        <f t="shared" si="40"/>
        <v>Error?</v>
      </c>
    </row>
    <row r="2659" spans="1:4" x14ac:dyDescent="0.2">
      <c r="A2659" s="5">
        <v>2598</v>
      </c>
      <c r="B2659" s="1832">
        <f>'Acct Summary 7-8'!H13</f>
        <v>1108430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1108430</v>
      </c>
      <c r="C2661" s="2" t="s">
        <v>569</v>
      </c>
      <c r="D2661" s="2" t="str">
        <f t="shared" si="40"/>
        <v>Error?</v>
      </c>
    </row>
    <row r="2662" spans="1:4" x14ac:dyDescent="0.2">
      <c r="A2662" s="5">
        <v>2601</v>
      </c>
      <c r="B2662" s="1832">
        <f>'Acct Summary 7-8'!H20</f>
        <v>-1106025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 5-6'!I5</f>
        <v>0</v>
      </c>
      <c r="D2885" s="2" t="str">
        <f t="shared" si="44"/>
        <v>Error?</v>
      </c>
    </row>
    <row r="2886" spans="1:4" x14ac:dyDescent="0.2">
      <c r="A2886" s="10">
        <v>2825</v>
      </c>
      <c r="B2886" s="1832"/>
      <c r="D2886" s="2" t="str">
        <f t="shared" si="44"/>
        <v>OK</v>
      </c>
    </row>
    <row r="2887" spans="1:4" x14ac:dyDescent="0.2">
      <c r="A2887" s="5">
        <v>2826</v>
      </c>
      <c r="B2887" s="1832">
        <f>'Assets 5-6'!I12</f>
        <v>0</v>
      </c>
      <c r="D2887" s="2" t="str">
        <f t="shared" si="44"/>
        <v>Error?</v>
      </c>
    </row>
    <row r="2888" spans="1:4" x14ac:dyDescent="0.2">
      <c r="A2888" s="5">
        <v>2827</v>
      </c>
      <c r="B2888" s="1832">
        <f>'Assets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 5-6'!L10</f>
        <v>0</v>
      </c>
      <c r="D2891" s="2" t="str">
        <f t="shared" si="44"/>
        <v>Error?</v>
      </c>
    </row>
    <row r="2892" spans="1:4" x14ac:dyDescent="0.2">
      <c r="A2892" s="5">
        <v>2831</v>
      </c>
      <c r="B2892" s="1832">
        <f>'Assets 5-6'!L5</f>
        <v>0</v>
      </c>
      <c r="D2892" s="2" t="str">
        <f t="shared" si="44"/>
        <v>Error?</v>
      </c>
    </row>
    <row r="2893" spans="1:4" x14ac:dyDescent="0.2">
      <c r="A2893" s="10">
        <v>2832</v>
      </c>
      <c r="B2893" s="1832"/>
      <c r="D2893" s="2" t="str">
        <f t="shared" si="44"/>
        <v>OK</v>
      </c>
    </row>
    <row r="2894" spans="1:4" x14ac:dyDescent="0.2">
      <c r="A2894" s="5">
        <v>2833</v>
      </c>
      <c r="B2894" s="1832">
        <f>'Assets 5-6'!L12</f>
        <v>0</v>
      </c>
      <c r="D2894" s="2" t="str">
        <f t="shared" si="44"/>
        <v>Error?</v>
      </c>
    </row>
    <row r="2895" spans="1:4" x14ac:dyDescent="0.2">
      <c r="A2895" s="5">
        <v>2834</v>
      </c>
      <c r="B2895" s="1832">
        <f>'Assets 5-6'!L13</f>
        <v>35506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 5-6'!I32</f>
        <v>0</v>
      </c>
      <c r="D2908" s="2" t="str">
        <f t="shared" si="44"/>
        <v>Error?</v>
      </c>
    </row>
    <row r="2909" spans="1:4" x14ac:dyDescent="0.2">
      <c r="A2909" s="10">
        <v>2848</v>
      </c>
      <c r="B2909" s="1832"/>
      <c r="D2909" s="2" t="str">
        <f t="shared" si="44"/>
        <v>OK</v>
      </c>
    </row>
    <row r="2910" spans="1:4" x14ac:dyDescent="0.2">
      <c r="A2910" s="5">
        <v>2849</v>
      </c>
      <c r="B2910" s="1832">
        <f>'Assets 5-6'!I34</f>
        <v>0</v>
      </c>
      <c r="C2910" s="2" t="s">
        <v>569</v>
      </c>
      <c r="D2910" s="2" t="str">
        <f t="shared" si="44"/>
        <v>Error?</v>
      </c>
    </row>
    <row r="2911" spans="1:4" x14ac:dyDescent="0.2">
      <c r="A2911" s="5">
        <v>2850</v>
      </c>
      <c r="B2911" s="1832">
        <f>'Assets 5-6'!I38</f>
        <v>0</v>
      </c>
      <c r="D2911" s="2" t="str">
        <f t="shared" si="44"/>
        <v>Error?</v>
      </c>
    </row>
    <row r="2912" spans="1:4" x14ac:dyDescent="0.2">
      <c r="A2912" s="5">
        <v>2851</v>
      </c>
      <c r="B2912" s="1832">
        <f>'Assets 5-6'!I39</f>
        <v>0</v>
      </c>
      <c r="D2912" s="2" t="str">
        <f t="shared" si="44"/>
        <v>Error?</v>
      </c>
    </row>
    <row r="2913" spans="1:4" x14ac:dyDescent="0.2">
      <c r="A2913" s="5">
        <v>2852</v>
      </c>
      <c r="B2913" s="1832">
        <f>'Assets 5-6'!I41</f>
        <v>0</v>
      </c>
      <c r="C2913" s="2" t="s">
        <v>569</v>
      </c>
      <c r="D2913" s="2" t="str">
        <f t="shared" si="44"/>
        <v>Error?</v>
      </c>
    </row>
    <row r="2914" spans="1:4" x14ac:dyDescent="0.2">
      <c r="A2914" s="5">
        <v>2853</v>
      </c>
      <c r="B2914" s="1832">
        <f>'Assets 5-6'!L33</f>
        <v>35506</v>
      </c>
      <c r="D2914" s="2" t="str">
        <f t="shared" si="44"/>
        <v>Error?</v>
      </c>
    </row>
    <row r="2915" spans="1:4" x14ac:dyDescent="0.2">
      <c r="A2915" s="10">
        <v>2854</v>
      </c>
      <c r="B2915" s="1832"/>
      <c r="D2915" s="2" t="str">
        <f t="shared" si="44"/>
        <v>OK</v>
      </c>
    </row>
    <row r="2916" spans="1:4" x14ac:dyDescent="0.2">
      <c r="A2916" s="5">
        <v>2855</v>
      </c>
      <c r="B2916" s="1832">
        <f>'Assets 5-6'!L34</f>
        <v>35506</v>
      </c>
      <c r="C2916" s="2" t="s">
        <v>569</v>
      </c>
      <c r="D2916" s="2" t="str">
        <f t="shared" si="44"/>
        <v>Error?</v>
      </c>
    </row>
    <row r="2917" spans="1:4" x14ac:dyDescent="0.2">
      <c r="A2917" s="5">
        <v>2856</v>
      </c>
      <c r="B2917" s="1832">
        <f>'Assets 5-6'!L41</f>
        <v>35506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522794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522794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43656</v>
      </c>
      <c r="D3055" s="2" t="str">
        <f t="shared" si="46"/>
        <v>Error?</v>
      </c>
    </row>
    <row r="3056" spans="1:4" x14ac:dyDescent="0.2">
      <c r="A3056" s="5">
        <v>2995</v>
      </c>
      <c r="B3056" s="1832">
        <f>'Expenditures 15-22'!D10</f>
        <v>13398</v>
      </c>
      <c r="D3056" s="2" t="str">
        <f t="shared" si="46"/>
        <v>Error?</v>
      </c>
    </row>
    <row r="3057" spans="1:4" x14ac:dyDescent="0.2">
      <c r="A3057" s="5">
        <v>2996</v>
      </c>
      <c r="B3057" s="1832">
        <f>'Expenditures 15-22'!E10</f>
        <v>5467</v>
      </c>
      <c r="D3057" s="2" t="str">
        <f t="shared" si="46"/>
        <v>Error?</v>
      </c>
    </row>
    <row r="3058" spans="1:4" x14ac:dyDescent="0.2">
      <c r="A3058" s="5">
        <v>2997</v>
      </c>
      <c r="B3058" s="1832">
        <f>'Expenditures 15-22'!F10</f>
        <v>172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62693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687</v>
      </c>
      <c r="D3064" s="2" t="str">
        <f t="shared" si="46"/>
        <v>Error?</v>
      </c>
    </row>
    <row r="3065" spans="1:4" x14ac:dyDescent="0.2">
      <c r="A3065" s="5">
        <v>3004</v>
      </c>
      <c r="B3065" s="1832">
        <f>'Expenditures 15-22'!K219</f>
        <v>687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 5-6'!L38</f>
        <v>0</v>
      </c>
      <c r="D3071" s="2" t="str">
        <f t="shared" ref="D3071:D3134" si="47">IF(ISBLANK(B3071),"OK",IF(A3071-B3071=0,"OK","Error?"))</f>
        <v>Error?</v>
      </c>
    </row>
    <row r="3072" spans="1:4" x14ac:dyDescent="0.2">
      <c r="A3072" s="5">
        <v>3011</v>
      </c>
      <c r="B3072" s="1832">
        <f>'Assets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29337</v>
      </c>
      <c r="C3225" s="2" t="s">
        <v>569</v>
      </c>
      <c r="D3225" s="2" t="str">
        <f t="shared" si="49"/>
        <v>Error?</v>
      </c>
    </row>
    <row r="3226" spans="1:4" x14ac:dyDescent="0.2">
      <c r="A3226" s="5">
        <v>3165</v>
      </c>
      <c r="B3226" s="1832">
        <f>'Acct Summary 7-8'!I8</f>
        <v>29337</v>
      </c>
      <c r="C3226" s="2" t="s">
        <v>569</v>
      </c>
      <c r="D3226" s="2" t="str">
        <f t="shared" si="49"/>
        <v>Error?</v>
      </c>
    </row>
    <row r="3227" spans="1:4" x14ac:dyDescent="0.2">
      <c r="A3227" s="5">
        <v>3166</v>
      </c>
      <c r="B3227" s="1832">
        <f>'Acct Summary 7-8'!I20</f>
        <v>29337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471905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-217751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79563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18929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45896</v>
      </c>
      <c r="D3273" s="2" t="str">
        <f t="shared" si="50"/>
        <v>Error?</v>
      </c>
    </row>
    <row r="3274" spans="1:4" x14ac:dyDescent="0.2">
      <c r="A3274" s="5">
        <v>3213</v>
      </c>
      <c r="B3274" s="1832">
        <f>'Acct Summary 7-8'!E44</f>
        <v>45896</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45896</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1310000</v>
      </c>
      <c r="C3296" s="2" t="s">
        <v>569</v>
      </c>
      <c r="D3296" s="2" t="str">
        <f t="shared" si="50"/>
        <v>Error?</v>
      </c>
    </row>
    <row r="3297" spans="1:4" x14ac:dyDescent="0.2">
      <c r="A3297" s="5">
        <v>3236</v>
      </c>
      <c r="B3297" s="1832">
        <f>'Acct Summary 7-8'!H75</f>
        <v>16312</v>
      </c>
      <c r="D3297" s="2" t="str">
        <f t="shared" si="50"/>
        <v>Error?</v>
      </c>
    </row>
    <row r="3298" spans="1:4" x14ac:dyDescent="0.2">
      <c r="A3298" s="5">
        <v>3237</v>
      </c>
      <c r="B3298" s="1832">
        <f>'Acct Summary 7-8'!H76</f>
        <v>16312</v>
      </c>
      <c r="C3298" s="2" t="s">
        <v>569</v>
      </c>
      <c r="D3298" s="2" t="str">
        <f t="shared" si="50"/>
        <v>Error?</v>
      </c>
    </row>
    <row r="3299" spans="1:4" x14ac:dyDescent="0.2">
      <c r="A3299" s="5">
        <v>3238</v>
      </c>
      <c r="B3299" s="1832">
        <f>'Acct Summary 7-8'!H77</f>
        <v>1293688</v>
      </c>
      <c r="C3299" s="2" t="s">
        <v>569</v>
      </c>
      <c r="D3299" s="2" t="str">
        <f t="shared" si="50"/>
        <v>Error?</v>
      </c>
    </row>
    <row r="3300" spans="1:4" x14ac:dyDescent="0.2">
      <c r="A3300" s="5">
        <v>3239</v>
      </c>
      <c r="B3300" s="1832">
        <f>'Acct Summary 7-8'!H78</f>
        <v>187663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29584</v>
      </c>
      <c r="C3318" s="2" t="s">
        <v>569</v>
      </c>
      <c r="D3318" s="2" t="str">
        <f t="shared" si="50"/>
        <v>Error?</v>
      </c>
    </row>
    <row r="3319" spans="1:4" x14ac:dyDescent="0.2">
      <c r="A3319" s="5">
        <v>3258</v>
      </c>
      <c r="B3319" s="1832">
        <f>'Acct Summary 7-8'!I77</f>
        <v>-29584</v>
      </c>
      <c r="C3319" s="2" t="s">
        <v>569</v>
      </c>
      <c r="D3319" s="2" t="str">
        <f t="shared" si="50"/>
        <v>Error?</v>
      </c>
    </row>
    <row r="3320" spans="1:4" x14ac:dyDescent="0.2">
      <c r="A3320" s="5">
        <v>3259</v>
      </c>
      <c r="B3320" s="1832">
        <f>'Acct Summary 7-8'!I78</f>
        <v>-247</v>
      </c>
      <c r="C3320" s="2" t="s">
        <v>569</v>
      </c>
      <c r="D3320" s="2" t="str">
        <f t="shared" si="50"/>
        <v>Error?</v>
      </c>
    </row>
    <row r="3321" spans="1:4" x14ac:dyDescent="0.2">
      <c r="A3321" s="5">
        <v>3260</v>
      </c>
      <c r="B3321" s="1832">
        <f>'Acct Summary 7-8'!I79</f>
        <v>247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108214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10722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17458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136394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18590</v>
      </c>
      <c r="D3387" s="2" t="str">
        <f t="shared" si="51"/>
        <v>Error?</v>
      </c>
    </row>
    <row r="3388" spans="1:4" x14ac:dyDescent="0.2">
      <c r="A3388" s="5">
        <v>3327</v>
      </c>
      <c r="B3388" s="1832">
        <f>'Expenditures 15-22'!D217</f>
        <v>2950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18590</v>
      </c>
      <c r="C3390" s="2" t="s">
        <v>569</v>
      </c>
      <c r="D3390" s="2" t="str">
        <f t="shared" si="51"/>
        <v>Error?</v>
      </c>
    </row>
    <row r="3391" spans="1:4" x14ac:dyDescent="0.2">
      <c r="A3391" s="5">
        <v>3330</v>
      </c>
      <c r="B3391" s="1832">
        <f>'Expenditures 15-22'!K217</f>
        <v>2950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 5-6'!C4</f>
        <v>1556252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 5-6'!D4</f>
        <v>715434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 5-6'!E4</f>
        <v>0</v>
      </c>
      <c r="D3417" s="2" t="str">
        <f t="shared" si="52"/>
        <v>Error?</v>
      </c>
    </row>
    <row r="3418" spans="1:4" x14ac:dyDescent="0.2">
      <c r="A3418" s="10">
        <v>3357</v>
      </c>
      <c r="B3418" s="1832"/>
      <c r="D3418" s="2" t="str">
        <f t="shared" si="52"/>
        <v>OK</v>
      </c>
    </row>
    <row r="3419" spans="1:4" x14ac:dyDescent="0.2">
      <c r="A3419" s="5">
        <v>3358</v>
      </c>
      <c r="B3419" s="1832">
        <f>'Assets 5-6'!F4</f>
        <v>483998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 5-6'!G4</f>
        <v>352194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 5-6'!H4</f>
        <v>187663</v>
      </c>
      <c r="D3425" s="2" t="str">
        <f t="shared" si="52"/>
        <v>Error?</v>
      </c>
    </row>
    <row r="3426" spans="1:4" x14ac:dyDescent="0.2">
      <c r="A3426" s="10">
        <v>3365</v>
      </c>
      <c r="B3426" s="1832"/>
      <c r="D3426" s="2" t="str">
        <f t="shared" si="52"/>
        <v>OK</v>
      </c>
    </row>
    <row r="3427" spans="1:4" x14ac:dyDescent="0.2">
      <c r="A3427" s="5">
        <v>3366</v>
      </c>
      <c r="B3427" s="1832">
        <f>'Assets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 5-6'!L4</f>
        <v>35506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59893</v>
      </c>
      <c r="C3446" s="2" t="s">
        <v>569</v>
      </c>
      <c r="D3446" s="2" t="str">
        <f t="shared" si="52"/>
        <v>Error?</v>
      </c>
    </row>
    <row r="3447" spans="1:4" x14ac:dyDescent="0.2">
      <c r="A3447" s="5">
        <v>3386</v>
      </c>
      <c r="B3447" s="1832">
        <f>'Tax Sched 23'!D16</f>
        <v>59893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63000</v>
      </c>
      <c r="C3449" s="2" t="s">
        <v>569</v>
      </c>
      <c r="D3449" s="2" t="str">
        <f t="shared" si="52"/>
        <v>Error?</v>
      </c>
    </row>
    <row r="3450" spans="1:4" x14ac:dyDescent="0.2">
      <c r="A3450" s="5">
        <v>3389</v>
      </c>
      <c r="B3450" s="1832">
        <f>'Tax Sched 23'!E16</f>
        <v>63000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 5-6'!K4</f>
        <v>35728</v>
      </c>
      <c r="D3546" s="2" t="str">
        <f t="shared" si="54"/>
        <v>Error?</v>
      </c>
    </row>
    <row r="3547" spans="1:4" x14ac:dyDescent="0.2">
      <c r="A3547" s="10">
        <v>3486</v>
      </c>
      <c r="B3547" s="1832"/>
      <c r="D3547" s="2" t="str">
        <f t="shared" si="54"/>
        <v>OK</v>
      </c>
    </row>
    <row r="3548" spans="1:4" x14ac:dyDescent="0.2">
      <c r="A3548" s="5">
        <v>3487</v>
      </c>
      <c r="B3548" s="1832">
        <f>'Assets 5-6'!K6</f>
        <v>0</v>
      </c>
      <c r="D3548" s="2" t="str">
        <f t="shared" si="54"/>
        <v>Error?</v>
      </c>
    </row>
    <row r="3549" spans="1:4" x14ac:dyDescent="0.2">
      <c r="A3549" s="5">
        <v>3488</v>
      </c>
      <c r="B3549" s="1832">
        <f>'Assets 5-6'!K10</f>
        <v>0</v>
      </c>
      <c r="D3549" s="2" t="str">
        <f t="shared" si="54"/>
        <v>Error?</v>
      </c>
    </row>
    <row r="3550" spans="1:4" x14ac:dyDescent="0.2">
      <c r="A3550" s="5">
        <v>3489</v>
      </c>
      <c r="B3550" s="1832">
        <f>'Assets 5-6'!K5</f>
        <v>0</v>
      </c>
      <c r="D3550" s="2" t="str">
        <f t="shared" si="54"/>
        <v>Error?</v>
      </c>
    </row>
    <row r="3551" spans="1:4" x14ac:dyDescent="0.2">
      <c r="A3551" s="5">
        <v>3490</v>
      </c>
      <c r="B3551" s="1832">
        <f>'Assets 5-6'!K12</f>
        <v>0</v>
      </c>
      <c r="D3551" s="2" t="str">
        <f t="shared" si="54"/>
        <v>Error?</v>
      </c>
    </row>
    <row r="3552" spans="1:4" x14ac:dyDescent="0.2">
      <c r="A3552" s="5">
        <v>3491</v>
      </c>
      <c r="B3552" s="1832">
        <f>'Assets 5-6'!K13</f>
        <v>35728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 5-6'!K31</f>
        <v>0</v>
      </c>
      <c r="D3561" s="2" t="str">
        <f t="shared" si="54"/>
        <v>Error?</v>
      </c>
    </row>
    <row r="3562" spans="1:4" x14ac:dyDescent="0.2">
      <c r="A3562" s="5">
        <v>3501</v>
      </c>
      <c r="B3562" s="1832">
        <f>'Assets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 5-6'!K34</f>
        <v>0</v>
      </c>
      <c r="C3565" s="2" t="s">
        <v>569</v>
      </c>
      <c r="D3565" s="2" t="str">
        <f t="shared" si="54"/>
        <v>Error?</v>
      </c>
    </row>
    <row r="3566" spans="1:4" x14ac:dyDescent="0.2">
      <c r="A3566" s="5">
        <v>3505</v>
      </c>
      <c r="B3566" s="1832">
        <f>'Assets 5-6'!K38</f>
        <v>0</v>
      </c>
      <c r="D3566" s="2" t="str">
        <f t="shared" si="54"/>
        <v>Error?</v>
      </c>
    </row>
    <row r="3567" spans="1:4" x14ac:dyDescent="0.2">
      <c r="A3567" s="5">
        <v>3506</v>
      </c>
      <c r="B3567" s="1832">
        <f>'Assets 5-6'!K39</f>
        <v>35728</v>
      </c>
      <c r="D3567" s="2" t="str">
        <f t="shared" si="54"/>
        <v>Error?</v>
      </c>
    </row>
    <row r="3568" spans="1:4" x14ac:dyDescent="0.2">
      <c r="A3568" s="5">
        <v>3507</v>
      </c>
      <c r="B3568" s="1832">
        <f>'Assets 5-6'!K41</f>
        <v>35728</v>
      </c>
      <c r="C3568" s="2" t="s">
        <v>569</v>
      </c>
      <c r="D3568" s="2" t="str">
        <f t="shared" si="54"/>
        <v>Error?</v>
      </c>
    </row>
    <row r="3569" spans="1:4" x14ac:dyDescent="0.2">
      <c r="A3569" s="5">
        <v>3508</v>
      </c>
      <c r="B3569" s="1832">
        <f>'Acct Summary 7-8'!K4</f>
        <v>29268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29268</v>
      </c>
      <c r="C3571" s="2" t="s">
        <v>569</v>
      </c>
      <c r="D3571" s="2" t="str">
        <f t="shared" si="54"/>
        <v>Error?</v>
      </c>
    </row>
    <row r="3572" spans="1:4" x14ac:dyDescent="0.2">
      <c r="A3572" s="5">
        <v>3511</v>
      </c>
      <c r="B3572" s="1832">
        <f>'Acct Summary 7-8'!K13</f>
        <v>814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814</v>
      </c>
      <c r="C3575" s="2" t="s">
        <v>569</v>
      </c>
      <c r="D3575" s="2" t="str">
        <f t="shared" si="54"/>
        <v>Error?</v>
      </c>
    </row>
    <row r="3576" spans="1:4" x14ac:dyDescent="0.2">
      <c r="A3576" s="5">
        <v>3515</v>
      </c>
      <c r="B3576" s="1832">
        <f>'Acct Summary 7-8'!K20</f>
        <v>28454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28454</v>
      </c>
      <c r="C3588" s="2" t="s">
        <v>569</v>
      </c>
      <c r="D3588" s="2" t="str">
        <f t="shared" si="55"/>
        <v>Error?</v>
      </c>
    </row>
    <row r="3589" spans="1:4" x14ac:dyDescent="0.2">
      <c r="A3589" s="5">
        <v>3528</v>
      </c>
      <c r="B3589" s="1832">
        <f>'Acct Summary 7-8'!K79</f>
        <v>7274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35728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814</v>
      </c>
      <c r="D3632" s="2" t="str">
        <f t="shared" si="55"/>
        <v>Error?</v>
      </c>
    </row>
    <row r="3633" spans="1:4" x14ac:dyDescent="0.2">
      <c r="A3633" s="5">
        <v>3572</v>
      </c>
      <c r="B3633" s="1832">
        <f>'Expenditures 15-22'!E350</f>
        <v>814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814</v>
      </c>
      <c r="C3635" s="2" t="s">
        <v>569</v>
      </c>
      <c r="D3635" s="2" t="str">
        <f t="shared" si="55"/>
        <v>Error?</v>
      </c>
    </row>
    <row r="3636" spans="1:4" x14ac:dyDescent="0.2">
      <c r="A3636" s="5">
        <v>3575</v>
      </c>
      <c r="B3636" s="1832">
        <f>'Expenditures 15-22'!E367</f>
        <v>814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814</v>
      </c>
      <c r="C3669" s="2" t="s">
        <v>569</v>
      </c>
      <c r="D3669" s="2" t="str">
        <f t="shared" si="56"/>
        <v>Error?</v>
      </c>
    </row>
    <row r="3670" spans="1:4" x14ac:dyDescent="0.2">
      <c r="A3670" s="5">
        <v>3609</v>
      </c>
      <c r="B3670" s="1832">
        <f>'Expenditures 15-22'!K350</f>
        <v>814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814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814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28454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28898</v>
      </c>
      <c r="C3725" s="2" t="s">
        <v>569</v>
      </c>
      <c r="D3725" s="2" t="str">
        <f t="shared" si="57"/>
        <v>Error?</v>
      </c>
    </row>
    <row r="3726" spans="1:4" x14ac:dyDescent="0.2">
      <c r="A3726" s="5">
        <v>3665</v>
      </c>
      <c r="B3726" s="1832">
        <f>'Tax Sched 23'!D13</f>
        <v>28898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29134</v>
      </c>
      <c r="C3728" s="2" t="s">
        <v>569</v>
      </c>
      <c r="D3728" s="2" t="str">
        <f t="shared" si="57"/>
        <v>Error?</v>
      </c>
    </row>
    <row r="3729" spans="1:4" x14ac:dyDescent="0.2">
      <c r="A3729" s="5">
        <v>3668</v>
      </c>
      <c r="B3729" s="1832">
        <f>'Tax Sched 23'!E13</f>
        <v>29134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967296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4082732</v>
      </c>
      <c r="C4122" s="2" t="s">
        <v>569</v>
      </c>
      <c r="D4122" s="2" t="str">
        <f t="shared" si="63"/>
        <v>Error?</v>
      </c>
    </row>
    <row r="4123" spans="1:4" x14ac:dyDescent="0.2">
      <c r="A4123" s="5">
        <v>4062</v>
      </c>
      <c r="B4123" s="1832">
        <f>'Acct Summary 7-8'!D10</f>
        <v>345696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354189</v>
      </c>
      <c r="C4125" s="2" t="s">
        <v>569</v>
      </c>
      <c r="D4125" s="2" t="str">
        <f t="shared" si="63"/>
        <v>Error?</v>
      </c>
    </row>
    <row r="4126" spans="1:4" x14ac:dyDescent="0.2">
      <c r="A4126" s="5">
        <v>4065</v>
      </c>
      <c r="B4126" s="1832">
        <f>'Acct Summary 7-8'!G10</f>
        <v>87173</v>
      </c>
      <c r="C4126" s="2" t="s">
        <v>569</v>
      </c>
      <c r="D4126" s="2" t="str">
        <f t="shared" si="63"/>
        <v>Error?</v>
      </c>
    </row>
    <row r="4127" spans="1:4" x14ac:dyDescent="0.2">
      <c r="A4127" s="5">
        <v>4066</v>
      </c>
      <c r="B4127" s="1832">
        <f>'Acct Summary 7-8'!H10</f>
        <v>2405</v>
      </c>
      <c r="C4127" s="2" t="s">
        <v>569</v>
      </c>
      <c r="D4127" s="2" t="str">
        <f t="shared" si="63"/>
        <v>Error?</v>
      </c>
    </row>
    <row r="4128" spans="1:4" x14ac:dyDescent="0.2">
      <c r="A4128" s="5">
        <v>4067</v>
      </c>
      <c r="B4128" s="1832">
        <f>'Acct Summary 7-8'!I10</f>
        <v>29337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29268</v>
      </c>
      <c r="C4130" s="2" t="s">
        <v>569</v>
      </c>
      <c r="D4130" s="2" t="str">
        <f t="shared" si="63"/>
        <v>Error?</v>
      </c>
    </row>
    <row r="4131" spans="1:4" x14ac:dyDescent="0.2">
      <c r="A4131" s="5">
        <v>4070</v>
      </c>
      <c r="B4131" s="1832">
        <f>'Acct Summary 7-8'!C18</f>
        <v>967296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3610827</v>
      </c>
      <c r="C4136" s="2" t="s">
        <v>569</v>
      </c>
      <c r="D4136" s="2" t="str">
        <f t="shared" si="63"/>
        <v>Error?</v>
      </c>
    </row>
    <row r="4137" spans="1:4" x14ac:dyDescent="0.2">
      <c r="A4137" s="5">
        <v>4076</v>
      </c>
      <c r="B4137" s="1832">
        <f>'Acct Summary 7-8'!D19</f>
        <v>563447</v>
      </c>
      <c r="C4137" s="2" t="s">
        <v>569</v>
      </c>
      <c r="D4137" s="2" t="str">
        <f t="shared" si="63"/>
        <v>Error?</v>
      </c>
    </row>
    <row r="4138" spans="1:4" x14ac:dyDescent="0.2">
      <c r="A4138" s="5">
        <v>4077</v>
      </c>
      <c r="B4138" s="1832">
        <f>'Acct Summary 7-8'!E19</f>
        <v>45896</v>
      </c>
      <c r="C4138" s="2" t="s">
        <v>569</v>
      </c>
      <c r="D4138" s="2" t="str">
        <f t="shared" si="63"/>
        <v>Error?</v>
      </c>
    </row>
    <row r="4139" spans="1:4" x14ac:dyDescent="0.2">
      <c r="A4139" s="5">
        <v>4078</v>
      </c>
      <c r="B4139" s="1832">
        <f>'Acct Summary 7-8'!F19</f>
        <v>274626</v>
      </c>
      <c r="C4139" s="2" t="s">
        <v>569</v>
      </c>
      <c r="D4139" s="2" t="str">
        <f t="shared" si="63"/>
        <v>Error?</v>
      </c>
    </row>
    <row r="4140" spans="1:4" x14ac:dyDescent="0.2">
      <c r="A4140" s="5">
        <v>4079</v>
      </c>
      <c r="B4140" s="1832">
        <f>'Acct Summary 7-8'!G19</f>
        <v>68244</v>
      </c>
      <c r="C4140" s="2" t="s">
        <v>569</v>
      </c>
      <c r="D4140" s="2" t="str">
        <f t="shared" si="63"/>
        <v>Error?</v>
      </c>
    </row>
    <row r="4141" spans="1:4" x14ac:dyDescent="0.2">
      <c r="A4141" s="5">
        <v>4080</v>
      </c>
      <c r="B4141" s="1832">
        <f>'Acct Summary 7-8'!H19</f>
        <v>1108430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814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1310000</v>
      </c>
      <c r="C4171" s="2" t="s">
        <v>569</v>
      </c>
      <c r="D4171" s="2" t="str">
        <f t="shared" si="64"/>
        <v>Error?</v>
      </c>
    </row>
    <row r="4172" spans="1:4" x14ac:dyDescent="0.2">
      <c r="A4172" s="5">
        <v>4111</v>
      </c>
      <c r="B4172" s="1832">
        <f>'Short-Term Long-Term Debt 24'!J49</f>
        <v>1310000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17318</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78626</v>
      </c>
      <c r="D4210" s="2" t="str">
        <f t="shared" si="64"/>
        <v>Error?</v>
      </c>
    </row>
    <row r="4211" spans="1:4" x14ac:dyDescent="0.2">
      <c r="A4211" s="5">
        <v>4150</v>
      </c>
      <c r="B4211" s="1832">
        <f>'Expenditures 15-22'!K206</f>
        <v>78626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3250</v>
      </c>
      <c r="C4268" s="2" t="s">
        <v>569</v>
      </c>
      <c r="D4268" s="2" t="str">
        <f t="shared" si="65"/>
        <v>Error?</v>
      </c>
    </row>
    <row r="4269" spans="1:5" x14ac:dyDescent="0.2">
      <c r="A4269" s="12">
        <v>4208</v>
      </c>
      <c r="B4269" s="1832">
        <f>'FP Info 3'!J16</f>
        <v>2755684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1195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5407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58268672</v>
      </c>
      <c r="D4995" s="2" t="str">
        <f t="shared" si="77"/>
        <v>Error?</v>
      </c>
    </row>
    <row r="4996" spans="1:4" x14ac:dyDescent="0.2">
      <c r="A4996" s="12">
        <v>4935</v>
      </c>
      <c r="B4996" s="1832">
        <f>'FP Info 3'!H31</f>
        <v>4020538.3680000002</v>
      </c>
      <c r="D4996" s="2" t="str">
        <f t="shared" si="77"/>
        <v>Error?</v>
      </c>
    </row>
    <row r="4997" spans="1:4" x14ac:dyDescent="0.2">
      <c r="A4997" s="12">
        <v>4936</v>
      </c>
      <c r="B4997" s="1832">
        <f>'FP Info 3'!H37</f>
        <v>1310000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28898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1473808</v>
      </c>
      <c r="D5061" s="2" t="str">
        <f t="shared" si="78"/>
        <v>Error?</v>
      </c>
    </row>
    <row r="5062" spans="1:4" x14ac:dyDescent="0.2">
      <c r="A5062" s="10">
        <v>5001</v>
      </c>
      <c r="B5062" s="1832"/>
      <c r="D5062" s="2" t="str">
        <f t="shared" si="78"/>
        <v>OK</v>
      </c>
    </row>
    <row r="5063" spans="1:4" x14ac:dyDescent="0.2">
      <c r="A5063" s="5">
        <v>5002</v>
      </c>
      <c r="B5063" s="1832">
        <f>'Revenues 9-14'!C7</f>
        <v>23117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1525823</v>
      </c>
      <c r="C5066" s="2" t="s">
        <v>569</v>
      </c>
      <c r="D5066" s="2" t="str">
        <f t="shared" si="78"/>
        <v>Error?</v>
      </c>
    </row>
    <row r="5067" spans="1:4" x14ac:dyDescent="0.2">
      <c r="A5067" s="5">
        <v>5006</v>
      </c>
      <c r="B5067" s="1832">
        <f>'Revenues 9-14'!C14</f>
        <v>749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97535</v>
      </c>
      <c r="D5069" s="2" t="str">
        <f t="shared" si="78"/>
        <v>Error?</v>
      </c>
    </row>
    <row r="5070" spans="1:4" x14ac:dyDescent="0.2">
      <c r="A5070" s="5">
        <v>5009</v>
      </c>
      <c r="B5070" s="1832">
        <f>'Revenues 9-14'!C17</f>
        <v>223671</v>
      </c>
      <c r="D5070" s="2" t="str">
        <f t="shared" si="78"/>
        <v>Error?</v>
      </c>
    </row>
    <row r="5071" spans="1:4" x14ac:dyDescent="0.2">
      <c r="A5071" s="5">
        <v>5010</v>
      </c>
      <c r="B5071" s="1832">
        <f>'Revenues 9-14'!C18</f>
        <v>321955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375265</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375265</v>
      </c>
      <c r="C5087" s="2" t="s">
        <v>569</v>
      </c>
      <c r="D5087" s="2" t="str">
        <f t="shared" si="78"/>
        <v>Error?</v>
      </c>
    </row>
    <row r="5088" spans="1:4" x14ac:dyDescent="0.2">
      <c r="A5088" s="5">
        <v>5027</v>
      </c>
      <c r="B5088" s="1832">
        <f>'Revenues 9-14'!C65</f>
        <v>4739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4739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3263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32335</v>
      </c>
      <c r="C5096" s="2" t="s">
        <v>569</v>
      </c>
      <c r="D5096" s="2" t="str">
        <f t="shared" si="78"/>
        <v>Error?</v>
      </c>
    </row>
    <row r="5097" spans="1:4" x14ac:dyDescent="0.2">
      <c r="A5097" s="5">
        <v>5036</v>
      </c>
      <c r="B5097" s="1832">
        <f>'Revenues 9-14'!C77</f>
        <v>9570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12127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21697</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25590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12676</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38266</v>
      </c>
      <c r="C5120" s="2" t="s">
        <v>569</v>
      </c>
      <c r="D5120" s="2" t="str">
        <f t="shared" si="79"/>
        <v>Error?</v>
      </c>
    </row>
    <row r="5121" spans="1:4" x14ac:dyDescent="0.2">
      <c r="A5121" s="5">
        <v>5060</v>
      </c>
      <c r="B5121" s="1832">
        <f>'Revenues 9-14'!C109</f>
        <v>2320080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316171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316171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1250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1250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858</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289875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291983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608154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85749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10724</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96473</v>
      </c>
      <c r="C5246" s="2" t="s">
        <v>569</v>
      </c>
      <c r="D5246" s="2" t="str">
        <f t="shared" si="80"/>
        <v>Error?</v>
      </c>
    </row>
    <row r="5247" spans="1:4" x14ac:dyDescent="0.2">
      <c r="A5247" s="5">
        <v>5186</v>
      </c>
      <c r="B5247" s="1832">
        <f>'Revenues 9-14'!C200</f>
        <v>66809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66809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187202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187202</v>
      </c>
      <c r="C5326" s="2" t="s">
        <v>569</v>
      </c>
      <c r="D5326" s="2" t="str">
        <f t="shared" si="82"/>
        <v>Error?</v>
      </c>
    </row>
    <row r="5327" spans="1:5" x14ac:dyDescent="0.2">
      <c r="A5327" s="5">
        <v>5266</v>
      </c>
      <c r="B5327" s="1832">
        <f>'Revenues 9-14'!C268</f>
        <v>3115436</v>
      </c>
      <c r="C5327" s="2" t="s">
        <v>569</v>
      </c>
      <c r="D5327" s="2" t="str">
        <f t="shared" si="82"/>
        <v>Error?</v>
      </c>
    </row>
    <row r="5328" spans="1:5" x14ac:dyDescent="0.2">
      <c r="A5328" s="5">
        <v>5267</v>
      </c>
      <c r="B5328" s="1832">
        <f>'Revenues 9-14'!D5</f>
        <v>288980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288980</v>
      </c>
      <c r="C5334" s="2" t="s">
        <v>569</v>
      </c>
      <c r="D5334" s="2" t="str">
        <f t="shared" si="82"/>
        <v>Error?</v>
      </c>
    </row>
    <row r="5335" spans="1:4" x14ac:dyDescent="0.2">
      <c r="A5335" s="5">
        <v>5274</v>
      </c>
      <c r="B5335" s="1832">
        <f>'Revenues 9-14'!D14</f>
        <v>142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4593</v>
      </c>
      <c r="D5338" s="2" t="str">
        <f t="shared" si="82"/>
        <v>Error?</v>
      </c>
    </row>
    <row r="5339" spans="1:4" x14ac:dyDescent="0.2">
      <c r="A5339" s="5">
        <v>5278</v>
      </c>
      <c r="B5339" s="1832">
        <f>'Revenues 9-14'!D18</f>
        <v>4735</v>
      </c>
      <c r="C5339" s="2" t="s">
        <v>569</v>
      </c>
      <c r="D5339" s="2" t="str">
        <f t="shared" si="82"/>
        <v>Error?</v>
      </c>
    </row>
    <row r="5340" spans="1:4" x14ac:dyDescent="0.2">
      <c r="A5340" s="5">
        <v>5279</v>
      </c>
      <c r="B5340" s="1832">
        <f>'Revenues 9-14'!D65</f>
        <v>1981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1981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295696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345696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115592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115592</v>
      </c>
      <c r="C5557" s="2" t="s">
        <v>569</v>
      </c>
      <c r="D5557" s="2" t="str">
        <f t="shared" si="85"/>
        <v>Error?</v>
      </c>
    </row>
    <row r="5558" spans="1:4" x14ac:dyDescent="0.2">
      <c r="A5558" s="5">
        <v>5497</v>
      </c>
      <c r="B5558" s="1832">
        <f>'Revenues 9-14'!F14</f>
        <v>57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1766</v>
      </c>
      <c r="D5561" s="2" t="str">
        <f t="shared" si="85"/>
        <v>Error?</v>
      </c>
    </row>
    <row r="5562" spans="1:4" x14ac:dyDescent="0.2">
      <c r="A5562" s="5">
        <v>5501</v>
      </c>
      <c r="B5562" s="1832">
        <f>'Revenues 9-14'!F18</f>
        <v>1823</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1035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1035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18917</v>
      </c>
      <c r="C5587" s="2" t="s">
        <v>569</v>
      </c>
      <c r="D5587" s="2" t="str">
        <f t="shared" si="86"/>
        <v>Error?</v>
      </c>
    </row>
    <row r="5588" spans="1:4" x14ac:dyDescent="0.2">
      <c r="A5588" s="5">
        <v>5527</v>
      </c>
      <c r="B5588" s="1832">
        <f>'Revenues 9-14'!F109</f>
        <v>137367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152720</v>
      </c>
      <c r="D5615" s="2" t="str">
        <f t="shared" si="86"/>
        <v>Error?</v>
      </c>
    </row>
    <row r="5616" spans="1:4" x14ac:dyDescent="0.2">
      <c r="A5616" s="10">
        <v>5555</v>
      </c>
      <c r="B5616" s="1832"/>
      <c r="D5616" s="2" t="str">
        <f t="shared" si="86"/>
        <v>OK</v>
      </c>
    </row>
    <row r="5617" spans="1:5" x14ac:dyDescent="0.2">
      <c r="A5617" s="5">
        <v>5556</v>
      </c>
      <c r="B5617" s="1832">
        <f>'Revenues 9-14'!F153</f>
        <v>64102</v>
      </c>
      <c r="D5617" s="2" t="str">
        <f t="shared" si="86"/>
        <v>Error?</v>
      </c>
    </row>
    <row r="5618" spans="1:5" x14ac:dyDescent="0.2">
      <c r="A5618" s="5">
        <v>5557</v>
      </c>
      <c r="B5618" s="1832">
        <f>'Revenues 9-14'!F155</f>
        <v>216822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216822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216822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354189</v>
      </c>
      <c r="C5720" s="2" t="s">
        <v>569</v>
      </c>
      <c r="D5720" s="2" t="str">
        <f t="shared" si="88"/>
        <v>Error?</v>
      </c>
    </row>
    <row r="5721" spans="1:4" x14ac:dyDescent="0.2">
      <c r="A5721" s="5">
        <v>5660</v>
      </c>
      <c r="B5721" s="1832">
        <f>'Revenues 9-14'!G5</f>
        <v>24955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59893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84848</v>
      </c>
      <c r="C5725" s="2" t="s">
        <v>569</v>
      </c>
      <c r="D5725" s="2" t="str">
        <f t="shared" si="88"/>
        <v>Error?</v>
      </c>
    </row>
    <row r="5726" spans="1:4" x14ac:dyDescent="0.2">
      <c r="A5726" s="5">
        <v>5665</v>
      </c>
      <c r="B5726" s="1832">
        <f>'Revenues 9-14'!G14</f>
        <v>42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1413</v>
      </c>
      <c r="D5729" s="2" t="str">
        <f t="shared" si="88"/>
        <v>Error?</v>
      </c>
    </row>
    <row r="5730" spans="1:4" x14ac:dyDescent="0.2">
      <c r="A5730" s="5">
        <v>5669</v>
      </c>
      <c r="B5730" s="1832">
        <f>'Revenues 9-14'!G18</f>
        <v>1455</v>
      </c>
      <c r="C5730" s="2" t="s">
        <v>569</v>
      </c>
      <c r="D5730" s="2" t="str">
        <f t="shared" si="88"/>
        <v>Error?</v>
      </c>
    </row>
    <row r="5731" spans="1:4" x14ac:dyDescent="0.2">
      <c r="A5731" s="5">
        <v>5670</v>
      </c>
      <c r="B5731" s="1832">
        <f>'Revenues 9-14'!G65</f>
        <v>870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870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87173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2405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2405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2405</v>
      </c>
      <c r="C5915" s="2" t="s">
        <v>569</v>
      </c>
      <c r="D5915" s="2" t="str">
        <f t="shared" si="91"/>
        <v>Error?</v>
      </c>
    </row>
    <row r="5916" spans="1:4" x14ac:dyDescent="0.2">
      <c r="A5916" s="5">
        <v>5855</v>
      </c>
      <c r="B5916" s="1832">
        <f>'Revenues 9-14'!I5</f>
        <v>28898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28898</v>
      </c>
      <c r="C5918" s="2" t="s">
        <v>569</v>
      </c>
      <c r="D5918" s="2" t="str">
        <f t="shared" si="91"/>
        <v>Error?</v>
      </c>
    </row>
    <row r="5919" spans="1:4" x14ac:dyDescent="0.2">
      <c r="A5919" s="5">
        <v>5858</v>
      </c>
      <c r="B5919" s="1832">
        <f>'Revenues 9-14'!I14</f>
        <v>14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353</v>
      </c>
      <c r="D5922" s="2" t="str">
        <f t="shared" si="91"/>
        <v>Error?</v>
      </c>
    </row>
    <row r="5923" spans="1:4" x14ac:dyDescent="0.2">
      <c r="A5923" s="5">
        <v>5862</v>
      </c>
      <c r="B5923" s="1832">
        <f>'Revenues 9-14'!I18</f>
        <v>367</v>
      </c>
      <c r="C5923" s="2" t="s">
        <v>569</v>
      </c>
      <c r="D5923" s="2" t="str">
        <f t="shared" si="91"/>
        <v>Error?</v>
      </c>
    </row>
    <row r="5924" spans="1:4" x14ac:dyDescent="0.2">
      <c r="A5924" s="5">
        <v>5863</v>
      </c>
      <c r="B5924" s="1832">
        <f>'Revenues 9-14'!I65</f>
        <v>72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29337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28898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28898</v>
      </c>
      <c r="C5987" s="2" t="s">
        <v>569</v>
      </c>
      <c r="D5987" s="2" t="str">
        <f t="shared" si="92"/>
        <v>Error?</v>
      </c>
    </row>
    <row r="5988" spans="1:4" x14ac:dyDescent="0.2">
      <c r="A5988" s="5">
        <v>5927</v>
      </c>
      <c r="B5988" s="1832">
        <f>'Revenues 9-14'!K14</f>
        <v>14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353</v>
      </c>
      <c r="D5991" s="2" t="str">
        <f t="shared" si="92"/>
        <v>Error?</v>
      </c>
    </row>
    <row r="5992" spans="1:4" x14ac:dyDescent="0.2">
      <c r="A5992" s="5">
        <v>5931</v>
      </c>
      <c r="B5992" s="1832">
        <f>'Revenues 9-14'!K18</f>
        <v>367</v>
      </c>
      <c r="C5992" s="2" t="s">
        <v>569</v>
      </c>
      <c r="D5992" s="2" t="str">
        <f t="shared" si="92"/>
        <v>Error?</v>
      </c>
    </row>
    <row r="5993" spans="1:4" x14ac:dyDescent="0.2">
      <c r="A5993" s="5">
        <v>5932</v>
      </c>
      <c r="B5993" s="1832">
        <f>'Revenues 9-14'!K65</f>
        <v>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29268</v>
      </c>
      <c r="C6023" s="2" t="s">
        <v>569</v>
      </c>
      <c r="D6023" s="2" t="str">
        <f t="shared" si="93"/>
        <v>Error?</v>
      </c>
    </row>
    <row r="6024" spans="1:5" x14ac:dyDescent="0.2">
      <c r="A6024" s="5">
        <v>5963</v>
      </c>
      <c r="B6024" s="1832">
        <f>'Revenues 9-14'!G109</f>
        <v>87173</v>
      </c>
      <c r="C6024" s="2" t="s">
        <v>569</v>
      </c>
      <c r="D6024" s="2" t="str">
        <f t="shared" si="93"/>
        <v>Error?</v>
      </c>
    </row>
    <row r="6025" spans="1:5" x14ac:dyDescent="0.2">
      <c r="A6025" s="5">
        <v>5964</v>
      </c>
      <c r="B6025" s="1832">
        <f>'Revenues 9-14'!H109</f>
        <v>2405</v>
      </c>
      <c r="C6025" s="2" t="s">
        <v>569</v>
      </c>
      <c r="D6025" s="2" t="str">
        <f t="shared" si="93"/>
        <v>Error?</v>
      </c>
    </row>
    <row r="6026" spans="1:5" x14ac:dyDescent="0.2">
      <c r="A6026" s="5">
        <v>5965</v>
      </c>
      <c r="B6026" s="1832">
        <f>'Revenues 9-14'!I109</f>
        <v>29337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29268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29072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12050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218.5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 5-6'!C7</f>
        <v>0</v>
      </c>
      <c r="D6081" s="2" t="str">
        <f t="shared" si="94"/>
        <v>Error?</v>
      </c>
      <c r="E6081" s="2" t="s">
        <v>189</v>
      </c>
    </row>
    <row r="6082" spans="1:5" x14ac:dyDescent="0.2">
      <c r="A6082">
        <v>6021</v>
      </c>
      <c r="B6082" s="1832">
        <f>'Assets 5-6'!D7</f>
        <v>0</v>
      </c>
      <c r="D6082" s="2" t="str">
        <f t="shared" si="94"/>
        <v>Error?</v>
      </c>
      <c r="E6082" s="2" t="s">
        <v>189</v>
      </c>
    </row>
    <row r="6083" spans="1:5" x14ac:dyDescent="0.2">
      <c r="A6083">
        <v>6022</v>
      </c>
      <c r="B6083" s="1832">
        <f>'Assets 5-6'!E7</f>
        <v>0</v>
      </c>
      <c r="D6083" s="2" t="str">
        <f t="shared" si="94"/>
        <v>Error?</v>
      </c>
      <c r="E6083" s="2" t="s">
        <v>189</v>
      </c>
    </row>
    <row r="6084" spans="1:5" x14ac:dyDescent="0.2">
      <c r="A6084">
        <v>6023</v>
      </c>
      <c r="B6084" s="1832">
        <f>'Assets 5-6'!F7</f>
        <v>0</v>
      </c>
      <c r="D6084" s="2" t="str">
        <f t="shared" si="94"/>
        <v>Error?</v>
      </c>
      <c r="E6084" s="2" t="s">
        <v>189</v>
      </c>
    </row>
    <row r="6085" spans="1:5" x14ac:dyDescent="0.2">
      <c r="A6085">
        <v>6024</v>
      </c>
      <c r="B6085" s="1832">
        <f>'Assets 5-6'!G7</f>
        <v>0</v>
      </c>
      <c r="D6085" s="2" t="str">
        <f t="shared" si="94"/>
        <v>Error?</v>
      </c>
      <c r="E6085" s="2" t="s">
        <v>189</v>
      </c>
    </row>
    <row r="6086" spans="1:5" x14ac:dyDescent="0.2">
      <c r="A6086">
        <v>6025</v>
      </c>
      <c r="B6086" s="1832">
        <f>'Assets 5-6'!H7</f>
        <v>0</v>
      </c>
      <c r="D6086" s="2" t="str">
        <f t="shared" si="94"/>
        <v>Error?</v>
      </c>
      <c r="E6086" s="2" t="s">
        <v>189</v>
      </c>
    </row>
    <row r="6087" spans="1:5" x14ac:dyDescent="0.2">
      <c r="A6087">
        <v>6026</v>
      </c>
      <c r="B6087" s="1832">
        <f>'Assets 5-6'!I7</f>
        <v>0</v>
      </c>
      <c r="D6087" s="2" t="str">
        <f t="shared" si="94"/>
        <v>Error?</v>
      </c>
      <c r="E6087" s="2" t="s">
        <v>189</v>
      </c>
    </row>
    <row r="6088" spans="1:5" x14ac:dyDescent="0.2">
      <c r="A6088">
        <v>6027</v>
      </c>
      <c r="B6088" s="1832">
        <f>'Assets 5-6'!J7</f>
        <v>0</v>
      </c>
      <c r="D6088" s="2" t="str">
        <f t="shared" si="94"/>
        <v>Error?</v>
      </c>
      <c r="E6088" s="2" t="s">
        <v>189</v>
      </c>
    </row>
    <row r="6089" spans="1:5" x14ac:dyDescent="0.2">
      <c r="A6089">
        <v>6028</v>
      </c>
      <c r="B6089" s="1832">
        <f>'Assets 5-6'!K7</f>
        <v>0</v>
      </c>
      <c r="D6089" s="2" t="str">
        <f t="shared" si="94"/>
        <v>Error?</v>
      </c>
      <c r="E6089" s="2" t="s">
        <v>189</v>
      </c>
    </row>
    <row r="6090" spans="1:5" x14ac:dyDescent="0.2">
      <c r="A6090">
        <v>6029</v>
      </c>
      <c r="B6090" s="1832">
        <f>'Assets 5-6'!C8</f>
        <v>0</v>
      </c>
      <c r="D6090" s="2" t="str">
        <f t="shared" si="94"/>
        <v>Error?</v>
      </c>
      <c r="E6090" s="2" t="s">
        <v>189</v>
      </c>
    </row>
    <row r="6091" spans="1:5" x14ac:dyDescent="0.2">
      <c r="A6091">
        <v>6030</v>
      </c>
      <c r="B6091" s="1832">
        <f>'Assets 5-6'!D8</f>
        <v>0</v>
      </c>
      <c r="D6091" s="2" t="str">
        <f t="shared" si="94"/>
        <v>Error?</v>
      </c>
      <c r="E6091" s="2" t="s">
        <v>189</v>
      </c>
    </row>
    <row r="6092" spans="1:5" x14ac:dyDescent="0.2">
      <c r="A6092">
        <v>6031</v>
      </c>
      <c r="B6092" s="1832">
        <f>'Assets 5-6'!E8</f>
        <v>0</v>
      </c>
      <c r="D6092" s="2" t="str">
        <f t="shared" si="94"/>
        <v>Error?</v>
      </c>
      <c r="E6092" s="2" t="s">
        <v>189</v>
      </c>
    </row>
    <row r="6093" spans="1:5" x14ac:dyDescent="0.2">
      <c r="A6093">
        <v>6032</v>
      </c>
      <c r="B6093" s="1832">
        <f>'Assets 5-6'!F8</f>
        <v>0</v>
      </c>
      <c r="D6093" s="2" t="str">
        <f t="shared" si="94"/>
        <v>Error?</v>
      </c>
      <c r="E6093" s="2" t="s">
        <v>189</v>
      </c>
    </row>
    <row r="6094" spans="1:5" x14ac:dyDescent="0.2">
      <c r="A6094">
        <v>6033</v>
      </c>
      <c r="B6094" s="1832">
        <f>'Assets 5-6'!G8</f>
        <v>0</v>
      </c>
      <c r="D6094" s="2" t="str">
        <f t="shared" si="94"/>
        <v>Error?</v>
      </c>
      <c r="E6094" s="2" t="s">
        <v>189</v>
      </c>
    </row>
    <row r="6095" spans="1:5" x14ac:dyDescent="0.2">
      <c r="A6095">
        <v>6034</v>
      </c>
      <c r="B6095" s="1832">
        <f>'Assets 5-6'!H8</f>
        <v>0</v>
      </c>
      <c r="D6095" s="2" t="str">
        <f t="shared" si="94"/>
        <v>Error?</v>
      </c>
      <c r="E6095" s="2" t="s">
        <v>189</v>
      </c>
    </row>
    <row r="6096" spans="1:5" x14ac:dyDescent="0.2">
      <c r="A6096">
        <v>6035</v>
      </c>
      <c r="B6096" s="1832">
        <f>'Assets 5-6'!I8</f>
        <v>0</v>
      </c>
      <c r="D6096" s="2" t="str">
        <f t="shared" si="94"/>
        <v>Error?</v>
      </c>
      <c r="E6096" s="2" t="s">
        <v>189</v>
      </c>
    </row>
    <row r="6097" spans="1:5" x14ac:dyDescent="0.2">
      <c r="A6097">
        <v>6036</v>
      </c>
      <c r="B6097" s="1832">
        <f>'Assets 5-6'!J8</f>
        <v>0</v>
      </c>
      <c r="D6097" s="2" t="str">
        <f t="shared" si="94"/>
        <v>Error?</v>
      </c>
      <c r="E6097" s="2" t="s">
        <v>189</v>
      </c>
    </row>
    <row r="6098" spans="1:5" x14ac:dyDescent="0.2">
      <c r="A6098">
        <v>6037</v>
      </c>
      <c r="B6098" s="1832">
        <f>'Assets 5-6'!K8</f>
        <v>0</v>
      </c>
      <c r="D6098" s="2" t="str">
        <f t="shared" si="94"/>
        <v>Error?</v>
      </c>
      <c r="E6098" s="2" t="s">
        <v>189</v>
      </c>
    </row>
    <row r="6099" spans="1:5" x14ac:dyDescent="0.2">
      <c r="A6099">
        <v>6038</v>
      </c>
      <c r="B6099" s="1832">
        <f>'Assets 5-6'!C9</f>
        <v>0</v>
      </c>
      <c r="D6099" s="2" t="str">
        <f t="shared" si="94"/>
        <v>Error?</v>
      </c>
      <c r="E6099" s="2" t="s">
        <v>189</v>
      </c>
    </row>
    <row r="6100" spans="1:5" x14ac:dyDescent="0.2">
      <c r="A6100">
        <v>6039</v>
      </c>
      <c r="B6100" s="1832">
        <f>'Assets 5-6'!D9</f>
        <v>0</v>
      </c>
      <c r="D6100" s="2" t="str">
        <f t="shared" si="94"/>
        <v>Error?</v>
      </c>
      <c r="E6100" s="2" t="s">
        <v>189</v>
      </c>
    </row>
    <row r="6101" spans="1:5" x14ac:dyDescent="0.2">
      <c r="A6101">
        <v>6040</v>
      </c>
      <c r="B6101" s="1832">
        <f>'Assets 5-6'!E9</f>
        <v>0</v>
      </c>
      <c r="D6101" s="2" t="str">
        <f t="shared" si="94"/>
        <v>Error?</v>
      </c>
      <c r="E6101" s="2" t="s">
        <v>189</v>
      </c>
    </row>
    <row r="6102" spans="1:5" x14ac:dyDescent="0.2">
      <c r="A6102">
        <v>6041</v>
      </c>
      <c r="B6102" s="1832">
        <f>'Assets 5-6'!F9</f>
        <v>0</v>
      </c>
      <c r="D6102" s="2" t="str">
        <f t="shared" si="94"/>
        <v>Error?</v>
      </c>
      <c r="E6102" s="2" t="s">
        <v>189</v>
      </c>
    </row>
    <row r="6103" spans="1:5" x14ac:dyDescent="0.2">
      <c r="A6103">
        <f>A6102+1</f>
        <v>6042</v>
      </c>
      <c r="B6103" s="1832">
        <f>'Assets 5-6'!G9</f>
        <v>0</v>
      </c>
      <c r="D6103" s="2" t="str">
        <f t="shared" si="94"/>
        <v>Error?</v>
      </c>
      <c r="E6103" s="2" t="s">
        <v>189</v>
      </c>
    </row>
    <row r="6104" spans="1:5" x14ac:dyDescent="0.2">
      <c r="A6104">
        <v>6043</v>
      </c>
      <c r="B6104" s="1832">
        <f>'Assets 5-6'!H9</f>
        <v>0</v>
      </c>
      <c r="D6104" s="2" t="str">
        <f t="shared" si="94"/>
        <v>Error?</v>
      </c>
      <c r="E6104" s="2" t="s">
        <v>189</v>
      </c>
    </row>
    <row r="6105" spans="1:5" x14ac:dyDescent="0.2">
      <c r="A6105">
        <v>6044</v>
      </c>
      <c r="B6105" s="1832">
        <f>'Assets 5-6'!I9</f>
        <v>0</v>
      </c>
      <c r="D6105" s="2" t="str">
        <f t="shared" si="94"/>
        <v>Error?</v>
      </c>
      <c r="E6105" s="2" t="s">
        <v>189</v>
      </c>
    </row>
    <row r="6106" spans="1:5" x14ac:dyDescent="0.2">
      <c r="A6106">
        <v>6045</v>
      </c>
      <c r="B6106" s="1832">
        <f>'Assets 5-6'!J9</f>
        <v>0</v>
      </c>
      <c r="D6106" s="2" t="str">
        <f t="shared" si="94"/>
        <v>Error?</v>
      </c>
      <c r="E6106" s="2" t="s">
        <v>189</v>
      </c>
    </row>
    <row r="6107" spans="1:5" x14ac:dyDescent="0.2">
      <c r="A6107">
        <v>6046</v>
      </c>
      <c r="B6107" s="1832">
        <f>'Assets 5-6'!K9</f>
        <v>0</v>
      </c>
      <c r="D6107" s="2" t="str">
        <f t="shared" si="94"/>
        <v>Error?</v>
      </c>
      <c r="E6107" s="2" t="s">
        <v>189</v>
      </c>
    </row>
    <row r="6108" spans="1:5" x14ac:dyDescent="0.2">
      <c r="A6108">
        <v>6047</v>
      </c>
      <c r="B6108" s="1832">
        <f>'Assets 5-6'!L9</f>
        <v>0</v>
      </c>
      <c r="D6108" s="2" t="str">
        <f t="shared" si="94"/>
        <v>Error?</v>
      </c>
      <c r="E6108" s="2" t="s">
        <v>189</v>
      </c>
    </row>
    <row r="6109" spans="1:5" x14ac:dyDescent="0.2">
      <c r="A6109">
        <v>6048</v>
      </c>
      <c r="B6109" s="1832">
        <f>'Assets 5-6'!E10</f>
        <v>0</v>
      </c>
      <c r="D6109" s="2" t="str">
        <f t="shared" si="94"/>
        <v>Error?</v>
      </c>
      <c r="E6109" s="2" t="s">
        <v>189</v>
      </c>
    </row>
    <row r="6110" spans="1:5" x14ac:dyDescent="0.2">
      <c r="A6110">
        <v>6049</v>
      </c>
      <c r="B6110" s="1832">
        <f>'Assets 5-6'!G10</f>
        <v>0</v>
      </c>
      <c r="D6110" s="2" t="str">
        <f t="shared" si="94"/>
        <v>Error?</v>
      </c>
      <c r="E6110" s="2" t="s">
        <v>189</v>
      </c>
    </row>
    <row r="6111" spans="1:5" x14ac:dyDescent="0.2">
      <c r="A6111">
        <v>6050</v>
      </c>
      <c r="B6111" s="1832">
        <f>'Assets 5-6'!I10</f>
        <v>0</v>
      </c>
      <c r="D6111" s="2" t="str">
        <f t="shared" si="94"/>
        <v>Error?</v>
      </c>
      <c r="E6111" s="2" t="s">
        <v>189</v>
      </c>
    </row>
    <row r="6112" spans="1:5" x14ac:dyDescent="0.2">
      <c r="A6112">
        <v>6051</v>
      </c>
      <c r="B6112" s="1832">
        <f>'Assets 5-6'!J10</f>
        <v>0</v>
      </c>
      <c r="D6112" s="2" t="str">
        <f t="shared" si="94"/>
        <v>Error?</v>
      </c>
      <c r="E6112" s="2" t="s">
        <v>189</v>
      </c>
    </row>
    <row r="6113" spans="1:5" x14ac:dyDescent="0.2">
      <c r="A6113">
        <v>6052</v>
      </c>
      <c r="B6113" s="1832">
        <f>'Assets 5-6'!C11</f>
        <v>0</v>
      </c>
      <c r="D6113" s="2" t="str">
        <f t="shared" si="94"/>
        <v>Error?</v>
      </c>
      <c r="E6113" s="2" t="s">
        <v>189</v>
      </c>
    </row>
    <row r="6114" spans="1:5" x14ac:dyDescent="0.2">
      <c r="A6114">
        <v>6053</v>
      </c>
      <c r="B6114" s="1832">
        <f>'Assets 5-6'!D11</f>
        <v>0</v>
      </c>
      <c r="D6114" s="2" t="str">
        <f t="shared" si="94"/>
        <v>Error?</v>
      </c>
      <c r="E6114" s="2" t="s">
        <v>189</v>
      </c>
    </row>
    <row r="6115" spans="1:5" x14ac:dyDescent="0.2">
      <c r="A6115">
        <v>6054</v>
      </c>
      <c r="B6115" s="1832">
        <f>'Assets 5-6'!E11</f>
        <v>0</v>
      </c>
      <c r="D6115" s="2" t="str">
        <f t="shared" si="94"/>
        <v>Error?</v>
      </c>
      <c r="E6115" s="2" t="s">
        <v>189</v>
      </c>
    </row>
    <row r="6116" spans="1:5" x14ac:dyDescent="0.2">
      <c r="A6116">
        <v>6055</v>
      </c>
      <c r="B6116" s="1832">
        <f>'Assets 5-6'!F11</f>
        <v>0</v>
      </c>
      <c r="D6116" s="2" t="str">
        <f t="shared" si="94"/>
        <v>Error?</v>
      </c>
      <c r="E6116" s="2" t="s">
        <v>189</v>
      </c>
    </row>
    <row r="6117" spans="1:5" x14ac:dyDescent="0.2">
      <c r="A6117">
        <v>6056</v>
      </c>
      <c r="B6117" s="1832">
        <f>'Assets 5-6'!G11</f>
        <v>0</v>
      </c>
      <c r="D6117" s="2" t="str">
        <f t="shared" si="94"/>
        <v>Error?</v>
      </c>
      <c r="E6117" s="2" t="s">
        <v>189</v>
      </c>
    </row>
    <row r="6118" spans="1:5" x14ac:dyDescent="0.2">
      <c r="A6118">
        <v>6057</v>
      </c>
      <c r="B6118" s="1832">
        <f>'Assets 5-6'!H11</f>
        <v>0</v>
      </c>
      <c r="D6118" s="2" t="str">
        <f t="shared" si="94"/>
        <v>Error?</v>
      </c>
      <c r="E6118" s="2" t="s">
        <v>189</v>
      </c>
    </row>
    <row r="6119" spans="1:5" x14ac:dyDescent="0.2">
      <c r="A6119">
        <v>6058</v>
      </c>
      <c r="B6119" s="1832">
        <f>'Assets 5-6'!I11</f>
        <v>0</v>
      </c>
      <c r="D6119" s="2" t="str">
        <f t="shared" si="94"/>
        <v>Error?</v>
      </c>
      <c r="E6119" s="2" t="s">
        <v>189</v>
      </c>
    </row>
    <row r="6120" spans="1:5" x14ac:dyDescent="0.2">
      <c r="A6120">
        <v>6059</v>
      </c>
      <c r="B6120" s="1832">
        <f>'Assets 5-6'!J11</f>
        <v>0</v>
      </c>
      <c r="D6120" s="2" t="str">
        <f t="shared" si="94"/>
        <v>Error?</v>
      </c>
      <c r="E6120" s="2" t="s">
        <v>189</v>
      </c>
    </row>
    <row r="6121" spans="1:5" x14ac:dyDescent="0.2">
      <c r="A6121">
        <v>6060</v>
      </c>
      <c r="B6121" s="1832">
        <f>'Assets 5-6'!K11</f>
        <v>0</v>
      </c>
      <c r="D6121" s="2" t="str">
        <f t="shared" si="94"/>
        <v>Error?</v>
      </c>
      <c r="E6121" s="2" t="s">
        <v>189</v>
      </c>
    </row>
    <row r="6122" spans="1:5" x14ac:dyDescent="0.2">
      <c r="A6122">
        <v>6061</v>
      </c>
      <c r="B6122" s="1832">
        <f>'Assets 5-6'!L11</f>
        <v>0</v>
      </c>
      <c r="D6122" s="2" t="str">
        <f t="shared" si="94"/>
        <v>Error?</v>
      </c>
      <c r="E6122" s="2" t="s">
        <v>189</v>
      </c>
    </row>
    <row r="6123" spans="1:5" x14ac:dyDescent="0.2">
      <c r="A6123">
        <v>6062</v>
      </c>
      <c r="B6123" s="1832">
        <f>'Assets 5-6'!J12</f>
        <v>0</v>
      </c>
      <c r="D6123" s="2" t="str">
        <f t="shared" si="94"/>
        <v>Error?</v>
      </c>
      <c r="E6123" s="2" t="s">
        <v>189</v>
      </c>
    </row>
    <row r="6124" spans="1:5" x14ac:dyDescent="0.2">
      <c r="A6124">
        <v>6063</v>
      </c>
      <c r="B6124" s="1832">
        <f>'Assets 5-6'!J13</f>
        <v>134516</v>
      </c>
      <c r="D6124" s="2" t="str">
        <f t="shared" si="94"/>
        <v>Error?</v>
      </c>
      <c r="E6124" s="2" t="s">
        <v>189</v>
      </c>
    </row>
    <row r="6125" spans="1:5" x14ac:dyDescent="0.2">
      <c r="A6125">
        <v>6064</v>
      </c>
      <c r="B6125" s="1832">
        <f>'Assets 5-6'!C25</f>
        <v>0</v>
      </c>
      <c r="D6125" s="2" t="str">
        <f t="shared" si="94"/>
        <v>Error?</v>
      </c>
      <c r="E6125" s="2" t="s">
        <v>189</v>
      </c>
    </row>
    <row r="6126" spans="1:5" x14ac:dyDescent="0.2">
      <c r="A6126">
        <v>6065</v>
      </c>
      <c r="B6126" s="1832">
        <f>'Assets 5-6'!D25</f>
        <v>0</v>
      </c>
      <c r="D6126" s="2" t="str">
        <f t="shared" si="94"/>
        <v>Error?</v>
      </c>
      <c r="E6126" s="2" t="s">
        <v>189</v>
      </c>
    </row>
    <row r="6127" spans="1:5" x14ac:dyDescent="0.2">
      <c r="A6127">
        <v>6066</v>
      </c>
      <c r="B6127" s="1832">
        <f>'Assets 5-6'!E25</f>
        <v>0</v>
      </c>
      <c r="D6127" s="2" t="str">
        <f t="shared" si="94"/>
        <v>Error?</v>
      </c>
      <c r="E6127" s="2" t="s">
        <v>189</v>
      </c>
    </row>
    <row r="6128" spans="1:5" x14ac:dyDescent="0.2">
      <c r="A6128">
        <v>6067</v>
      </c>
      <c r="B6128" s="1832">
        <f>'Assets 5-6'!F25</f>
        <v>0</v>
      </c>
      <c r="D6128" s="2" t="str">
        <f t="shared" si="94"/>
        <v>Error?</v>
      </c>
      <c r="E6128" s="2" t="s">
        <v>189</v>
      </c>
    </row>
    <row r="6129" spans="1:5" x14ac:dyDescent="0.2">
      <c r="A6129">
        <v>6068</v>
      </c>
      <c r="B6129" s="1832">
        <f>'Assets 5-6'!G25</f>
        <v>0</v>
      </c>
      <c r="D6129" s="2" t="str">
        <f t="shared" si="94"/>
        <v>Error?</v>
      </c>
      <c r="E6129" s="2" t="s">
        <v>189</v>
      </c>
    </row>
    <row r="6130" spans="1:5" x14ac:dyDescent="0.2">
      <c r="A6130">
        <v>6069</v>
      </c>
      <c r="B6130" s="1832">
        <f>'Assets 5-6'!H25</f>
        <v>0</v>
      </c>
      <c r="D6130" s="2" t="str">
        <f t="shared" si="94"/>
        <v>Error?</v>
      </c>
      <c r="E6130" s="2" t="s">
        <v>189</v>
      </c>
    </row>
    <row r="6131" spans="1:5" x14ac:dyDescent="0.2">
      <c r="A6131">
        <v>6070</v>
      </c>
      <c r="B6131" s="1832">
        <f>'Assets 5-6'!J25</f>
        <v>0</v>
      </c>
      <c r="D6131" s="2" t="str">
        <f t="shared" si="94"/>
        <v>Error?</v>
      </c>
      <c r="E6131" s="2" t="s">
        <v>189</v>
      </c>
    </row>
    <row r="6132" spans="1:5" x14ac:dyDescent="0.2">
      <c r="A6132">
        <v>6071</v>
      </c>
      <c r="B6132" s="1832">
        <f>'Assets 5-6'!K25</f>
        <v>0</v>
      </c>
      <c r="D6132" s="2" t="str">
        <f t="shared" si="94"/>
        <v>Error?</v>
      </c>
      <c r="E6132" s="2" t="s">
        <v>189</v>
      </c>
    </row>
    <row r="6133" spans="1:5" x14ac:dyDescent="0.2">
      <c r="A6133">
        <v>6072</v>
      </c>
      <c r="B6133" s="1832">
        <f>'Assets 5-6'!C26</f>
        <v>0</v>
      </c>
      <c r="D6133" s="2" t="str">
        <f t="shared" si="94"/>
        <v>Error?</v>
      </c>
      <c r="E6133" s="2" t="s">
        <v>189</v>
      </c>
    </row>
    <row r="6134" spans="1:5" x14ac:dyDescent="0.2">
      <c r="A6134">
        <v>6073</v>
      </c>
      <c r="B6134" s="1832">
        <f>'Assets 5-6'!D26</f>
        <v>0</v>
      </c>
      <c r="D6134" s="2" t="str">
        <f t="shared" si="94"/>
        <v>Error?</v>
      </c>
      <c r="E6134" s="2" t="s">
        <v>189</v>
      </c>
    </row>
    <row r="6135" spans="1:5" x14ac:dyDescent="0.2">
      <c r="A6135">
        <v>6074</v>
      </c>
      <c r="B6135" s="1832">
        <f>'Assets 5-6'!E26</f>
        <v>0</v>
      </c>
      <c r="D6135" s="2" t="str">
        <f t="shared" si="94"/>
        <v>Error?</v>
      </c>
      <c r="E6135" s="2" t="s">
        <v>189</v>
      </c>
    </row>
    <row r="6136" spans="1:5" x14ac:dyDescent="0.2">
      <c r="A6136">
        <v>6075</v>
      </c>
      <c r="B6136" s="1832">
        <f>'Assets 5-6'!F26</f>
        <v>0</v>
      </c>
      <c r="D6136" s="2" t="str">
        <f t="shared" si="94"/>
        <v>Error?</v>
      </c>
      <c r="E6136" s="2" t="s">
        <v>189</v>
      </c>
    </row>
    <row r="6137" spans="1:5" x14ac:dyDescent="0.2">
      <c r="A6137">
        <v>6076</v>
      </c>
      <c r="B6137" s="1832">
        <f>'Assets 5-6'!G26</f>
        <v>0</v>
      </c>
      <c r="D6137" s="2" t="str">
        <f t="shared" si="94"/>
        <v>Error?</v>
      </c>
      <c r="E6137" s="2" t="s">
        <v>189</v>
      </c>
    </row>
    <row r="6138" spans="1:5" x14ac:dyDescent="0.2">
      <c r="A6138">
        <v>6077</v>
      </c>
      <c r="B6138" s="1832">
        <f>'Assets 5-6'!H26</f>
        <v>0</v>
      </c>
      <c r="D6138" s="2" t="str">
        <f t="shared" si="94"/>
        <v>Error?</v>
      </c>
      <c r="E6138" s="2" t="s">
        <v>189</v>
      </c>
    </row>
    <row r="6139" spans="1:5" x14ac:dyDescent="0.2">
      <c r="A6139">
        <v>6078</v>
      </c>
      <c r="B6139" s="1832">
        <f>'Assets 5-6'!I26</f>
        <v>0</v>
      </c>
      <c r="D6139" s="2" t="str">
        <f t="shared" si="94"/>
        <v>Error?</v>
      </c>
      <c r="E6139" s="2" t="s">
        <v>189</v>
      </c>
    </row>
    <row r="6140" spans="1:5" x14ac:dyDescent="0.2">
      <c r="A6140">
        <v>6079</v>
      </c>
      <c r="B6140" s="1832">
        <f>'Assets 5-6'!J26</f>
        <v>0</v>
      </c>
      <c r="D6140" s="2" t="str">
        <f t="shared" si="94"/>
        <v>Error?</v>
      </c>
      <c r="E6140" s="2" t="s">
        <v>189</v>
      </c>
    </row>
    <row r="6141" spans="1:5" x14ac:dyDescent="0.2">
      <c r="A6141">
        <v>6080</v>
      </c>
      <c r="B6141" s="1832">
        <f>'Assets 5-6'!K26</f>
        <v>0</v>
      </c>
      <c r="D6141" s="2" t="str">
        <f t="shared" si="94"/>
        <v>Error?</v>
      </c>
      <c r="E6141" s="2" t="s">
        <v>189</v>
      </c>
    </row>
    <row r="6142" spans="1:5" x14ac:dyDescent="0.2">
      <c r="A6142">
        <v>6081</v>
      </c>
      <c r="B6142" s="1832">
        <f>'Assets 5-6'!C27</f>
        <v>0</v>
      </c>
      <c r="D6142" s="2" t="str">
        <f t="shared" si="94"/>
        <v>Error?</v>
      </c>
      <c r="E6142" s="2" t="s">
        <v>189</v>
      </c>
    </row>
    <row r="6143" spans="1:5" x14ac:dyDescent="0.2">
      <c r="A6143">
        <v>6082</v>
      </c>
      <c r="B6143" s="1832">
        <f>'Assets 5-6'!D27</f>
        <v>0</v>
      </c>
      <c r="D6143" s="2" t="str">
        <f t="shared" ref="D6143:D6206" si="95">IF(ISBLANK(B6143),"OK",IF(A6143-B6143=0,"OK","Error?"))</f>
        <v>Error?</v>
      </c>
      <c r="E6143" s="2" t="s">
        <v>189</v>
      </c>
    </row>
    <row r="6144" spans="1:5" x14ac:dyDescent="0.2">
      <c r="A6144">
        <v>6083</v>
      </c>
      <c r="B6144" s="1832">
        <f>'Assets 5-6'!E27</f>
        <v>0</v>
      </c>
      <c r="D6144" s="2" t="str">
        <f t="shared" si="95"/>
        <v>Error?</v>
      </c>
      <c r="E6144" s="2" t="s">
        <v>189</v>
      </c>
    </row>
    <row r="6145" spans="1:5" x14ac:dyDescent="0.2">
      <c r="A6145">
        <v>6084</v>
      </c>
      <c r="B6145" s="1832">
        <f>'Assets 5-6'!F27</f>
        <v>0</v>
      </c>
      <c r="D6145" s="2" t="str">
        <f t="shared" si="95"/>
        <v>Error?</v>
      </c>
      <c r="E6145" s="2" t="s">
        <v>189</v>
      </c>
    </row>
    <row r="6146" spans="1:5" x14ac:dyDescent="0.2">
      <c r="A6146">
        <v>6085</v>
      </c>
      <c r="B6146" s="1832">
        <f>'Assets 5-6'!G27</f>
        <v>0</v>
      </c>
      <c r="D6146" s="2" t="str">
        <f t="shared" si="95"/>
        <v>Error?</v>
      </c>
      <c r="E6146" s="2" t="s">
        <v>189</v>
      </c>
    </row>
    <row r="6147" spans="1:5" x14ac:dyDescent="0.2">
      <c r="A6147">
        <v>6086</v>
      </c>
      <c r="B6147" s="1832">
        <f>'Assets 5-6'!H27</f>
        <v>0</v>
      </c>
      <c r="D6147" s="2" t="str">
        <f t="shared" si="95"/>
        <v>Error?</v>
      </c>
      <c r="E6147" s="2" t="s">
        <v>189</v>
      </c>
    </row>
    <row r="6148" spans="1:5" x14ac:dyDescent="0.2">
      <c r="A6148">
        <v>6087</v>
      </c>
      <c r="B6148" s="1832">
        <f>'Assets 5-6'!I27</f>
        <v>0</v>
      </c>
      <c r="D6148" s="2" t="str">
        <f t="shared" si="95"/>
        <v>Error?</v>
      </c>
      <c r="E6148" s="2" t="s">
        <v>189</v>
      </c>
    </row>
    <row r="6149" spans="1:5" x14ac:dyDescent="0.2">
      <c r="A6149">
        <v>6088</v>
      </c>
      <c r="B6149" s="1832">
        <f>'Assets 5-6'!J27</f>
        <v>0</v>
      </c>
      <c r="D6149" s="2" t="str">
        <f t="shared" si="95"/>
        <v>Error?</v>
      </c>
      <c r="E6149" s="2" t="s">
        <v>189</v>
      </c>
    </row>
    <row r="6150" spans="1:5" x14ac:dyDescent="0.2">
      <c r="A6150">
        <v>6089</v>
      </c>
      <c r="B6150" s="1832">
        <f>'Assets 5-6'!K27</f>
        <v>0</v>
      </c>
      <c r="D6150" s="2" t="str">
        <f t="shared" si="95"/>
        <v>Error?</v>
      </c>
      <c r="E6150" s="2" t="s">
        <v>189</v>
      </c>
    </row>
    <row r="6151" spans="1:5" x14ac:dyDescent="0.2">
      <c r="A6151">
        <v>6090</v>
      </c>
      <c r="B6151" s="1832">
        <f>'Assets 5-6'!C28</f>
        <v>0</v>
      </c>
      <c r="D6151" s="2" t="str">
        <f t="shared" si="95"/>
        <v>Error?</v>
      </c>
      <c r="E6151" s="2" t="s">
        <v>189</v>
      </c>
    </row>
    <row r="6152" spans="1:5" x14ac:dyDescent="0.2">
      <c r="A6152">
        <v>6091</v>
      </c>
      <c r="B6152" s="1832">
        <f>'Assets 5-6'!D28</f>
        <v>0</v>
      </c>
      <c r="D6152" s="2" t="str">
        <f t="shared" si="95"/>
        <v>Error?</v>
      </c>
      <c r="E6152" s="2" t="s">
        <v>189</v>
      </c>
    </row>
    <row r="6153" spans="1:5" x14ac:dyDescent="0.2">
      <c r="A6153">
        <v>6092</v>
      </c>
      <c r="B6153" s="1832">
        <f>'Assets 5-6'!E28</f>
        <v>0</v>
      </c>
      <c r="D6153" s="2" t="str">
        <f t="shared" si="95"/>
        <v>Error?</v>
      </c>
      <c r="E6153" s="2" t="s">
        <v>189</v>
      </c>
    </row>
    <row r="6154" spans="1:5" x14ac:dyDescent="0.2">
      <c r="A6154">
        <v>6093</v>
      </c>
      <c r="B6154" s="1832">
        <f>'Assets 5-6'!F28</f>
        <v>0</v>
      </c>
      <c r="D6154" s="2" t="str">
        <f t="shared" si="95"/>
        <v>Error?</v>
      </c>
      <c r="E6154" s="2" t="s">
        <v>189</v>
      </c>
    </row>
    <row r="6155" spans="1:5" x14ac:dyDescent="0.2">
      <c r="A6155">
        <v>6094</v>
      </c>
      <c r="B6155" s="1832">
        <f>'Assets 5-6'!G28</f>
        <v>0</v>
      </c>
      <c r="D6155" s="2" t="str">
        <f t="shared" si="95"/>
        <v>Error?</v>
      </c>
      <c r="E6155" s="2" t="s">
        <v>189</v>
      </c>
    </row>
    <row r="6156" spans="1:5" x14ac:dyDescent="0.2">
      <c r="A6156">
        <v>6095</v>
      </c>
      <c r="B6156" s="1832">
        <f>'Assets 5-6'!H28</f>
        <v>0</v>
      </c>
      <c r="D6156" s="2" t="str">
        <f t="shared" si="95"/>
        <v>Error?</v>
      </c>
      <c r="E6156" s="2" t="s">
        <v>189</v>
      </c>
    </row>
    <row r="6157" spans="1:5" x14ac:dyDescent="0.2">
      <c r="A6157">
        <v>6096</v>
      </c>
      <c r="B6157" s="1832">
        <f>'Assets 5-6'!I28</f>
        <v>0</v>
      </c>
      <c r="D6157" s="2" t="str">
        <f t="shared" si="95"/>
        <v>Error?</v>
      </c>
      <c r="E6157" s="2" t="s">
        <v>189</v>
      </c>
    </row>
    <row r="6158" spans="1:5" x14ac:dyDescent="0.2">
      <c r="A6158">
        <v>6097</v>
      </c>
      <c r="B6158" s="1832">
        <f>'Assets 5-6'!J28</f>
        <v>0</v>
      </c>
      <c r="D6158" s="2" t="str">
        <f t="shared" si="95"/>
        <v>Error?</v>
      </c>
      <c r="E6158" s="2" t="s">
        <v>189</v>
      </c>
    </row>
    <row r="6159" spans="1:5" x14ac:dyDescent="0.2">
      <c r="A6159">
        <v>6098</v>
      </c>
      <c r="B6159" s="1832">
        <f>'Assets 5-6'!K28</f>
        <v>0</v>
      </c>
      <c r="D6159" s="2" t="str">
        <f t="shared" si="95"/>
        <v>Error?</v>
      </c>
      <c r="E6159" s="2" t="s">
        <v>189</v>
      </c>
    </row>
    <row r="6160" spans="1:5" x14ac:dyDescent="0.2">
      <c r="A6160">
        <v>6099</v>
      </c>
      <c r="B6160" s="1832">
        <f>'Assets 5-6'!C29</f>
        <v>0</v>
      </c>
      <c r="D6160" s="2" t="str">
        <f t="shared" si="95"/>
        <v>Error?</v>
      </c>
      <c r="E6160" s="2" t="s">
        <v>189</v>
      </c>
    </row>
    <row r="6161" spans="1:5" x14ac:dyDescent="0.2">
      <c r="A6161">
        <v>6100</v>
      </c>
      <c r="B6161" s="1832">
        <f>'Assets 5-6'!D29</f>
        <v>0</v>
      </c>
      <c r="D6161" s="2" t="str">
        <f t="shared" si="95"/>
        <v>Error?</v>
      </c>
      <c r="E6161" s="2" t="s">
        <v>189</v>
      </c>
    </row>
    <row r="6162" spans="1:5" x14ac:dyDescent="0.2">
      <c r="A6162">
        <v>6101</v>
      </c>
      <c r="B6162" s="1832">
        <f>'Assets 5-6'!E29</f>
        <v>0</v>
      </c>
      <c r="D6162" s="2" t="str">
        <f t="shared" si="95"/>
        <v>Error?</v>
      </c>
      <c r="E6162" s="2" t="s">
        <v>189</v>
      </c>
    </row>
    <row r="6163" spans="1:5" x14ac:dyDescent="0.2">
      <c r="A6163">
        <v>6102</v>
      </c>
      <c r="B6163" s="1832">
        <f>'Assets 5-6'!F29</f>
        <v>0</v>
      </c>
      <c r="D6163" s="2" t="str">
        <f t="shared" si="95"/>
        <v>Error?</v>
      </c>
      <c r="E6163" s="2" t="s">
        <v>189</v>
      </c>
    </row>
    <row r="6164" spans="1:5" x14ac:dyDescent="0.2">
      <c r="A6164">
        <v>6103</v>
      </c>
      <c r="B6164" s="1832">
        <f>'Assets 5-6'!G29</f>
        <v>0</v>
      </c>
      <c r="D6164" s="2" t="str">
        <f t="shared" si="95"/>
        <v>Error?</v>
      </c>
      <c r="E6164" s="2" t="s">
        <v>189</v>
      </c>
    </row>
    <row r="6165" spans="1:5" x14ac:dyDescent="0.2">
      <c r="A6165">
        <v>6104</v>
      </c>
      <c r="B6165" s="1832">
        <f>'Assets 5-6'!H29</f>
        <v>0</v>
      </c>
      <c r="D6165" s="2" t="str">
        <f t="shared" si="95"/>
        <v>Error?</v>
      </c>
      <c r="E6165" s="2" t="s">
        <v>189</v>
      </c>
    </row>
    <row r="6166" spans="1:5" x14ac:dyDescent="0.2">
      <c r="A6166">
        <v>6105</v>
      </c>
      <c r="B6166" s="1832">
        <f>'Assets 5-6'!I29</f>
        <v>0</v>
      </c>
      <c r="D6166" s="2" t="str">
        <f t="shared" si="95"/>
        <v>Error?</v>
      </c>
      <c r="E6166" s="2" t="s">
        <v>189</v>
      </c>
    </row>
    <row r="6167" spans="1:5" x14ac:dyDescent="0.2">
      <c r="A6167">
        <v>6106</v>
      </c>
      <c r="B6167" s="1832">
        <f>'Assets 5-6'!J29</f>
        <v>0</v>
      </c>
      <c r="D6167" s="2" t="str">
        <f t="shared" si="95"/>
        <v>Error?</v>
      </c>
      <c r="E6167" s="2" t="s">
        <v>189</v>
      </c>
    </row>
    <row r="6168" spans="1:5" x14ac:dyDescent="0.2">
      <c r="A6168">
        <v>6107</v>
      </c>
      <c r="B6168" s="1832">
        <f>'Assets 5-6'!K29</f>
        <v>0</v>
      </c>
      <c r="D6168" s="2" t="str">
        <f t="shared" si="95"/>
        <v>Error?</v>
      </c>
      <c r="E6168" s="2" t="s">
        <v>189</v>
      </c>
    </row>
    <row r="6169" spans="1:5" x14ac:dyDescent="0.2">
      <c r="A6169">
        <v>6108</v>
      </c>
      <c r="B6169" s="1832">
        <f>'Assets 5-6'!C30</f>
        <v>0</v>
      </c>
      <c r="D6169" s="2" t="str">
        <f t="shared" si="95"/>
        <v>Error?</v>
      </c>
      <c r="E6169" s="2" t="s">
        <v>189</v>
      </c>
    </row>
    <row r="6170" spans="1:5" x14ac:dyDescent="0.2">
      <c r="A6170">
        <v>6109</v>
      </c>
      <c r="B6170" s="1832">
        <f>'Assets 5-6'!D30</f>
        <v>0</v>
      </c>
      <c r="D6170" s="2" t="str">
        <f t="shared" si="95"/>
        <v>Error?</v>
      </c>
      <c r="E6170" s="2" t="s">
        <v>189</v>
      </c>
    </row>
    <row r="6171" spans="1:5" x14ac:dyDescent="0.2">
      <c r="A6171">
        <v>6110</v>
      </c>
      <c r="B6171" s="1832">
        <f>'Assets 5-6'!E30</f>
        <v>0</v>
      </c>
      <c r="D6171" s="2" t="str">
        <f t="shared" si="95"/>
        <v>Error?</v>
      </c>
      <c r="E6171" s="2" t="s">
        <v>189</v>
      </c>
    </row>
    <row r="6172" spans="1:5" x14ac:dyDescent="0.2">
      <c r="A6172">
        <v>6111</v>
      </c>
      <c r="B6172" s="1832">
        <f>'Assets 5-6'!F30</f>
        <v>0</v>
      </c>
      <c r="D6172" s="2" t="str">
        <f t="shared" si="95"/>
        <v>Error?</v>
      </c>
      <c r="E6172" s="2" t="s">
        <v>189</v>
      </c>
    </row>
    <row r="6173" spans="1:5" x14ac:dyDescent="0.2">
      <c r="A6173">
        <v>6112</v>
      </c>
      <c r="B6173" s="1832">
        <f>'Assets 5-6'!G30</f>
        <v>0</v>
      </c>
      <c r="D6173" s="2" t="str">
        <f t="shared" si="95"/>
        <v>Error?</v>
      </c>
      <c r="E6173" s="2" t="s">
        <v>189</v>
      </c>
    </row>
    <row r="6174" spans="1:5" x14ac:dyDescent="0.2">
      <c r="A6174">
        <v>6113</v>
      </c>
      <c r="B6174" s="1832">
        <f>'Assets 5-6'!H30</f>
        <v>0</v>
      </c>
      <c r="D6174" s="2" t="str">
        <f t="shared" si="95"/>
        <v>Error?</v>
      </c>
      <c r="E6174" s="2" t="s">
        <v>189</v>
      </c>
    </row>
    <row r="6175" spans="1:5" x14ac:dyDescent="0.2">
      <c r="A6175">
        <v>6114</v>
      </c>
      <c r="B6175" s="1832">
        <f>'Assets 5-6'!I30</f>
        <v>0</v>
      </c>
      <c r="D6175" s="2" t="str">
        <f t="shared" si="95"/>
        <v>Error?</v>
      </c>
      <c r="E6175" s="2" t="s">
        <v>189</v>
      </c>
    </row>
    <row r="6176" spans="1:5" x14ac:dyDescent="0.2">
      <c r="A6176">
        <v>6115</v>
      </c>
      <c r="B6176" s="1832">
        <f>'Assets 5-6'!J30</f>
        <v>0</v>
      </c>
      <c r="D6176" s="2" t="str">
        <f t="shared" si="95"/>
        <v>Error?</v>
      </c>
      <c r="E6176" s="2" t="s">
        <v>189</v>
      </c>
    </row>
    <row r="6177" spans="1:5" x14ac:dyDescent="0.2">
      <c r="A6177">
        <v>6116</v>
      </c>
      <c r="B6177" s="1832">
        <f>'Assets 5-6'!K30</f>
        <v>0</v>
      </c>
      <c r="D6177" s="2" t="str">
        <f t="shared" si="95"/>
        <v>Error?</v>
      </c>
      <c r="E6177" s="2" t="s">
        <v>189</v>
      </c>
    </row>
    <row r="6178" spans="1:5" x14ac:dyDescent="0.2">
      <c r="A6178">
        <v>6117</v>
      </c>
      <c r="B6178" s="1832">
        <f>'Assets 5-6'!E31</f>
        <v>0</v>
      </c>
      <c r="D6178" s="2" t="str">
        <f t="shared" si="95"/>
        <v>Error?</v>
      </c>
      <c r="E6178" s="2" t="s">
        <v>189</v>
      </c>
    </row>
    <row r="6179" spans="1:5" x14ac:dyDescent="0.2">
      <c r="A6179">
        <v>6118</v>
      </c>
      <c r="B6179" s="1832">
        <f>'Assets 5-6'!I31</f>
        <v>0</v>
      </c>
      <c r="D6179" s="2" t="str">
        <f t="shared" si="95"/>
        <v>Error?</v>
      </c>
      <c r="E6179" s="2" t="s">
        <v>189</v>
      </c>
    </row>
    <row r="6180" spans="1:5" x14ac:dyDescent="0.2">
      <c r="A6180">
        <v>6119</v>
      </c>
      <c r="B6180" s="1832">
        <f>'Assets 5-6'!J31</f>
        <v>0</v>
      </c>
      <c r="D6180" s="2" t="str">
        <f t="shared" si="95"/>
        <v>Error?</v>
      </c>
      <c r="E6180" s="2" t="s">
        <v>189</v>
      </c>
    </row>
    <row r="6181" spans="1:5" x14ac:dyDescent="0.2">
      <c r="A6181">
        <v>6120</v>
      </c>
      <c r="B6181" s="1832">
        <f>'Assets 5-6'!J32</f>
        <v>0</v>
      </c>
      <c r="D6181" s="2" t="str">
        <f t="shared" si="95"/>
        <v>Error?</v>
      </c>
      <c r="E6181" s="2" t="s">
        <v>189</v>
      </c>
    </row>
    <row r="6182" spans="1:5" x14ac:dyDescent="0.2">
      <c r="A6182">
        <v>6121</v>
      </c>
      <c r="B6182" s="1832">
        <f>'Assets 5-6'!C33</f>
        <v>0</v>
      </c>
      <c r="D6182" s="2" t="str">
        <f t="shared" si="95"/>
        <v>Error?</v>
      </c>
      <c r="E6182" s="2" t="s">
        <v>189</v>
      </c>
    </row>
    <row r="6183" spans="1:5" x14ac:dyDescent="0.2">
      <c r="A6183">
        <v>6122</v>
      </c>
      <c r="B6183" s="1832">
        <f>'Assets 5-6'!D33</f>
        <v>0</v>
      </c>
      <c r="D6183" s="2" t="str">
        <f t="shared" si="95"/>
        <v>Error?</v>
      </c>
      <c r="E6183" s="2" t="s">
        <v>189</v>
      </c>
    </row>
    <row r="6184" spans="1:5" x14ac:dyDescent="0.2">
      <c r="A6184">
        <v>6123</v>
      </c>
      <c r="B6184" s="1832">
        <f>'Assets 5-6'!E33</f>
        <v>0</v>
      </c>
      <c r="D6184" s="2" t="str">
        <f t="shared" si="95"/>
        <v>Error?</v>
      </c>
      <c r="E6184" s="2" t="s">
        <v>189</v>
      </c>
    </row>
    <row r="6185" spans="1:5" x14ac:dyDescent="0.2">
      <c r="A6185">
        <v>6124</v>
      </c>
      <c r="B6185" s="1832">
        <f>'Assets 5-6'!F33</f>
        <v>0</v>
      </c>
      <c r="D6185" s="2" t="str">
        <f t="shared" si="95"/>
        <v>Error?</v>
      </c>
      <c r="E6185" s="2" t="s">
        <v>189</v>
      </c>
    </row>
    <row r="6186" spans="1:5" x14ac:dyDescent="0.2">
      <c r="A6186">
        <v>6125</v>
      </c>
      <c r="B6186" s="1832">
        <f>'Assets 5-6'!G33</f>
        <v>0</v>
      </c>
      <c r="D6186" s="2" t="str">
        <f t="shared" si="95"/>
        <v>Error?</v>
      </c>
      <c r="E6186" s="2" t="s">
        <v>189</v>
      </c>
    </row>
    <row r="6187" spans="1:5" x14ac:dyDescent="0.2">
      <c r="A6187">
        <v>6126</v>
      </c>
      <c r="B6187" s="1832">
        <f>'Assets 5-6'!H33</f>
        <v>0</v>
      </c>
      <c r="D6187" s="2" t="str">
        <f t="shared" si="95"/>
        <v>Error?</v>
      </c>
      <c r="E6187" s="2" t="s">
        <v>189</v>
      </c>
    </row>
    <row r="6188" spans="1:5" x14ac:dyDescent="0.2">
      <c r="A6188">
        <v>6127</v>
      </c>
      <c r="B6188" s="1832">
        <f>'Assets 5-6'!I33</f>
        <v>0</v>
      </c>
      <c r="D6188" s="2" t="str">
        <f t="shared" si="95"/>
        <v>Error?</v>
      </c>
      <c r="E6188" s="2" t="s">
        <v>189</v>
      </c>
    </row>
    <row r="6189" spans="1:5" x14ac:dyDescent="0.2">
      <c r="A6189">
        <v>6128</v>
      </c>
      <c r="B6189" s="1832">
        <f>'Assets 5-6'!J33</f>
        <v>0</v>
      </c>
      <c r="D6189" s="2" t="str">
        <f t="shared" si="95"/>
        <v>Error?</v>
      </c>
      <c r="E6189" s="2" t="s">
        <v>189</v>
      </c>
    </row>
    <row r="6190" spans="1:5" x14ac:dyDescent="0.2">
      <c r="A6190">
        <v>6129</v>
      </c>
      <c r="B6190" s="1832">
        <f>'Assets 5-6'!K33</f>
        <v>0</v>
      </c>
      <c r="D6190" s="2" t="str">
        <f t="shared" si="95"/>
        <v>Error?</v>
      </c>
      <c r="E6190" s="2" t="s">
        <v>189</v>
      </c>
    </row>
    <row r="6191" spans="1:5" x14ac:dyDescent="0.2">
      <c r="A6191">
        <v>6130</v>
      </c>
      <c r="B6191" s="1832">
        <f>'Assets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 5-6'!J38</f>
        <v>0</v>
      </c>
      <c r="D6214" s="2" t="str">
        <f t="shared" si="96"/>
        <v>Error?</v>
      </c>
      <c r="E6214" s="2" t="s">
        <v>189</v>
      </c>
    </row>
    <row r="6215" spans="1:5" x14ac:dyDescent="0.2">
      <c r="A6215">
        <v>6154</v>
      </c>
      <c r="B6215" s="1832">
        <f>'Assets 5-6'!J39</f>
        <v>134516</v>
      </c>
      <c r="D6215" s="2" t="str">
        <f t="shared" si="96"/>
        <v>Error?</v>
      </c>
      <c r="E6215" s="2" t="s">
        <v>189</v>
      </c>
    </row>
    <row r="6216" spans="1:5" x14ac:dyDescent="0.2">
      <c r="A6216">
        <v>6155</v>
      </c>
      <c r="B6216" s="1832">
        <f>'Assets 5-6'!J41</f>
        <v>134516</v>
      </c>
      <c r="D6216" s="2" t="str">
        <f t="shared" si="96"/>
        <v>Error?</v>
      </c>
      <c r="E6216" s="2" t="s">
        <v>189</v>
      </c>
    </row>
    <row r="6217" spans="1:5" x14ac:dyDescent="0.2">
      <c r="A6217">
        <v>6156</v>
      </c>
      <c r="B6217" s="1832">
        <f>'Assets 5-6'!J4</f>
        <v>134516</v>
      </c>
      <c r="D6217" s="2" t="str">
        <f t="shared" si="96"/>
        <v>Error?</v>
      </c>
      <c r="E6217" s="2" t="s">
        <v>189</v>
      </c>
    </row>
    <row r="6218" spans="1:5" x14ac:dyDescent="0.2">
      <c r="A6218">
        <v>6157</v>
      </c>
      <c r="B6218" s="1832">
        <f>'Assets 5-6'!J5</f>
        <v>0</v>
      </c>
      <c r="D6218" s="2" t="str">
        <f t="shared" si="96"/>
        <v>Error?</v>
      </c>
      <c r="E6218" s="2" t="s">
        <v>189</v>
      </c>
    </row>
    <row r="6219" spans="1:5" x14ac:dyDescent="0.2">
      <c r="A6219">
        <v>6158</v>
      </c>
      <c r="B6219" s="1832">
        <f>'Assets 5-6'!J6</f>
        <v>0</v>
      </c>
      <c r="D6219" s="2" t="str">
        <f t="shared" si="96"/>
        <v>Error?</v>
      </c>
      <c r="E6219" s="2" t="s">
        <v>189</v>
      </c>
    </row>
    <row r="6220" spans="1:5" x14ac:dyDescent="0.2">
      <c r="A6220">
        <v>6159</v>
      </c>
      <c r="B6220" s="1832">
        <f>'Acct Summary 7-8'!J4</f>
        <v>197019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197019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197019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198906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198906</v>
      </c>
      <c r="D6229" s="2" t="str">
        <f t="shared" si="96"/>
        <v>Error?</v>
      </c>
      <c r="E6229" s="2" t="s">
        <v>189</v>
      </c>
    </row>
    <row r="6230" spans="1:5" x14ac:dyDescent="0.2">
      <c r="A6230">
        <v>6169</v>
      </c>
      <c r="B6230" s="1832">
        <f>'Acct Summary 7-8'!J20</f>
        <v>-1887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29584</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-1887</v>
      </c>
      <c r="D6263" s="2" t="str">
        <f t="shared" si="96"/>
        <v>Error?</v>
      </c>
      <c r="E6263" s="2" t="s">
        <v>189</v>
      </c>
    </row>
    <row r="6264" spans="1:5" x14ac:dyDescent="0.2">
      <c r="A6264">
        <v>6203</v>
      </c>
      <c r="B6264" s="1832">
        <f>'Acct Summary 7-8'!J79</f>
        <v>136403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134516</v>
      </c>
      <c r="D6266" s="2" t="str">
        <f t="shared" si="96"/>
        <v>Error?</v>
      </c>
      <c r="E6266" s="2" t="s">
        <v>189</v>
      </c>
    </row>
    <row r="6267" spans="1:5" x14ac:dyDescent="0.2">
      <c r="A6267">
        <v>6206</v>
      </c>
      <c r="B6267" s="1832">
        <f>'Acct Summary 7-8'!C82</f>
        <v>471905</v>
      </c>
      <c r="D6267" s="2" t="str">
        <f t="shared" si="96"/>
        <v>Error?</v>
      </c>
      <c r="E6267" s="2" t="s">
        <v>189</v>
      </c>
    </row>
    <row r="6268" spans="1:5" x14ac:dyDescent="0.2">
      <c r="A6268">
        <v>6207</v>
      </c>
      <c r="B6268" s="1832">
        <f>'Acct Summary 7-8'!D82</f>
        <v>-217751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79563</v>
      </c>
      <c r="D6270" s="2" t="str">
        <f t="shared" si="96"/>
        <v>Error?</v>
      </c>
      <c r="E6270" s="2" t="s">
        <v>189</v>
      </c>
    </row>
    <row r="6271" spans="1:5" x14ac:dyDescent="0.2">
      <c r="A6271">
        <v>6210</v>
      </c>
      <c r="B6271" s="1832">
        <f>'Acct Summary 7-8'!G82</f>
        <v>18929</v>
      </c>
      <c r="D6271" s="2" t="str">
        <f t="shared" ref="D6271:D6334" si="97">IF(ISBLANK(B6271),"OK",IF(A6271-B6271=0,"OK","Error?"))</f>
        <v>Error?</v>
      </c>
      <c r="E6271" s="2" t="s">
        <v>189</v>
      </c>
    </row>
    <row r="6272" spans="1:5" x14ac:dyDescent="0.2">
      <c r="A6272">
        <v>6211</v>
      </c>
      <c r="B6272" s="1832">
        <f>'Acct Summary 7-8'!H82</f>
        <v>187663</v>
      </c>
      <c r="D6272" s="2" t="str">
        <f t="shared" si="97"/>
        <v>Error?</v>
      </c>
      <c r="E6272" s="2" t="s">
        <v>189</v>
      </c>
    </row>
    <row r="6273" spans="1:5" x14ac:dyDescent="0.2">
      <c r="A6273">
        <v>6212</v>
      </c>
      <c r="B6273" s="1832">
        <f>'Acct Summary 7-8'!I82</f>
        <v>-247</v>
      </c>
      <c r="D6273" s="2" t="str">
        <f t="shared" si="97"/>
        <v>Error?</v>
      </c>
      <c r="E6273" s="2" t="s">
        <v>189</v>
      </c>
    </row>
    <row r="6274" spans="1:5" x14ac:dyDescent="0.2">
      <c r="A6274">
        <v>6213</v>
      </c>
      <c r="B6274" s="1832">
        <f>'Acct Summary 7-8'!J82</f>
        <v>-1887</v>
      </c>
      <c r="D6274" s="2" t="str">
        <f t="shared" si="97"/>
        <v>Error?</v>
      </c>
      <c r="E6274" s="2" t="s">
        <v>189</v>
      </c>
    </row>
    <row r="6275" spans="1:5" x14ac:dyDescent="0.2">
      <c r="A6275">
        <v>6214</v>
      </c>
      <c r="B6275" s="1832">
        <f>'Acct Summary 7-8'!K82</f>
        <v>28454</v>
      </c>
      <c r="D6275" s="2" t="str">
        <f t="shared" si="97"/>
        <v>Error?</v>
      </c>
      <c r="E6275" s="2" t="s">
        <v>189</v>
      </c>
    </row>
    <row r="6276" spans="1:5" x14ac:dyDescent="0.2">
      <c r="A6276">
        <v>6215</v>
      </c>
      <c r="B6276" s="1832">
        <f>'Acct Summary 7-8'!C83</f>
        <v>0.3032317388186489</v>
      </c>
      <c r="D6276" s="2" t="str">
        <f t="shared" si="97"/>
        <v>Error?</v>
      </c>
      <c r="E6276" s="2" t="s">
        <v>189</v>
      </c>
    </row>
    <row r="6277" spans="1:5" x14ac:dyDescent="0.2">
      <c r="A6277">
        <v>6216</v>
      </c>
      <c r="B6277" s="1832">
        <f>'Acct Summary 7-8'!D83</f>
        <v>-0.30436210747602155</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0.16438704292166498</v>
      </c>
      <c r="D6279" s="2" t="str">
        <f t="shared" si="97"/>
        <v>Error?</v>
      </c>
      <c r="E6279" s="2" t="s">
        <v>189</v>
      </c>
    </row>
    <row r="6280" spans="1:5" x14ac:dyDescent="0.2">
      <c r="A6280">
        <v>6219</v>
      </c>
      <c r="B6280" s="1832">
        <f>'Acct Summary 7-8'!G83</f>
        <v>5.3745946836118733E-2</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-1.4028071010140059E-2</v>
      </c>
      <c r="D6283" s="2" t="str">
        <f t="shared" si="97"/>
        <v>Error?</v>
      </c>
      <c r="E6283" s="2" t="s">
        <v>189</v>
      </c>
    </row>
    <row r="6284" spans="1:5" x14ac:dyDescent="0.2">
      <c r="A6284">
        <v>6223</v>
      </c>
      <c r="B6284" s="1832">
        <f>'Acct Summary 7-8'!K83</f>
        <v>0.79640618002686969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 5-6'!M15</f>
        <v>0</v>
      </c>
      <c r="D6297" s="2" t="str">
        <f t="shared" si="97"/>
        <v>Error?</v>
      </c>
      <c r="E6297" s="2" t="s">
        <v>189</v>
      </c>
    </row>
    <row r="6298" spans="1:5" x14ac:dyDescent="0.2">
      <c r="A6298">
        <v>6237</v>
      </c>
      <c r="B6298" s="1832">
        <f>'Revenues 9-14'!J5</f>
        <v>193150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193150</v>
      </c>
      <c r="D6301" s="2" t="str">
        <f t="shared" si="97"/>
        <v>Error?</v>
      </c>
      <c r="E6301" s="2" t="s">
        <v>189</v>
      </c>
    </row>
    <row r="6302" spans="1:5" x14ac:dyDescent="0.2">
      <c r="A6302">
        <v>6241</v>
      </c>
      <c r="B6302" s="1832">
        <f>'Revenues 9-14'!J14</f>
        <v>95</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3180</v>
      </c>
      <c r="D6305" s="2" t="str">
        <f t="shared" si="97"/>
        <v>Error?</v>
      </c>
      <c r="E6305" s="2" t="s">
        <v>189</v>
      </c>
    </row>
    <row r="6306" spans="1:5" x14ac:dyDescent="0.2">
      <c r="A6306">
        <v>6245</v>
      </c>
      <c r="B6306" s="1832">
        <f>'Revenues 9-14'!J18</f>
        <v>3275</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197019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64094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123429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198906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18917</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197019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2357</v>
      </c>
      <c r="D7067" s="2" t="str">
        <f t="shared" si="109"/>
        <v>Error?</v>
      </c>
    </row>
    <row r="7068" spans="1:4" x14ac:dyDescent="0.2">
      <c r="A7068">
        <v>7007</v>
      </c>
      <c r="B7068" s="1832">
        <f>'Expenditures 15-22'!K205</f>
        <v>2357</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2860</v>
      </c>
      <c r="D7073" s="2" t="str">
        <f t="shared" si="109"/>
        <v>Error?</v>
      </c>
    </row>
    <row r="7074" spans="1:4" x14ac:dyDescent="0.2">
      <c r="A7074">
        <v>7013</v>
      </c>
      <c r="B7074" s="1832">
        <f>'Expenditures 15-22'!K216</f>
        <v>2860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3709</v>
      </c>
      <c r="D7089" s="2" t="str">
        <f t="shared" si="109"/>
        <v>Error?</v>
      </c>
    </row>
    <row r="7090" spans="1:4" x14ac:dyDescent="0.2">
      <c r="A7090">
        <v>7029</v>
      </c>
      <c r="B7090" s="1832">
        <f>'Expenditures 15-22'!K252</f>
        <v>3709</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100546</v>
      </c>
      <c r="D7154" s="2" t="str">
        <f t="shared" si="110"/>
        <v>Error?</v>
      </c>
    </row>
    <row r="7155" spans="1:4" x14ac:dyDescent="0.2">
      <c r="A7155">
        <v>7094</v>
      </c>
      <c r="B7155" s="1832">
        <f>'Expenditures 15-22'!D323</f>
        <v>14843</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115389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100546</v>
      </c>
      <c r="D7199" s="2" t="str">
        <f t="shared" si="111"/>
        <v>Error?</v>
      </c>
    </row>
    <row r="7200" spans="1:4" x14ac:dyDescent="0.2">
      <c r="A7200">
        <v>7139</v>
      </c>
      <c r="B7200" s="1832">
        <f>'Expenditures 15-22'!D330</f>
        <v>14843</v>
      </c>
      <c r="D7200" s="2" t="str">
        <f t="shared" si="111"/>
        <v>Error?</v>
      </c>
    </row>
    <row r="7201" spans="1:4" x14ac:dyDescent="0.2">
      <c r="A7201">
        <v>7140</v>
      </c>
      <c r="B7201" s="1832">
        <f>'Expenditures 15-22'!E330</f>
        <v>83517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198906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100546</v>
      </c>
      <c r="D7216" s="2" t="str">
        <f t="shared" si="111"/>
        <v>Error?</v>
      </c>
    </row>
    <row r="7217" spans="1:4" x14ac:dyDescent="0.2">
      <c r="A7217">
        <v>7156</v>
      </c>
      <c r="B7217" s="1832">
        <f>'Expenditures 15-22'!D342</f>
        <v>14843</v>
      </c>
      <c r="D7217" s="2" t="str">
        <f t="shared" si="111"/>
        <v>Error?</v>
      </c>
    </row>
    <row r="7218" spans="1:4" x14ac:dyDescent="0.2">
      <c r="A7218">
        <v>7157</v>
      </c>
      <c r="B7218" s="1832">
        <f>'Expenditures 15-22'!E342</f>
        <v>83517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198906</v>
      </c>
      <c r="D7224" s="2" t="str">
        <f t="shared" si="111"/>
        <v>Error?</v>
      </c>
    </row>
    <row r="7225" spans="1:4" x14ac:dyDescent="0.2">
      <c r="A7225">
        <v>7164</v>
      </c>
      <c r="B7225" s="1832">
        <f>'Expenditures 15-22'!K343</f>
        <v>-1887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9755</v>
      </c>
      <c r="D7246" s="2" t="str">
        <f t="shared" si="112"/>
        <v>Error?</v>
      </c>
    </row>
    <row r="7247" spans="1:4" x14ac:dyDescent="0.2">
      <c r="A7247">
        <f t="shared" si="113"/>
        <v>7186</v>
      </c>
      <c r="B7247" s="1832">
        <f>'Expenditures 15-22'!E7</f>
        <v>28546</v>
      </c>
      <c r="D7247" s="2" t="str">
        <f t="shared" si="112"/>
        <v>Error?</v>
      </c>
    </row>
    <row r="7248" spans="1:4" x14ac:dyDescent="0.2">
      <c r="A7248">
        <f t="shared" si="113"/>
        <v>7187</v>
      </c>
      <c r="B7248" s="1832">
        <f>'Expenditures 15-22'!F7</f>
        <v>21034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150214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83517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83517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23117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1310000</v>
      </c>
      <c r="D7817" s="2" t="str">
        <f t="shared" si="128"/>
        <v>Error?</v>
      </c>
      <c r="E7817" s="4" t="s">
        <v>1966</v>
      </c>
    </row>
    <row r="7818" spans="1:5" x14ac:dyDescent="0.2">
      <c r="A7818">
        <v>7757</v>
      </c>
      <c r="B7818" s="1832">
        <f>'PCTC-OEPP 27-28'!F172</f>
        <v>79495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3794650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123429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3598</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1053539</v>
      </c>
      <c r="D7834" s="2" t="str">
        <f t="shared" si="129"/>
        <v>Error?</v>
      </c>
      <c r="E7834" s="4" t="s">
        <v>1998</v>
      </c>
    </row>
    <row r="7835" spans="1:5" x14ac:dyDescent="0.2">
      <c r="A7835">
        <v>7774</v>
      </c>
      <c r="B7835" s="1832">
        <f>'PCTC-OEPP 27-28'!F78</f>
        <v>2741111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12545.130434782608</v>
      </c>
      <c r="D7837" s="2" t="str">
        <f t="shared" si="129"/>
        <v>Error?</v>
      </c>
      <c r="E7837" s="4" t="s">
        <v>1998</v>
      </c>
    </row>
    <row r="7838" spans="1:5" x14ac:dyDescent="0.2">
      <c r="A7838">
        <v>7777</v>
      </c>
      <c r="B7838" s="1832">
        <f>'PCTC-OEPP 27-28'!F96</f>
        <v>21697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25590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1250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216822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96473</v>
      </c>
      <c r="D7858" s="2" t="str">
        <f t="shared" si="129"/>
        <v>Error?</v>
      </c>
      <c r="E7858" s="4" t="s">
        <v>1998</v>
      </c>
    </row>
    <row r="7859" spans="1:5" x14ac:dyDescent="0.2">
      <c r="A7859">
        <v>7798</v>
      </c>
      <c r="B7859" s="1832">
        <f>'PCTC-OEPP 27-28'!F127</f>
        <v>66809</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17318</v>
      </c>
      <c r="D7873" s="2" t="str">
        <f t="shared" si="129"/>
        <v>Error?</v>
      </c>
      <c r="E7873" s="4" t="s">
        <v>1998</v>
      </c>
    </row>
    <row r="7874" spans="1:5" x14ac:dyDescent="0.2">
      <c r="A7874">
        <v>7813</v>
      </c>
      <c r="B7874" s="1832">
        <f>'PCTC-OEPP 27-28'!F169</f>
        <v>1195</v>
      </c>
      <c r="D7874" s="2" t="str">
        <f t="shared" si="129"/>
        <v>Error?</v>
      </c>
      <c r="E7874" s="4" t="s">
        <v>1998</v>
      </c>
    </row>
    <row r="7875" spans="1:5" x14ac:dyDescent="0.2">
      <c r="A7875">
        <v>7814</v>
      </c>
      <c r="B7875" s="1832">
        <f>'PCTC-OEPP 27-28'!F170</f>
        <v>5407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627925</v>
      </c>
      <c r="D7877" s="2" t="str">
        <f t="shared" si="129"/>
        <v>Error?</v>
      </c>
      <c r="E7877" s="4" t="s">
        <v>1998</v>
      </c>
    </row>
    <row r="7878" spans="1:5" x14ac:dyDescent="0.2">
      <c r="A7878">
        <v>7817</v>
      </c>
      <c r="B7878" s="1832">
        <f>'PCTC-OEPP 27-28'!F176</f>
        <v>2113186</v>
      </c>
      <c r="D7878" s="2" t="str">
        <f t="shared" si="129"/>
        <v>Error?</v>
      </c>
      <c r="E7878" s="4" t="s">
        <v>1998</v>
      </c>
    </row>
    <row r="7879" spans="1:5" x14ac:dyDescent="0.2">
      <c r="A7879">
        <v>7818</v>
      </c>
      <c r="B7879" s="1832">
        <f>'PCTC-OEPP 27-28'!F178</f>
        <v>2263400</v>
      </c>
      <c r="D7879" s="2" t="str">
        <f t="shared" si="129"/>
        <v>Error?</v>
      </c>
      <c r="E7879" s="4" t="s">
        <v>1998</v>
      </c>
    </row>
    <row r="7880" spans="1:5" x14ac:dyDescent="0.2">
      <c r="A7880">
        <v>7819</v>
      </c>
      <c r="B7880" s="1832">
        <f>'PCTC-OEPP 27-28'!F180</f>
        <v>10358.810068649886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Nauvoo-Colusa CUSD 325</v>
      </c>
      <c r="B7" s="2537"/>
      <c r="C7" s="2537"/>
      <c r="D7" s="2538"/>
      <c r="E7" s="2539">
        <f>COVER!A13</f>
        <v>26034325026</v>
      </c>
      <c r="F7" s="2540"/>
      <c r="G7" s="2546" t="str">
        <f>COVER!T23</f>
        <v>066-004856</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Dennis G Koch &amp; Associates LLC</v>
      </c>
      <c r="H9" s="2552"/>
      <c r="I9" s="2552"/>
      <c r="J9" s="2552"/>
      <c r="K9" s="2552"/>
      <c r="L9" s="2553"/>
    </row>
    <row r="10" spans="1:29" ht="13.5" customHeight="1" x14ac:dyDescent="0.2">
      <c r="A10" s="2525" t="str">
        <f>COVER!A38</f>
        <v>Kent Young</v>
      </c>
      <c r="B10" s="2526"/>
      <c r="C10" s="2526"/>
      <c r="D10" s="2526"/>
      <c r="E10" s="2526"/>
      <c r="F10" s="2527"/>
      <c r="G10" s="2519" t="str">
        <f>COVER!T17</f>
        <v>1706 N 16th St</v>
      </c>
      <c r="H10" s="2520"/>
      <c r="I10" s="2520"/>
      <c r="J10" s="2520"/>
      <c r="K10" s="2520"/>
      <c r="L10" s="2521"/>
    </row>
    <row r="11" spans="1:29" ht="13.5" customHeight="1" x14ac:dyDescent="0.2">
      <c r="A11" s="963" t="s">
        <v>1502</v>
      </c>
      <c r="B11" s="964"/>
      <c r="C11" s="965"/>
      <c r="D11" s="970"/>
      <c r="E11" s="965"/>
      <c r="F11" s="969"/>
      <c r="G11" s="2519" t="str">
        <f>COVER!T19</f>
        <v>Quincy</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dgkoch@dgkochcpa.com</v>
      </c>
      <c r="J13" s="2532"/>
      <c r="K13" s="2532"/>
      <c r="L13" s="2533"/>
    </row>
    <row r="14" spans="1:29" ht="13.5" customHeight="1" x14ac:dyDescent="0.2">
      <c r="A14" s="2519" t="str">
        <f>COVER!A19</f>
        <v>2461 North State Highway 96</v>
      </c>
      <c r="B14" s="2520"/>
      <c r="C14" s="2520"/>
      <c r="D14" s="2520"/>
      <c r="E14" s="2520"/>
      <c r="F14" s="2521"/>
      <c r="G14" s="974" t="s">
        <v>1175</v>
      </c>
      <c r="H14" s="972"/>
      <c r="I14" s="972"/>
      <c r="J14" s="972"/>
      <c r="K14" s="972"/>
      <c r="L14" s="973"/>
    </row>
    <row r="15" spans="1:29" ht="13.5" customHeight="1" x14ac:dyDescent="0.2">
      <c r="A15" s="2519" t="str">
        <f>COVER!A21</f>
        <v>Nauvoo</v>
      </c>
      <c r="B15" s="2520"/>
      <c r="C15" s="2520"/>
      <c r="D15" s="2520"/>
      <c r="E15" s="2520"/>
      <c r="F15" s="2521"/>
      <c r="G15" s="2516" t="str">
        <f>COVER!T15</f>
        <v>Dennis G Koch</v>
      </c>
      <c r="H15" s="2517"/>
      <c r="I15" s="2517"/>
      <c r="J15" s="2517"/>
      <c r="K15" s="2517"/>
      <c r="L15" s="2518"/>
    </row>
    <row r="16" spans="1:29" ht="12.2" customHeight="1" x14ac:dyDescent="0.2">
      <c r="A16" s="2542">
        <f>COVER!A25</f>
        <v>62354</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217-224-8484</v>
      </c>
      <c r="H18" s="2537"/>
      <c r="I18" s="2537"/>
      <c r="J18" s="2537"/>
      <c r="K18" s="2536" t="str">
        <f>COVER!X21</f>
        <v>217-224-0504</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Nauvoo-Colusa CUSD 325</v>
      </c>
      <c r="B1" s="2559"/>
      <c r="C1" s="2559"/>
      <c r="D1" s="2559"/>
    </row>
    <row r="2" spans="1:11" s="991" customFormat="1" ht="12.75" x14ac:dyDescent="0.2">
      <c r="A2" s="2560">
        <f>'Single Audit Cover'!E7</f>
        <v>26034325026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Nauvoo-Colusa CUSD 325</v>
      </c>
      <c r="B1" s="2563"/>
      <c r="C1" s="2563"/>
      <c r="D1" s="2563"/>
      <c r="E1" s="2563"/>
    </row>
    <row r="2" spans="1:5" x14ac:dyDescent="0.2">
      <c r="A2" s="2564">
        <f>'Single Audit Cover'!E7</f>
        <v>26034325026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187202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12050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-5407</v>
      </c>
    </row>
    <row r="19" spans="1:4" ht="13.5" thickBot="1" x14ac:dyDescent="0.25">
      <c r="A19" s="1041" t="s">
        <v>1224</v>
      </c>
      <c r="D19" s="1042">
        <f>SUM(D10:D17)</f>
        <v>193845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193845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193845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Nauvoo-Colusa CUSD 325</v>
      </c>
      <c r="C1" s="2567"/>
      <c r="D1" s="2567"/>
      <c r="E1" s="2567"/>
      <c r="F1" s="2567"/>
      <c r="G1" s="2567"/>
      <c r="H1" s="2567"/>
      <c r="I1" s="2567"/>
      <c r="J1" s="2567"/>
      <c r="K1" s="2567"/>
      <c r="L1" s="2567"/>
      <c r="M1" s="2567"/>
    </row>
    <row r="2" spans="2:14" ht="15" x14ac:dyDescent="0.2">
      <c r="B2" s="2568">
        <f>'Single Audit Cover'!E7</f>
        <v>26034325026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Nauvoo-Colusa CUSD 325</v>
      </c>
      <c r="B1" s="2580"/>
      <c r="C1" s="2580"/>
      <c r="D1" s="2580"/>
      <c r="E1" s="2580"/>
      <c r="F1" s="2580"/>
    </row>
    <row r="2" spans="1:7" ht="13.5" customHeight="1" x14ac:dyDescent="0.2">
      <c r="A2" s="2568">
        <f>'Single Audit Cover'!E7</f>
        <v>26034325026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95" colorId="8" zoomScaleNormal="100" workbookViewId="0">
      <selection activeCell="Q45" sqref="Q4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2078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Nauvoo-Colusa CUSD 325</v>
      </c>
      <c r="C1" s="2595"/>
      <c r="D1" s="2595"/>
      <c r="E1" s="2595"/>
      <c r="F1" s="2595"/>
      <c r="G1" s="2595"/>
      <c r="H1" s="2595"/>
      <c r="I1" s="2595"/>
      <c r="J1" s="1178"/>
    </row>
    <row r="2" spans="2:10" s="295" customFormat="1" ht="12.75" customHeight="1" x14ac:dyDescent="0.2">
      <c r="B2" s="2596">
        <f>'Single Audit Cover'!E7</f>
        <v>26034325026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Nauvoo-Colusa CUSD 325</v>
      </c>
      <c r="C1" s="2594"/>
      <c r="D1" s="2594"/>
      <c r="E1" s="2594"/>
      <c r="F1" s="2594"/>
      <c r="G1" s="2594"/>
      <c r="H1" s="2594"/>
      <c r="I1" s="2594"/>
      <c r="J1" s="2594"/>
      <c r="K1" s="2594"/>
      <c r="L1" s="1144"/>
      <c r="M1" s="1144"/>
    </row>
    <row r="2" spans="1:13" ht="12" customHeight="1" x14ac:dyDescent="0.2">
      <c r="B2" s="2596">
        <f>'Single Audit Cover'!E7</f>
        <v>26034325026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Nauvoo-Colusa CUSD 325</v>
      </c>
      <c r="C1" s="2617"/>
      <c r="D1" s="2617"/>
      <c r="E1" s="2617"/>
      <c r="F1" s="2617"/>
      <c r="G1" s="2617"/>
      <c r="H1" s="2617"/>
      <c r="I1" s="2617"/>
      <c r="J1" s="2617"/>
      <c r="K1" s="2617"/>
      <c r="L1" s="1221"/>
    </row>
    <row r="2" spans="1:12" ht="12.75" customHeight="1" x14ac:dyDescent="0.2">
      <c r="B2" s="2618">
        <f>'Single Audit Cover'!E7</f>
        <v>26034325026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Nauvoo-Colusa CUSD 325</v>
      </c>
      <c r="C1" s="2594"/>
      <c r="D1" s="2594"/>
      <c r="E1" s="1240"/>
    </row>
    <row r="2" spans="2:5" s="1058" customFormat="1" ht="12.75" customHeight="1" x14ac:dyDescent="0.2">
      <c r="B2" s="2596">
        <f>'Single Audit Cover'!E7</f>
        <v>26034325026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Q45" sqref="Q4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58268672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2.5499999999999998E-2</v>
      </c>
      <c r="E10" s="333" t="s">
        <v>998</v>
      </c>
      <c r="F10" s="332">
        <v>5.0000000000000001E-3</v>
      </c>
      <c r="G10" s="333" t="s">
        <v>998</v>
      </c>
      <c r="H10" s="332">
        <v>2E-3</v>
      </c>
      <c r="I10" s="333" t="s">
        <v>999</v>
      </c>
      <c r="J10" s="1424">
        <f>ROUND(D10+F10+H10,5)</f>
        <v>3.2500000000000001E-2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3844658</v>
      </c>
      <c r="E16" s="1547"/>
      <c r="F16" s="1546">
        <f>SUM('Acct Summary 7-8'!C17,'Acct Summary 7-8'!D17,'Acct Summary 7-8'!F17)</f>
        <v>3481604</v>
      </c>
      <c r="G16" s="1547"/>
      <c r="H16" s="1546">
        <f>SUM(D16-F16)</f>
        <v>363054</v>
      </c>
      <c r="I16" s="1548"/>
      <c r="J16" s="1546">
        <f>SUM('Acct Summary 7-8'!C81,'Acct Summary 7-8'!D81,'Acct Summary 7-8'!F81,'Acct Summary 7-8'!I81)</f>
        <v>2755684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4020538.3680000002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 5-6'!N36</f>
        <v>1310000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zoomScale="110" zoomScaleNormal="110" workbookViewId="0">
      <selection activeCell="Q45" sqref="Q4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Nauvoo-Colusa CUSD 325</v>
      </c>
      <c r="E7" s="368"/>
      <c r="G7" s="247"/>
      <c r="H7" s="364"/>
      <c r="I7" s="364"/>
      <c r="J7" s="364"/>
      <c r="K7" s="364"/>
      <c r="L7" s="307"/>
      <c r="M7" s="307"/>
      <c r="N7" s="307"/>
      <c r="O7" s="307"/>
      <c r="P7" s="307"/>
    </row>
    <row r="8" spans="1:18" ht="12.75" x14ac:dyDescent="0.2">
      <c r="A8" s="307"/>
      <c r="B8" s="307"/>
      <c r="C8" s="366" t="s">
        <v>1115</v>
      </c>
      <c r="D8" s="369">
        <f>COVER!A13</f>
        <v>26034325026</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2755684</v>
      </c>
      <c r="I12" s="380"/>
      <c r="J12" s="380"/>
      <c r="K12" s="1559">
        <f>TRUNC((H12/H13*100000),5)/100000</f>
        <v>0.71675660090000004</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3844658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3481604</v>
      </c>
      <c r="I17" s="380"/>
      <c r="J17" s="389"/>
      <c r="K17" s="1559">
        <f>TRUNC((H17/H18*100000),5)/100000</f>
        <v>0.90556923389999999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3844658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 5-6'!C4+'Assets 5-6'!D4+'Assets 5-6'!F4+'Assets 5-6'!I4+'Assets 5-6'!C5+'Assets 5-6'!D5+'Assets 5-6'!F5+'Assets 5-6'!I5)</f>
        <v>2755684</v>
      </c>
      <c r="I24" s="394"/>
      <c r="J24" s="394"/>
      <c r="K24" s="1555">
        <f>TRUNC(((H24/H25*100000)/100000),2)</f>
        <v>284.93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9671.1222199999993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1609672.064</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1310000</v>
      </c>
      <c r="I32" s="392"/>
      <c r="J32" s="392"/>
      <c r="K32" s="1555">
        <f>TRUNC(100-((((H32/H33*100))*100)/100),2)</f>
        <v>67.41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4020538.3680000002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18" activePane="bottomLeft" state="frozen"/>
      <selection activeCell="Q45" sqref="Q45"/>
      <selection pane="bottomLeft" activeCell="Q45" sqref="Q4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1556252</v>
      </c>
      <c r="D4" s="1573">
        <v>715434</v>
      </c>
      <c r="E4" s="1573"/>
      <c r="F4" s="1573">
        <v>483998</v>
      </c>
      <c r="G4" s="1573">
        <v>352194</v>
      </c>
      <c r="H4" s="1573">
        <v>187663</v>
      </c>
      <c r="I4" s="1573"/>
      <c r="J4" s="1574">
        <v>134516</v>
      </c>
      <c r="K4" s="1573">
        <v>35728</v>
      </c>
      <c r="L4" s="1573">
        <v>35506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1556252</v>
      </c>
      <c r="D13" s="1587">
        <f t="shared" ref="D13:L13" si="0">SUM(D4:D12)</f>
        <v>715434</v>
      </c>
      <c r="E13" s="1587">
        <f t="shared" si="0"/>
        <v>0</v>
      </c>
      <c r="F13" s="1587">
        <f t="shared" si="0"/>
        <v>483998</v>
      </c>
      <c r="G13" s="1587">
        <f t="shared" si="0"/>
        <v>352194</v>
      </c>
      <c r="H13" s="1587">
        <f t="shared" si="0"/>
        <v>187663</v>
      </c>
      <c r="I13" s="1587">
        <f t="shared" si="0"/>
        <v>0</v>
      </c>
      <c r="J13" s="1587">
        <f t="shared" si="0"/>
        <v>134516</v>
      </c>
      <c r="K13" s="1587">
        <f t="shared" si="0"/>
        <v>35728</v>
      </c>
      <c r="L13" s="1587">
        <f t="shared" si="0"/>
        <v>35506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29900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2315493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51238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466946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1310000</v>
      </c>
    </row>
    <row r="23" spans="1:14" ht="13.5" customHeight="1" thickBot="1" x14ac:dyDescent="0.25">
      <c r="A23" s="1426" t="s">
        <v>638</v>
      </c>
      <c r="B23" s="1429"/>
      <c r="C23" s="1575"/>
      <c r="D23" s="1575"/>
      <c r="E23" s="1575"/>
      <c r="F23" s="1575"/>
      <c r="G23" s="1575"/>
      <c r="H23" s="1575"/>
      <c r="I23" s="1575"/>
      <c r="J23" s="1575"/>
      <c r="K23" s="1575"/>
      <c r="L23" s="1575"/>
      <c r="M23" s="1594">
        <f>SUM(M15:M22)</f>
        <v>2863577</v>
      </c>
      <c r="N23" s="1594">
        <f>SUM(N21:N22)</f>
        <v>1310000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35506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35506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1310000</v>
      </c>
    </row>
    <row r="37" spans="1:14" ht="13.5" thickBot="1" x14ac:dyDescent="0.25">
      <c r="A37" s="1426" t="s">
        <v>648</v>
      </c>
      <c r="B37" s="1429"/>
      <c r="C37" s="1582"/>
      <c r="D37" s="1582"/>
      <c r="E37" s="1582"/>
      <c r="F37" s="1582"/>
      <c r="G37" s="1582"/>
      <c r="H37" s="1582"/>
      <c r="I37" s="1582"/>
      <c r="J37" s="1582"/>
      <c r="K37" s="1582"/>
      <c r="L37" s="1585"/>
      <c r="M37" s="1575"/>
      <c r="N37" s="1594">
        <f>SUM(N36:N36)</f>
        <v>1310000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1556252</v>
      </c>
      <c r="D39" s="1573">
        <v>715434</v>
      </c>
      <c r="E39" s="1573"/>
      <c r="F39" s="1573">
        <v>483998</v>
      </c>
      <c r="G39" s="1573">
        <v>352194</v>
      </c>
      <c r="H39" s="1573">
        <v>187663</v>
      </c>
      <c r="I39" s="1573"/>
      <c r="J39" s="1574">
        <v>134516</v>
      </c>
      <c r="K39" s="1573">
        <v>35728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2863577</v>
      </c>
      <c r="N40" s="1604"/>
    </row>
    <row r="41" spans="1:14" ht="13.5" customHeight="1" thickBot="1" x14ac:dyDescent="0.25">
      <c r="A41" s="1426" t="s">
        <v>650</v>
      </c>
      <c r="B41" s="1405"/>
      <c r="C41" s="1594">
        <f>(SUM(C34,C37,C38,C39))</f>
        <v>1556252</v>
      </c>
      <c r="D41" s="1594">
        <f t="shared" ref="D41:L41" si="2">SUM(D34,D37,D38:D39)</f>
        <v>715434</v>
      </c>
      <c r="E41" s="1594">
        <f t="shared" si="2"/>
        <v>0</v>
      </c>
      <c r="F41" s="1594">
        <f t="shared" si="2"/>
        <v>483998</v>
      </c>
      <c r="G41" s="1594">
        <f t="shared" si="2"/>
        <v>352194</v>
      </c>
      <c r="H41" s="1594">
        <f t="shared" si="2"/>
        <v>187663</v>
      </c>
      <c r="I41" s="1594">
        <f t="shared" si="2"/>
        <v>0</v>
      </c>
      <c r="J41" s="1594">
        <f t="shared" si="2"/>
        <v>134516</v>
      </c>
      <c r="K41" s="1594">
        <f t="shared" si="2"/>
        <v>35728</v>
      </c>
      <c r="L41" s="1594">
        <f t="shared" si="2"/>
        <v>35506</v>
      </c>
      <c r="M41" s="1594">
        <f>SUM(M40)</f>
        <v>2863577</v>
      </c>
      <c r="N41" s="1594">
        <f>SUM(N37)</f>
        <v>1310000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3" activePane="bottomLeft" state="frozen"/>
      <selection activeCell="Q45" sqref="Q45"/>
      <selection pane="bottomLeft" activeCell="Q45" sqref="Q4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2320080</v>
      </c>
      <c r="D4" s="1606">
        <f>'Revenues 9-14'!D109</f>
        <v>295696</v>
      </c>
      <c r="E4" s="1606">
        <f>'Revenues 9-14'!E109</f>
        <v>0</v>
      </c>
      <c r="F4" s="1606">
        <f>'Revenues 9-14'!F109</f>
        <v>137367</v>
      </c>
      <c r="G4" s="1606">
        <f>'Revenues 9-14'!G109</f>
        <v>87173</v>
      </c>
      <c r="H4" s="1606">
        <f>'Revenues 9-14'!H109</f>
        <v>2405</v>
      </c>
      <c r="I4" s="1606">
        <f>'Revenues 9-14'!I109</f>
        <v>29337</v>
      </c>
      <c r="J4" s="1606">
        <f>'Revenues 9-14'!J109</f>
        <v>197019</v>
      </c>
      <c r="K4" s="1606">
        <f>'Revenues 9-14'!K109</f>
        <v>29268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608154</v>
      </c>
      <c r="D6" s="1607">
        <f>'Revenues 9-14'!D170</f>
        <v>50000</v>
      </c>
      <c r="E6" s="1607">
        <f>'Revenues 9-14'!E170</f>
        <v>0</v>
      </c>
      <c r="F6" s="1607">
        <f>'Revenues 9-14'!F170</f>
        <v>216822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187202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3115436</v>
      </c>
      <c r="D8" s="1594">
        <f t="shared" ref="D8:K8" si="0">SUM(D4:D7)</f>
        <v>345696</v>
      </c>
      <c r="E8" s="1594">
        <f t="shared" si="0"/>
        <v>0</v>
      </c>
      <c r="F8" s="1594">
        <f t="shared" si="0"/>
        <v>354189</v>
      </c>
      <c r="G8" s="1594">
        <f t="shared" si="0"/>
        <v>87173</v>
      </c>
      <c r="H8" s="1594">
        <f t="shared" si="0"/>
        <v>2405</v>
      </c>
      <c r="I8" s="1594">
        <f t="shared" si="0"/>
        <v>29337</v>
      </c>
      <c r="J8" s="1594">
        <f t="shared" si="0"/>
        <v>197019</v>
      </c>
      <c r="K8" s="1594">
        <f t="shared" si="0"/>
        <v>29268</v>
      </c>
      <c r="L8" s="325"/>
    </row>
    <row r="9" spans="1:13" ht="15.75" thickTop="1" x14ac:dyDescent="0.2">
      <c r="A9" s="449" t="s">
        <v>1634</v>
      </c>
      <c r="B9" s="450">
        <v>3998</v>
      </c>
      <c r="C9" s="1586">
        <v>967296</v>
      </c>
      <c r="D9" s="1613"/>
      <c r="E9" s="1586"/>
      <c r="F9" s="1586"/>
      <c r="G9" s="1614"/>
      <c r="H9" s="1586"/>
      <c r="I9" s="1609" t="s">
        <v>1159</v>
      </c>
      <c r="J9" s="1583"/>
      <c r="K9" s="1586"/>
      <c r="L9" s="325"/>
    </row>
    <row r="10" spans="1:13" s="452" customFormat="1" ht="13.5" thickBot="1" x14ac:dyDescent="0.25">
      <c r="A10" s="1426" t="s">
        <v>1163</v>
      </c>
      <c r="B10" s="1407"/>
      <c r="C10" s="1594">
        <f>SUM(C8:C9)</f>
        <v>4082732</v>
      </c>
      <c r="D10" s="1594">
        <f t="shared" ref="D10:K10" si="1">SUM(D8:D9)</f>
        <v>345696</v>
      </c>
      <c r="E10" s="1594">
        <f t="shared" si="1"/>
        <v>0</v>
      </c>
      <c r="F10" s="1594">
        <f t="shared" si="1"/>
        <v>354189</v>
      </c>
      <c r="G10" s="1594">
        <f t="shared" si="1"/>
        <v>87173</v>
      </c>
      <c r="H10" s="1594">
        <f t="shared" si="1"/>
        <v>2405</v>
      </c>
      <c r="I10" s="1594">
        <f t="shared" si="1"/>
        <v>29337</v>
      </c>
      <c r="J10" s="1594">
        <f t="shared" si="1"/>
        <v>197019</v>
      </c>
      <c r="K10" s="1594">
        <f t="shared" si="1"/>
        <v>29268</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1263491</v>
      </c>
      <c r="D12" s="1616" t="s">
        <v>1159</v>
      </c>
      <c r="E12" s="1575" t="s">
        <v>1159</v>
      </c>
      <c r="F12" s="1575" t="s">
        <v>1159</v>
      </c>
      <c r="G12" s="1606">
        <f>'Expenditures 15-22'!K229</f>
        <v>26191</v>
      </c>
      <c r="H12" s="1617"/>
      <c r="I12" s="1575" t="s">
        <v>1159</v>
      </c>
      <c r="J12" s="1575" t="s">
        <v>1159</v>
      </c>
      <c r="K12" s="1617" t="s">
        <v>1159</v>
      </c>
      <c r="L12" s="325"/>
    </row>
    <row r="13" spans="1:13" ht="15.75" customHeight="1" x14ac:dyDescent="0.2">
      <c r="A13" s="1314" t="s">
        <v>454</v>
      </c>
      <c r="B13" s="1316">
        <v>2000</v>
      </c>
      <c r="C13" s="1607">
        <f>'Expenditures 15-22'!K74</f>
        <v>853648</v>
      </c>
      <c r="D13" s="1607">
        <f>'Expenditures 15-22'!K129</f>
        <v>563447</v>
      </c>
      <c r="E13" s="1576" t="s">
        <v>1159</v>
      </c>
      <c r="F13" s="1607">
        <f>'Expenditures 15-22'!K184</f>
        <v>193643</v>
      </c>
      <c r="G13" s="1607">
        <f>'Expenditures 15-22'!K279</f>
        <v>42014</v>
      </c>
      <c r="H13" s="1607">
        <f>'Expenditures 15-22'!K303</f>
        <v>1108430</v>
      </c>
      <c r="I13" s="1575" t="s">
        <v>1159</v>
      </c>
      <c r="J13" s="1607">
        <f>'Expenditures 15-22'!K330</f>
        <v>198906</v>
      </c>
      <c r="K13" s="1618">
        <f>'Expenditures 15-22'!K352</f>
        <v>814</v>
      </c>
      <c r="L13" s="325"/>
    </row>
    <row r="14" spans="1:13" ht="15.75" customHeight="1" x14ac:dyDescent="0.2">
      <c r="A14" s="1314" t="s">
        <v>446</v>
      </c>
      <c r="B14" s="1316">
        <v>3000</v>
      </c>
      <c r="C14" s="1607">
        <f>'Expenditures 15-22'!K75</f>
        <v>3598</v>
      </c>
      <c r="D14" s="1607">
        <f>'Expenditures 15-22'!K130</f>
        <v>0</v>
      </c>
      <c r="E14" s="1616" t="s">
        <v>1159</v>
      </c>
      <c r="F14" s="1607">
        <f>'Expenditures 15-22'!K185</f>
        <v>0</v>
      </c>
      <c r="G14" s="1607">
        <f>'Expenditures 15-22'!K280</f>
        <v>39</v>
      </c>
      <c r="H14" s="1612"/>
      <c r="I14" s="1575" t="s">
        <v>1159</v>
      </c>
      <c r="J14" s="1575" t="s">
        <v>1159</v>
      </c>
      <c r="K14" s="1612" t="s">
        <v>1159</v>
      </c>
      <c r="L14" s="325"/>
    </row>
    <row r="15" spans="1:13" ht="15.75" customHeight="1" x14ac:dyDescent="0.2">
      <c r="A15" s="1314" t="s">
        <v>107</v>
      </c>
      <c r="B15" s="1316">
        <v>4000</v>
      </c>
      <c r="C15" s="1607">
        <f>'Expenditures 15-22'!K102</f>
        <v>522794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45896</v>
      </c>
      <c r="F16" s="1607">
        <f>'Expenditures 15-22'!K208</f>
        <v>80983</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2643531</v>
      </c>
      <c r="D17" s="1594">
        <f t="shared" si="2"/>
        <v>563447</v>
      </c>
      <c r="E17" s="1594">
        <f t="shared" si="2"/>
        <v>45896</v>
      </c>
      <c r="F17" s="1594">
        <f t="shared" si="2"/>
        <v>274626</v>
      </c>
      <c r="G17" s="1594">
        <f t="shared" si="2"/>
        <v>68244</v>
      </c>
      <c r="H17" s="1594">
        <f t="shared" si="2"/>
        <v>1108430</v>
      </c>
      <c r="I17" s="1575"/>
      <c r="J17" s="1594">
        <f>SUM(J12:J16)</f>
        <v>198906</v>
      </c>
      <c r="K17" s="1594">
        <f>SUM(K12:K16)</f>
        <v>814</v>
      </c>
      <c r="L17" s="325"/>
    </row>
    <row r="18" spans="1:12" ht="15" customHeight="1" thickTop="1" x14ac:dyDescent="0.2">
      <c r="A18" s="1430" t="s">
        <v>1635</v>
      </c>
      <c r="B18" s="1431">
        <v>4180</v>
      </c>
      <c r="C18" s="1606">
        <f t="shared" ref="C18:H18" si="3">C9</f>
        <v>967296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3610827</v>
      </c>
      <c r="D19" s="1594">
        <f t="shared" si="4"/>
        <v>563447</v>
      </c>
      <c r="E19" s="1594">
        <f t="shared" si="4"/>
        <v>45896</v>
      </c>
      <c r="F19" s="1594">
        <f t="shared" si="4"/>
        <v>274626</v>
      </c>
      <c r="G19" s="1594">
        <f t="shared" si="4"/>
        <v>68244</v>
      </c>
      <c r="H19" s="1594">
        <f t="shared" si="4"/>
        <v>1108430</v>
      </c>
      <c r="I19" s="1575"/>
      <c r="J19" s="1594">
        <f>SUM(J17:J18)</f>
        <v>198906</v>
      </c>
      <c r="K19" s="1594">
        <f>SUM(K17:K18)</f>
        <v>814</v>
      </c>
      <c r="L19" s="325"/>
    </row>
    <row r="20" spans="1:12" ht="16.5" thickTop="1" thickBot="1" x14ac:dyDescent="0.25">
      <c r="A20" s="2232" t="s">
        <v>1636</v>
      </c>
      <c r="B20" s="2233"/>
      <c r="C20" s="1622">
        <f>C8-C17</f>
        <v>471905</v>
      </c>
      <c r="D20" s="1622">
        <f t="shared" ref="D20:K20" si="5">D8-D17</f>
        <v>-217751</v>
      </c>
      <c r="E20" s="1622">
        <f t="shared" si="5"/>
        <v>-45896</v>
      </c>
      <c r="F20" s="1622">
        <f t="shared" si="5"/>
        <v>79563</v>
      </c>
      <c r="G20" s="1622">
        <f t="shared" si="5"/>
        <v>18929</v>
      </c>
      <c r="H20" s="1622">
        <f t="shared" si="5"/>
        <v>-1106025</v>
      </c>
      <c r="I20" s="1622">
        <f t="shared" si="5"/>
        <v>29337</v>
      </c>
      <c r="J20" s="1622">
        <f t="shared" si="5"/>
        <v>-1887</v>
      </c>
      <c r="K20" s="1622">
        <f t="shared" si="5"/>
        <v>28454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1310000</v>
      </c>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45896</v>
      </c>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45896</v>
      </c>
      <c r="F44" s="1624">
        <f t="shared" si="6"/>
        <v>0</v>
      </c>
      <c r="G44" s="1624">
        <f t="shared" si="6"/>
        <v>0</v>
      </c>
      <c r="H44" s="1624">
        <f t="shared" si="6"/>
        <v>1310000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16312</v>
      </c>
      <c r="I75" s="1626">
        <v>29584</v>
      </c>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16312</v>
      </c>
      <c r="I76" s="1624">
        <f t="shared" si="7"/>
        <v>29584</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45896</v>
      </c>
      <c r="F77" s="1624">
        <f t="shared" si="8"/>
        <v>0</v>
      </c>
      <c r="G77" s="1624">
        <f t="shared" si="8"/>
        <v>0</v>
      </c>
      <c r="H77" s="1624">
        <f t="shared" si="8"/>
        <v>1293688</v>
      </c>
      <c r="I77" s="1624">
        <f t="shared" si="8"/>
        <v>-29584</v>
      </c>
      <c r="J77" s="1624">
        <f t="shared" si="8"/>
        <v>0</v>
      </c>
      <c r="K77" s="1624">
        <f t="shared" si="8"/>
        <v>0</v>
      </c>
      <c r="L77" s="325"/>
    </row>
    <row r="78" spans="1:12" ht="21.75" customHeight="1" thickTop="1" thickBot="1" x14ac:dyDescent="0.25">
      <c r="A78" s="2228" t="s">
        <v>593</v>
      </c>
      <c r="B78" s="2229"/>
      <c r="C78" s="1629">
        <f t="shared" ref="C78:K78" si="9">C20+C77</f>
        <v>471905</v>
      </c>
      <c r="D78" s="1629">
        <f t="shared" si="9"/>
        <v>-217751</v>
      </c>
      <c r="E78" s="1629">
        <f t="shared" si="9"/>
        <v>0</v>
      </c>
      <c r="F78" s="1629">
        <f t="shared" si="9"/>
        <v>79563</v>
      </c>
      <c r="G78" s="1629">
        <f t="shared" si="9"/>
        <v>18929</v>
      </c>
      <c r="H78" s="1629">
        <f t="shared" si="9"/>
        <v>187663</v>
      </c>
      <c r="I78" s="1629">
        <f t="shared" si="9"/>
        <v>-247</v>
      </c>
      <c r="J78" s="1629">
        <f t="shared" si="9"/>
        <v>-1887</v>
      </c>
      <c r="K78" s="1629">
        <f t="shared" si="9"/>
        <v>28454</v>
      </c>
      <c r="L78" s="457"/>
    </row>
    <row r="79" spans="1:12" ht="13.5" thickTop="1" x14ac:dyDescent="0.2">
      <c r="A79" s="1844" t="str">
        <f>"Fund Balances - July 1, "&amp;'AFR20'!E2-1</f>
        <v>Fund Balances - July 1, 2019</v>
      </c>
      <c r="B79" s="458"/>
      <c r="C79" s="1583">
        <v>1084347</v>
      </c>
      <c r="D79" s="1630">
        <v>933185</v>
      </c>
      <c r="E79" s="1630"/>
      <c r="F79" s="1630">
        <v>404435</v>
      </c>
      <c r="G79" s="1630">
        <v>333265</v>
      </c>
      <c r="H79" s="1630"/>
      <c r="I79" s="1630">
        <v>247</v>
      </c>
      <c r="J79" s="1630">
        <v>136403</v>
      </c>
      <c r="K79" s="1630">
        <v>7274</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1556252</v>
      </c>
      <c r="D81" s="1594">
        <f>SUM(D78:D80)</f>
        <v>715434</v>
      </c>
      <c r="E81" s="1594">
        <f t="shared" ref="E81:K81" si="10">SUM(E78:E80)</f>
        <v>0</v>
      </c>
      <c r="F81" s="1594">
        <f t="shared" si="10"/>
        <v>483998</v>
      </c>
      <c r="G81" s="1594">
        <f t="shared" si="10"/>
        <v>352194</v>
      </c>
      <c r="H81" s="1594">
        <f t="shared" si="10"/>
        <v>187663</v>
      </c>
      <c r="I81" s="1594">
        <f t="shared" si="10"/>
        <v>0</v>
      </c>
      <c r="J81" s="1594">
        <f t="shared" si="10"/>
        <v>134516</v>
      </c>
      <c r="K81" s="1594">
        <f t="shared" si="10"/>
        <v>35728</v>
      </c>
      <c r="L81" s="325"/>
    </row>
    <row r="82" spans="1:12" ht="0.75" customHeight="1" thickTop="1" thickBot="1" x14ac:dyDescent="0.25">
      <c r="A82" s="459" t="s">
        <v>340</v>
      </c>
      <c r="B82" s="460"/>
      <c r="C82" s="461">
        <f>(C81-C79)</f>
        <v>471905</v>
      </c>
      <c r="D82" s="461">
        <f t="shared" ref="D82:K82" si="11">(D81-D79)</f>
        <v>-217751</v>
      </c>
      <c r="E82" s="461">
        <f t="shared" si="11"/>
        <v>0</v>
      </c>
      <c r="F82" s="461">
        <f t="shared" si="11"/>
        <v>79563</v>
      </c>
      <c r="G82" s="461">
        <f t="shared" si="11"/>
        <v>18929</v>
      </c>
      <c r="H82" s="461">
        <f t="shared" si="11"/>
        <v>187663</v>
      </c>
      <c r="I82" s="461">
        <f t="shared" si="11"/>
        <v>-247</v>
      </c>
      <c r="J82" s="461">
        <f t="shared" si="11"/>
        <v>-1887</v>
      </c>
      <c r="K82" s="461">
        <f t="shared" si="11"/>
        <v>28454</v>
      </c>
    </row>
    <row r="83" spans="1:12" ht="14.25" hidden="1" thickTop="1" thickBot="1" x14ac:dyDescent="0.25">
      <c r="A83" s="462" t="s">
        <v>341</v>
      </c>
      <c r="B83" s="428"/>
      <c r="C83" s="463">
        <f>C82/C81</f>
        <v>0.3032317388186489</v>
      </c>
      <c r="D83" s="463">
        <f t="shared" ref="D83:K83" si="12">D82/D81</f>
        <v>-0.30436210747602155</v>
      </c>
      <c r="E83" s="463" t="e">
        <f t="shared" si="12"/>
        <v>#DIV/0!</v>
      </c>
      <c r="F83" s="463">
        <f t="shared" si="12"/>
        <v>0.16438704292166498</v>
      </c>
      <c r="G83" s="463">
        <f t="shared" si="12"/>
        <v>5.3745946836118733E-2</v>
      </c>
      <c r="H83" s="463">
        <f t="shared" si="12"/>
        <v>1</v>
      </c>
      <c r="I83" s="463" t="e">
        <f t="shared" si="12"/>
        <v>#DIV/0!</v>
      </c>
      <c r="J83" s="463">
        <f t="shared" si="12"/>
        <v>-1.4028071010140059E-2</v>
      </c>
      <c r="K83" s="463">
        <f t="shared" si="12"/>
        <v>0.79640618002686969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Q45" sqref="Q4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1473808</v>
      </c>
      <c r="D5" s="1586">
        <v>288980</v>
      </c>
      <c r="E5" s="1573"/>
      <c r="F5" s="1631">
        <v>115592</v>
      </c>
      <c r="G5" s="1573">
        <v>24955</v>
      </c>
      <c r="H5" s="1573"/>
      <c r="I5" s="1573">
        <v>28898</v>
      </c>
      <c r="J5" s="1574">
        <v>193150</v>
      </c>
      <c r="K5" s="1573">
        <v>28898</v>
      </c>
    </row>
    <row r="6" spans="1:12" ht="15" x14ac:dyDescent="0.2">
      <c r="A6" s="427" t="s">
        <v>1643</v>
      </c>
      <c r="B6" s="429">
        <v>1130</v>
      </c>
      <c r="C6" s="1573">
        <v>28898</v>
      </c>
      <c r="D6" s="1573"/>
      <c r="E6" s="1580"/>
      <c r="F6" s="1580"/>
      <c r="G6" s="1575"/>
      <c r="H6" s="1575"/>
      <c r="I6" s="1575"/>
      <c r="J6" s="1575"/>
      <c r="K6" s="1575"/>
    </row>
    <row r="7" spans="1:12" x14ac:dyDescent="0.2">
      <c r="A7" s="427" t="s">
        <v>110</v>
      </c>
      <c r="B7" s="471">
        <v>1140</v>
      </c>
      <c r="C7" s="1573">
        <v>23117</v>
      </c>
      <c r="D7" s="1573"/>
      <c r="E7" s="1575"/>
      <c r="F7" s="1574"/>
      <c r="G7" s="1574"/>
      <c r="H7" s="1574"/>
      <c r="I7" s="1575"/>
      <c r="J7" s="1575"/>
      <c r="K7" s="1575"/>
    </row>
    <row r="8" spans="1:12" x14ac:dyDescent="0.2">
      <c r="A8" s="427" t="s">
        <v>410</v>
      </c>
      <c r="B8" s="429">
        <v>1150</v>
      </c>
      <c r="C8" s="1580"/>
      <c r="D8" s="1580"/>
      <c r="E8" s="1582"/>
      <c r="F8" s="1582"/>
      <c r="G8" s="1586">
        <v>59893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1525823</v>
      </c>
      <c r="D12" s="1633">
        <f t="shared" si="0"/>
        <v>288980</v>
      </c>
      <c r="E12" s="1633">
        <f t="shared" si="0"/>
        <v>0</v>
      </c>
      <c r="F12" s="1633">
        <f t="shared" si="0"/>
        <v>115592</v>
      </c>
      <c r="G12" s="1633">
        <f t="shared" si="0"/>
        <v>84848</v>
      </c>
      <c r="H12" s="1633">
        <f t="shared" si="0"/>
        <v>0</v>
      </c>
      <c r="I12" s="1633">
        <f t="shared" si="0"/>
        <v>28898</v>
      </c>
      <c r="J12" s="1633">
        <f t="shared" si="0"/>
        <v>193150</v>
      </c>
      <c r="K12" s="1594">
        <f t="shared" si="0"/>
        <v>28898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749</v>
      </c>
      <c r="D14" s="1573">
        <v>142</v>
      </c>
      <c r="E14" s="1573"/>
      <c r="F14" s="1573">
        <v>57</v>
      </c>
      <c r="G14" s="1573">
        <v>42</v>
      </c>
      <c r="H14" s="1573"/>
      <c r="I14" s="1573">
        <v>14</v>
      </c>
      <c r="J14" s="1574">
        <v>95</v>
      </c>
      <c r="K14" s="1573">
        <v>14</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97535</v>
      </c>
      <c r="D16" s="1573"/>
      <c r="E16" s="1573"/>
      <c r="F16" s="1573"/>
      <c r="G16" s="1573"/>
      <c r="H16" s="1573"/>
      <c r="I16" s="1573"/>
      <c r="J16" s="1574"/>
      <c r="K16" s="1573"/>
    </row>
    <row r="17" spans="1:11" ht="12.75" customHeight="1" x14ac:dyDescent="0.2">
      <c r="A17" s="427" t="s">
        <v>802</v>
      </c>
      <c r="B17" s="429">
        <v>1290</v>
      </c>
      <c r="C17" s="1632">
        <v>223671</v>
      </c>
      <c r="D17" s="1573">
        <v>4593</v>
      </c>
      <c r="E17" s="1573"/>
      <c r="F17" s="1573">
        <v>1766</v>
      </c>
      <c r="G17" s="1573">
        <v>1413</v>
      </c>
      <c r="H17" s="1573"/>
      <c r="I17" s="1573">
        <v>353</v>
      </c>
      <c r="J17" s="1574">
        <v>3180</v>
      </c>
      <c r="K17" s="1573">
        <v>353</v>
      </c>
    </row>
    <row r="18" spans="1:11" ht="12.75" customHeight="1" thickBot="1" x14ac:dyDescent="0.25">
      <c r="A18" s="1406" t="s">
        <v>534</v>
      </c>
      <c r="B18" s="1407"/>
      <c r="C18" s="1635">
        <f>SUM(C14:C17)</f>
        <v>321955</v>
      </c>
      <c r="D18" s="1635">
        <f t="shared" ref="D18:K18" si="1">SUM(D14:D17)</f>
        <v>4735</v>
      </c>
      <c r="E18" s="1635">
        <f t="shared" si="1"/>
        <v>0</v>
      </c>
      <c r="F18" s="1635">
        <f t="shared" si="1"/>
        <v>1823</v>
      </c>
      <c r="G18" s="1635">
        <f t="shared" si="1"/>
        <v>1455</v>
      </c>
      <c r="H18" s="1635">
        <f t="shared" si="1"/>
        <v>0</v>
      </c>
      <c r="I18" s="1635">
        <f t="shared" si="1"/>
        <v>367</v>
      </c>
      <c r="J18" s="1635">
        <f t="shared" si="1"/>
        <v>3275</v>
      </c>
      <c r="K18" s="1636">
        <f t="shared" si="1"/>
        <v>367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375265</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375265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4739</v>
      </c>
      <c r="D65" s="1573">
        <v>1981</v>
      </c>
      <c r="E65" s="1573"/>
      <c r="F65" s="1574">
        <v>1035</v>
      </c>
      <c r="G65" s="1573">
        <v>870</v>
      </c>
      <c r="H65" s="1573">
        <v>2405</v>
      </c>
      <c r="I65" s="1573">
        <v>72</v>
      </c>
      <c r="J65" s="1574">
        <v>594</v>
      </c>
      <c r="K65" s="1573">
        <v>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4739</v>
      </c>
      <c r="D67" s="1594">
        <f t="shared" ref="D67:K67" si="2">SUM(D65:D66)</f>
        <v>1981</v>
      </c>
      <c r="E67" s="1594">
        <f t="shared" si="2"/>
        <v>0</v>
      </c>
      <c r="F67" s="1594">
        <f t="shared" si="2"/>
        <v>1035</v>
      </c>
      <c r="G67" s="1594">
        <f t="shared" si="2"/>
        <v>870</v>
      </c>
      <c r="H67" s="1594">
        <f t="shared" si="2"/>
        <v>2405</v>
      </c>
      <c r="I67" s="1594">
        <f t="shared" si="2"/>
        <v>72</v>
      </c>
      <c r="J67" s="1594">
        <f t="shared" si="2"/>
        <v>594</v>
      </c>
      <c r="K67" s="1594">
        <f t="shared" si="2"/>
        <v>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29072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3263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32335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9570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12127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21697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25590</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12676</v>
      </c>
      <c r="D106" s="1598"/>
      <c r="E106" s="1574"/>
      <c r="F106" s="1574">
        <v>18917</v>
      </c>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38266</v>
      </c>
      <c r="D108" s="1633">
        <f t="shared" ref="D108:K108" si="3">SUM(D95:D107)</f>
        <v>0</v>
      </c>
      <c r="E108" s="1633">
        <f t="shared" si="3"/>
        <v>0</v>
      </c>
      <c r="F108" s="1633">
        <f t="shared" si="3"/>
        <v>18917</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2320080</v>
      </c>
      <c r="D109" s="1641">
        <f t="shared" si="4"/>
        <v>295696</v>
      </c>
      <c r="E109" s="1641">
        <f t="shared" si="4"/>
        <v>0</v>
      </c>
      <c r="F109" s="1641">
        <f t="shared" si="4"/>
        <v>137367</v>
      </c>
      <c r="G109" s="1641">
        <f t="shared" si="4"/>
        <v>87173</v>
      </c>
      <c r="H109" s="1641">
        <f t="shared" si="4"/>
        <v>2405</v>
      </c>
      <c r="I109" s="1641">
        <f t="shared" si="4"/>
        <v>29337</v>
      </c>
      <c r="J109" s="1641">
        <f t="shared" si="4"/>
        <v>197019</v>
      </c>
      <c r="K109" s="1629">
        <f t="shared" si="4"/>
        <v>29268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316171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316171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v>1250</v>
      </c>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1250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858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152720</v>
      </c>
      <c r="G152" s="1574"/>
      <c r="H152" s="1575"/>
      <c r="I152" s="1575"/>
      <c r="J152" s="1575"/>
      <c r="K152" s="1575"/>
    </row>
    <row r="153" spans="1:11" ht="12.75" customHeight="1" x14ac:dyDescent="0.2">
      <c r="A153" s="427" t="s">
        <v>1048</v>
      </c>
      <c r="B153" s="478">
        <v>3510</v>
      </c>
      <c r="C153" s="1632"/>
      <c r="D153" s="1573"/>
      <c r="E153" s="1640"/>
      <c r="F153" s="1573">
        <v>64102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216822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289875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291983</v>
      </c>
      <c r="D169" s="1658">
        <f t="shared" si="6"/>
        <v>50000</v>
      </c>
      <c r="E169" s="1658">
        <f t="shared" si="6"/>
        <v>0</v>
      </c>
      <c r="F169" s="1658">
        <f t="shared" si="6"/>
        <v>216822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608154</v>
      </c>
      <c r="D170" s="1641">
        <f t="shared" si="7"/>
        <v>50000</v>
      </c>
      <c r="E170" s="1641">
        <f t="shared" si="7"/>
        <v>0</v>
      </c>
      <c r="F170" s="1641">
        <f t="shared" si="7"/>
        <v>216822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85749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10724</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96473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66809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66809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v>17318</v>
      </c>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1195</v>
      </c>
      <c r="D263" s="1651"/>
      <c r="E263" s="1575"/>
      <c r="F263" s="1651"/>
      <c r="G263" s="1651"/>
      <c r="H263" s="1575"/>
      <c r="I263" s="1575"/>
      <c r="J263" s="1575"/>
      <c r="K263" s="1575"/>
    </row>
    <row r="264" spans="1:11" ht="12.75" customHeight="1" thickTop="1" thickBot="1" x14ac:dyDescent="0.25">
      <c r="A264" s="427" t="s">
        <v>374</v>
      </c>
      <c r="B264" s="429">
        <v>4992</v>
      </c>
      <c r="C264" s="1650">
        <v>5407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187202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187202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3115436</v>
      </c>
      <c r="D268" s="1641">
        <f t="shared" si="12"/>
        <v>345696</v>
      </c>
      <c r="E268" s="1641">
        <f t="shared" si="12"/>
        <v>0</v>
      </c>
      <c r="F268" s="1641">
        <f t="shared" si="12"/>
        <v>354189</v>
      </c>
      <c r="G268" s="1641">
        <f t="shared" si="12"/>
        <v>87173</v>
      </c>
      <c r="H268" s="1641">
        <f t="shared" si="12"/>
        <v>2405</v>
      </c>
      <c r="I268" s="1641">
        <f t="shared" si="12"/>
        <v>29337</v>
      </c>
      <c r="J268" s="1641">
        <f t="shared" si="12"/>
        <v>197019</v>
      </c>
      <c r="K268" s="1629">
        <f t="shared" si="12"/>
        <v>29268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110" zoomScaleNormal="110" workbookViewId="0">
      <pane ySplit="2" topLeftCell="A145" activePane="bottomLeft" state="frozen"/>
      <selection activeCell="Q45" sqref="Q45"/>
      <selection pane="bottomLeft" activeCell="Q45" sqref="Q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641409</v>
      </c>
      <c r="D5" s="1573">
        <v>126800</v>
      </c>
      <c r="E5" s="1573">
        <v>76134</v>
      </c>
      <c r="F5" s="1573">
        <v>58749</v>
      </c>
      <c r="G5" s="1573"/>
      <c r="H5" s="1573">
        <v>1297</v>
      </c>
      <c r="I5" s="1574"/>
      <c r="J5" s="1574"/>
      <c r="K5" s="1672">
        <f>SUM(C5:J5)</f>
        <v>904389</v>
      </c>
      <c r="L5" s="1573">
        <v>1158170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64094</v>
      </c>
      <c r="D7" s="1574">
        <v>9755</v>
      </c>
      <c r="E7" s="1574">
        <v>28546</v>
      </c>
      <c r="F7" s="1574">
        <v>21034</v>
      </c>
      <c r="G7" s="1574"/>
      <c r="H7" s="1574"/>
      <c r="I7" s="1574"/>
      <c r="J7" s="1574"/>
      <c r="K7" s="1672">
        <f t="shared" ref="K7:K32" si="0">SUM(C7:J7)</f>
        <v>123429</v>
      </c>
      <c r="L7" s="1573">
        <v>155085</v>
      </c>
    </row>
    <row r="8" spans="1:14" x14ac:dyDescent="0.2">
      <c r="A8" s="1274" t="s">
        <v>163</v>
      </c>
      <c r="B8" s="503">
        <v>1200</v>
      </c>
      <c r="C8" s="1573">
        <v>108214</v>
      </c>
      <c r="D8" s="1573">
        <v>10722</v>
      </c>
      <c r="E8" s="1573">
        <v>17458</v>
      </c>
      <c r="F8" s="1573"/>
      <c r="G8" s="1573"/>
      <c r="H8" s="1573"/>
      <c r="I8" s="1574"/>
      <c r="J8" s="1574"/>
      <c r="K8" s="1672">
        <f t="shared" si="0"/>
        <v>136394</v>
      </c>
      <c r="L8" s="1573">
        <v>135594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43656</v>
      </c>
      <c r="D10" s="1573">
        <v>13398</v>
      </c>
      <c r="E10" s="1573">
        <v>5467</v>
      </c>
      <c r="F10" s="1573">
        <v>172</v>
      </c>
      <c r="G10" s="1573"/>
      <c r="H10" s="1573"/>
      <c r="I10" s="1574"/>
      <c r="J10" s="1574"/>
      <c r="K10" s="1672">
        <f t="shared" si="0"/>
        <v>62693</v>
      </c>
      <c r="L10" s="1573">
        <v>59889</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24378</v>
      </c>
      <c r="D14" s="1573">
        <v>437</v>
      </c>
      <c r="E14" s="1573">
        <v>8226</v>
      </c>
      <c r="F14" s="1573">
        <v>2820</v>
      </c>
      <c r="G14" s="1573"/>
      <c r="H14" s="1573">
        <v>725</v>
      </c>
      <c r="I14" s="1574"/>
      <c r="J14" s="1574"/>
      <c r="K14" s="1672">
        <f t="shared" si="0"/>
        <v>36586</v>
      </c>
      <c r="L14" s="1573">
        <v>41261</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881751</v>
      </c>
      <c r="D33" s="1674">
        <f t="shared" ref="D33:L33" si="1">SUM(D5:D32)</f>
        <v>161112</v>
      </c>
      <c r="E33" s="1674">
        <f t="shared" si="1"/>
        <v>135831</v>
      </c>
      <c r="F33" s="1674">
        <f t="shared" si="1"/>
        <v>82775</v>
      </c>
      <c r="G33" s="1674">
        <f t="shared" si="1"/>
        <v>0</v>
      </c>
      <c r="H33" s="1674">
        <f t="shared" si="1"/>
        <v>2022</v>
      </c>
      <c r="I33" s="1674">
        <f t="shared" si="1"/>
        <v>0</v>
      </c>
      <c r="J33" s="1674">
        <f t="shared" si="1"/>
        <v>0</v>
      </c>
      <c r="K33" s="1674">
        <f t="shared" si="1"/>
        <v>1263491</v>
      </c>
      <c r="L33" s="1674">
        <f t="shared" si="1"/>
        <v>1549999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47852</v>
      </c>
      <c r="D36" s="1586"/>
      <c r="E36" s="1586"/>
      <c r="F36" s="1586"/>
      <c r="G36" s="1586"/>
      <c r="H36" s="1586"/>
      <c r="I36" s="1574"/>
      <c r="J36" s="1574"/>
      <c r="K36" s="1672">
        <f t="shared" ref="K36:K41" si="2">SUM(C36:J36)</f>
        <v>47852</v>
      </c>
      <c r="L36" s="1573">
        <v>22604</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v>11400</v>
      </c>
      <c r="F39" s="1573"/>
      <c r="G39" s="1573"/>
      <c r="H39" s="1573"/>
      <c r="I39" s="1574"/>
      <c r="J39" s="1574"/>
      <c r="K39" s="1672">
        <f t="shared" si="2"/>
        <v>11400</v>
      </c>
      <c r="L39" s="1573">
        <v>22750</v>
      </c>
    </row>
    <row r="40" spans="1:14" x14ac:dyDescent="0.2">
      <c r="A40" s="1274" t="s">
        <v>198</v>
      </c>
      <c r="B40" s="503">
        <v>2150</v>
      </c>
      <c r="C40" s="1573">
        <v>75892</v>
      </c>
      <c r="D40" s="1573">
        <v>9607</v>
      </c>
      <c r="E40" s="1573"/>
      <c r="F40" s="1573">
        <v>99</v>
      </c>
      <c r="G40" s="1573"/>
      <c r="H40" s="1573"/>
      <c r="I40" s="1574"/>
      <c r="J40" s="1574"/>
      <c r="K40" s="1672">
        <f t="shared" si="2"/>
        <v>85598</v>
      </c>
      <c r="L40" s="1573">
        <v>65249</v>
      </c>
    </row>
    <row r="41" spans="1:14" x14ac:dyDescent="0.2">
      <c r="A41" s="1274" t="s">
        <v>1650</v>
      </c>
      <c r="B41" s="503">
        <v>2190</v>
      </c>
      <c r="C41" s="1573">
        <v>105692</v>
      </c>
      <c r="D41" s="1573">
        <v>1355</v>
      </c>
      <c r="E41" s="1573"/>
      <c r="F41" s="1573"/>
      <c r="G41" s="1573"/>
      <c r="H41" s="1573"/>
      <c r="I41" s="1574"/>
      <c r="J41" s="1574"/>
      <c r="K41" s="1672">
        <f t="shared" si="2"/>
        <v>107047</v>
      </c>
      <c r="L41" s="1573">
        <v>160755</v>
      </c>
    </row>
    <row r="42" spans="1:14" ht="12.75" customHeight="1" thickBot="1" x14ac:dyDescent="0.25">
      <c r="A42" s="1380" t="s">
        <v>556</v>
      </c>
      <c r="B42" s="1381" t="s">
        <v>711</v>
      </c>
      <c r="C42" s="1674">
        <f>SUM(C36:C41)</f>
        <v>229436</v>
      </c>
      <c r="D42" s="1674">
        <f t="shared" ref="D42:L42" si="3">SUM(D36:D41)</f>
        <v>10962</v>
      </c>
      <c r="E42" s="1674">
        <f t="shared" si="3"/>
        <v>11400</v>
      </c>
      <c r="F42" s="1674">
        <f t="shared" si="3"/>
        <v>99</v>
      </c>
      <c r="G42" s="1674">
        <f t="shared" si="3"/>
        <v>0</v>
      </c>
      <c r="H42" s="1674">
        <f t="shared" si="3"/>
        <v>0</v>
      </c>
      <c r="I42" s="1674">
        <f t="shared" si="3"/>
        <v>0</v>
      </c>
      <c r="J42" s="1674">
        <f t="shared" si="3"/>
        <v>0</v>
      </c>
      <c r="K42" s="1674">
        <f t="shared" si="3"/>
        <v>251897</v>
      </c>
      <c r="L42" s="1674">
        <f t="shared" si="3"/>
        <v>271358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718</v>
      </c>
      <c r="E44" s="1586"/>
      <c r="F44" s="1586"/>
      <c r="G44" s="1586"/>
      <c r="H44" s="1586"/>
      <c r="I44" s="1574"/>
      <c r="J44" s="1574"/>
      <c r="K44" s="1678">
        <f>SUM(C44:J44)</f>
        <v>718</v>
      </c>
      <c r="L44" s="1586">
        <v>2150</v>
      </c>
    </row>
    <row r="45" spans="1:14" x14ac:dyDescent="0.2">
      <c r="A45" s="1274" t="s">
        <v>810</v>
      </c>
      <c r="B45" s="503">
        <v>2220</v>
      </c>
      <c r="C45" s="1573">
        <v>44354</v>
      </c>
      <c r="D45" s="1573">
        <v>688</v>
      </c>
      <c r="E45" s="1573"/>
      <c r="F45" s="1573"/>
      <c r="G45" s="1573"/>
      <c r="H45" s="1573"/>
      <c r="I45" s="1574"/>
      <c r="J45" s="1574"/>
      <c r="K45" s="1678">
        <f>SUM(C45:J45)</f>
        <v>45042</v>
      </c>
      <c r="L45" s="1573">
        <v>47560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44354</v>
      </c>
      <c r="D47" s="1674">
        <f t="shared" ref="D47:K47" si="4">SUM(D44:D46)</f>
        <v>1406</v>
      </c>
      <c r="E47" s="1674">
        <f t="shared" si="4"/>
        <v>0</v>
      </c>
      <c r="F47" s="1674">
        <f t="shared" si="4"/>
        <v>0</v>
      </c>
      <c r="G47" s="1674">
        <f t="shared" si="4"/>
        <v>0</v>
      </c>
      <c r="H47" s="1674">
        <f t="shared" si="4"/>
        <v>0</v>
      </c>
      <c r="I47" s="1674">
        <f t="shared" si="4"/>
        <v>0</v>
      </c>
      <c r="J47" s="1674">
        <f t="shared" si="4"/>
        <v>0</v>
      </c>
      <c r="K47" s="1674">
        <f t="shared" si="4"/>
        <v>45760</v>
      </c>
      <c r="L47" s="1674">
        <f>SUM(L44:L46)</f>
        <v>49710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3116</v>
      </c>
      <c r="D49" s="1586"/>
      <c r="E49" s="1586">
        <v>67663</v>
      </c>
      <c r="F49" s="1586"/>
      <c r="G49" s="1586"/>
      <c r="H49" s="1586">
        <v>1678</v>
      </c>
      <c r="I49" s="1574"/>
      <c r="J49" s="1574"/>
      <c r="K49" s="1678">
        <f>SUM(C49:J49)</f>
        <v>72457</v>
      </c>
      <c r="L49" s="1586">
        <v>44118</v>
      </c>
    </row>
    <row r="50" spans="1:14" x14ac:dyDescent="0.2">
      <c r="A50" s="1274" t="s">
        <v>813</v>
      </c>
      <c r="B50" s="503">
        <v>2320</v>
      </c>
      <c r="C50" s="1573">
        <v>97054</v>
      </c>
      <c r="D50" s="1573">
        <v>40921</v>
      </c>
      <c r="E50" s="1573">
        <v>6014</v>
      </c>
      <c r="F50" s="1573"/>
      <c r="G50" s="1573"/>
      <c r="H50" s="1573">
        <v>1449</v>
      </c>
      <c r="I50" s="1574"/>
      <c r="J50" s="1574"/>
      <c r="K50" s="1678">
        <f>SUM(C50:J50)</f>
        <v>145438</v>
      </c>
      <c r="L50" s="1573">
        <v>148392</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100170</v>
      </c>
      <c r="D53" s="1674">
        <f t="shared" ref="D53:L53" si="5">SUM(D49:D52)</f>
        <v>40921</v>
      </c>
      <c r="E53" s="1674">
        <f t="shared" si="5"/>
        <v>73677</v>
      </c>
      <c r="F53" s="1674">
        <f t="shared" si="5"/>
        <v>0</v>
      </c>
      <c r="G53" s="1674">
        <f t="shared" si="5"/>
        <v>0</v>
      </c>
      <c r="H53" s="1674">
        <f t="shared" si="5"/>
        <v>3127</v>
      </c>
      <c r="I53" s="1674">
        <f t="shared" si="5"/>
        <v>0</v>
      </c>
      <c r="J53" s="1674">
        <f t="shared" si="5"/>
        <v>0</v>
      </c>
      <c r="K53" s="1674">
        <f t="shared" si="5"/>
        <v>217895</v>
      </c>
      <c r="L53" s="1674">
        <f t="shared" si="5"/>
        <v>192510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87399</v>
      </c>
      <c r="D55" s="1586">
        <v>14547</v>
      </c>
      <c r="E55" s="1586"/>
      <c r="F55" s="1586"/>
      <c r="G55" s="1586"/>
      <c r="H55" s="1586"/>
      <c r="I55" s="1574"/>
      <c r="J55" s="1574"/>
      <c r="K55" s="1678">
        <f>SUM(C55:J55)</f>
        <v>101946</v>
      </c>
      <c r="L55" s="1586">
        <v>108920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87399</v>
      </c>
      <c r="D57" s="1679">
        <f t="shared" ref="D57:K57" si="6">SUM(D55:D56)</f>
        <v>14547</v>
      </c>
      <c r="E57" s="1679">
        <f t="shared" si="6"/>
        <v>0</v>
      </c>
      <c r="F57" s="1679">
        <f t="shared" si="6"/>
        <v>0</v>
      </c>
      <c r="G57" s="1679">
        <f t="shared" si="6"/>
        <v>0</v>
      </c>
      <c r="H57" s="1679">
        <f t="shared" si="6"/>
        <v>0</v>
      </c>
      <c r="I57" s="1679">
        <f t="shared" si="6"/>
        <v>0</v>
      </c>
      <c r="J57" s="1679">
        <f t="shared" si="6"/>
        <v>0</v>
      </c>
      <c r="K57" s="1679">
        <f t="shared" si="6"/>
        <v>101946</v>
      </c>
      <c r="L57" s="1674">
        <f>SUM(L55:L56)</f>
        <v>108920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120</v>
      </c>
      <c r="M59" s="501"/>
      <c r="N59" s="501"/>
    </row>
    <row r="60" spans="1:14" s="321" customFormat="1" x14ac:dyDescent="0.2">
      <c r="A60" s="1274" t="s">
        <v>460</v>
      </c>
      <c r="B60" s="503">
        <v>2520</v>
      </c>
      <c r="C60" s="1573">
        <v>44337</v>
      </c>
      <c r="D60" s="1573">
        <v>21</v>
      </c>
      <c r="E60" s="1573">
        <v>13689</v>
      </c>
      <c r="F60" s="1573">
        <v>201</v>
      </c>
      <c r="G60" s="1573"/>
      <c r="H60" s="1573"/>
      <c r="I60" s="1574"/>
      <c r="J60" s="1574"/>
      <c r="K60" s="1678">
        <f t="shared" si="7"/>
        <v>58248</v>
      </c>
      <c r="L60" s="1573">
        <v>80772</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47453</v>
      </c>
      <c r="D63" s="1573">
        <v>27420</v>
      </c>
      <c r="E63" s="1573">
        <v>1443</v>
      </c>
      <c r="F63" s="1573">
        <v>72095</v>
      </c>
      <c r="G63" s="1573"/>
      <c r="H63" s="1573">
        <v>540</v>
      </c>
      <c r="I63" s="1574"/>
      <c r="J63" s="1574"/>
      <c r="K63" s="1678">
        <f t="shared" si="7"/>
        <v>148951</v>
      </c>
      <c r="L63" s="1573">
        <v>139670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91790</v>
      </c>
      <c r="D65" s="1674">
        <f t="shared" ref="D65:L65" si="8">SUM(D59:D64)</f>
        <v>27441</v>
      </c>
      <c r="E65" s="1674">
        <f t="shared" si="8"/>
        <v>15132</v>
      </c>
      <c r="F65" s="1674">
        <f t="shared" si="8"/>
        <v>72296</v>
      </c>
      <c r="G65" s="1674">
        <f t="shared" si="8"/>
        <v>0</v>
      </c>
      <c r="H65" s="1674">
        <f t="shared" si="8"/>
        <v>540</v>
      </c>
      <c r="I65" s="1674">
        <f t="shared" si="8"/>
        <v>0</v>
      </c>
      <c r="J65" s="1674">
        <f t="shared" si="8"/>
        <v>0</v>
      </c>
      <c r="K65" s="1674">
        <f t="shared" si="8"/>
        <v>207199</v>
      </c>
      <c r="L65" s="1674">
        <f t="shared" si="8"/>
        <v>220562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7393</v>
      </c>
      <c r="F69" s="1573">
        <v>21558</v>
      </c>
      <c r="G69" s="1573"/>
      <c r="H69" s="1573"/>
      <c r="I69" s="1574"/>
      <c r="J69" s="1574"/>
      <c r="K69" s="1678">
        <f>SUM(C69:J69)</f>
        <v>28951</v>
      </c>
      <c r="L69" s="1573">
        <v>16456</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7393</v>
      </c>
      <c r="F72" s="1674">
        <f t="shared" si="9"/>
        <v>21558</v>
      </c>
      <c r="G72" s="1674">
        <f t="shared" si="9"/>
        <v>0</v>
      </c>
      <c r="H72" s="1674">
        <f t="shared" si="9"/>
        <v>0</v>
      </c>
      <c r="I72" s="1674">
        <f t="shared" si="9"/>
        <v>0</v>
      </c>
      <c r="J72" s="1674">
        <f t="shared" si="9"/>
        <v>0</v>
      </c>
      <c r="K72" s="1674">
        <f t="shared" si="9"/>
        <v>28951</v>
      </c>
      <c r="L72" s="1674">
        <f>SUM(L67:L71)</f>
        <v>16456</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553149</v>
      </c>
      <c r="D74" s="1681">
        <f t="shared" ref="D74:K74" si="10">SUM(D42,D47,D53,D57,D65,D72,D73)</f>
        <v>95277</v>
      </c>
      <c r="E74" s="1681">
        <f t="shared" si="10"/>
        <v>107602</v>
      </c>
      <c r="F74" s="1681">
        <f t="shared" si="10"/>
        <v>93953</v>
      </c>
      <c r="G74" s="1681">
        <f t="shared" si="10"/>
        <v>0</v>
      </c>
      <c r="H74" s="1681">
        <f t="shared" si="10"/>
        <v>3667</v>
      </c>
      <c r="I74" s="1681">
        <f t="shared" si="10"/>
        <v>0</v>
      </c>
      <c r="J74" s="1681">
        <f t="shared" si="10"/>
        <v>0</v>
      </c>
      <c r="K74" s="1681">
        <f t="shared" si="10"/>
        <v>853648</v>
      </c>
      <c r="L74" s="1681">
        <f>SUM(L42,L47,L53,L57,L65,L72,L73)</f>
        <v>859516</v>
      </c>
    </row>
    <row r="75" spans="1:14" s="254" customFormat="1" ht="15.75" customHeight="1" thickTop="1" thickBot="1" x14ac:dyDescent="0.25">
      <c r="A75" s="1348" t="s">
        <v>47</v>
      </c>
      <c r="B75" s="1349" t="s">
        <v>571</v>
      </c>
      <c r="C75" s="1649">
        <v>2738</v>
      </c>
      <c r="D75" s="1649">
        <v>860</v>
      </c>
      <c r="E75" s="1649"/>
      <c r="F75" s="1649"/>
      <c r="G75" s="1649"/>
      <c r="H75" s="1649"/>
      <c r="I75" s="1627"/>
      <c r="J75" s="1627"/>
      <c r="K75" s="1674">
        <f>SUM(C75:J75)</f>
        <v>3598</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522794</v>
      </c>
      <c r="I79" s="1582"/>
      <c r="J79" s="1582"/>
      <c r="K79" s="1672">
        <f t="shared" si="11"/>
        <v>522794</v>
      </c>
      <c r="L79" s="1573">
        <v>502959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522794</v>
      </c>
      <c r="I84" s="1582"/>
      <c r="J84" s="1582"/>
      <c r="K84" s="1674">
        <f>SUM(K78:K83)</f>
        <v>522794</v>
      </c>
      <c r="L84" s="1674">
        <f>SUM(L78:L83)</f>
        <v>502959</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522794</v>
      </c>
      <c r="I102" s="1582"/>
      <c r="J102" s="1582"/>
      <c r="K102" s="1681">
        <f>SUM(K84,K92,K100,K101)</f>
        <v>522794</v>
      </c>
      <c r="L102" s="1681">
        <f>SUM(L84,L92,L100,L101)</f>
        <v>502959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1437638</v>
      </c>
      <c r="D114" s="1674">
        <f t="shared" ref="D114:K114" si="13">SUM(D33,D74,D75,D102,D112,D113)</f>
        <v>257249</v>
      </c>
      <c r="E114" s="1674">
        <f t="shared" si="13"/>
        <v>243433</v>
      </c>
      <c r="F114" s="1674">
        <f t="shared" si="13"/>
        <v>176728</v>
      </c>
      <c r="G114" s="1674">
        <f t="shared" si="13"/>
        <v>0</v>
      </c>
      <c r="H114" s="1674">
        <f>SUM(H33,H74,H75,H102,H112,H113)</f>
        <v>528483</v>
      </c>
      <c r="I114" s="1674">
        <f t="shared" si="13"/>
        <v>0</v>
      </c>
      <c r="J114" s="1674">
        <f t="shared" si="13"/>
        <v>0</v>
      </c>
      <c r="K114" s="1674">
        <f t="shared" si="13"/>
        <v>2643531</v>
      </c>
      <c r="L114" s="1674">
        <f>SUM(L33,L74,L75,L102,L112,L113)</f>
        <v>2912474</v>
      </c>
    </row>
    <row r="115" spans="1:14" ht="13.5" thickTop="1" x14ac:dyDescent="0.2">
      <c r="A115" s="2287" t="s">
        <v>989</v>
      </c>
      <c r="B115" s="2288"/>
      <c r="C115" s="1675"/>
      <c r="D115" s="1675"/>
      <c r="E115" s="1675"/>
      <c r="F115" s="1675"/>
      <c r="G115" s="1675"/>
      <c r="H115" s="1675"/>
      <c r="I115" s="1675"/>
      <c r="J115" s="1675"/>
      <c r="K115" s="1689">
        <f>'Revenues 9-14'!C268-'Expenditures 15-22'!K114</f>
        <v>471905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105423</v>
      </c>
      <c r="D124" s="1573">
        <v>16427</v>
      </c>
      <c r="E124" s="1573">
        <v>77760</v>
      </c>
      <c r="F124" s="1573">
        <v>71831</v>
      </c>
      <c r="G124" s="1573">
        <v>292006</v>
      </c>
      <c r="H124" s="1573"/>
      <c r="I124" s="1574"/>
      <c r="J124" s="1574"/>
      <c r="K124" s="1674">
        <f>SUM(C124:J124)</f>
        <v>563447</v>
      </c>
      <c r="L124" s="1573">
        <v>831765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105423</v>
      </c>
      <c r="D127" s="1674">
        <f t="shared" ref="D127:L127" si="14">SUM(D122:D126)</f>
        <v>16427</v>
      </c>
      <c r="E127" s="1674">
        <f t="shared" si="14"/>
        <v>77760</v>
      </c>
      <c r="F127" s="1674">
        <f t="shared" si="14"/>
        <v>71831</v>
      </c>
      <c r="G127" s="1674">
        <f t="shared" si="14"/>
        <v>292006</v>
      </c>
      <c r="H127" s="1674">
        <f t="shared" si="14"/>
        <v>0</v>
      </c>
      <c r="I127" s="1674">
        <f t="shared" si="14"/>
        <v>0</v>
      </c>
      <c r="J127" s="1674">
        <f t="shared" si="14"/>
        <v>0</v>
      </c>
      <c r="K127" s="1674">
        <f t="shared" si="14"/>
        <v>563447</v>
      </c>
      <c r="L127" s="1674">
        <f t="shared" si="14"/>
        <v>831765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105423</v>
      </c>
      <c r="D129" s="1681">
        <f t="shared" ref="D129:L129" si="15">SUM(D120,D127,D128)</f>
        <v>16427</v>
      </c>
      <c r="E129" s="1681">
        <f t="shared" si="15"/>
        <v>77760</v>
      </c>
      <c r="F129" s="1681">
        <f t="shared" si="15"/>
        <v>71831</v>
      </c>
      <c r="G129" s="1681">
        <f t="shared" si="15"/>
        <v>292006</v>
      </c>
      <c r="H129" s="1681">
        <f t="shared" si="15"/>
        <v>0</v>
      </c>
      <c r="I129" s="1681">
        <f t="shared" si="15"/>
        <v>0</v>
      </c>
      <c r="J129" s="1681">
        <f t="shared" si="15"/>
        <v>0</v>
      </c>
      <c r="K129" s="1681">
        <f t="shared" si="15"/>
        <v>563447</v>
      </c>
      <c r="L129" s="1681">
        <f t="shared" si="15"/>
        <v>831765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105423</v>
      </c>
      <c r="D151" s="1674">
        <f t="shared" ref="D151:K151" si="16">SUM(D129,D130,D139,D149,D150)</f>
        <v>16427</v>
      </c>
      <c r="E151" s="1674">
        <f t="shared" si="16"/>
        <v>77760</v>
      </c>
      <c r="F151" s="1674">
        <f t="shared" si="16"/>
        <v>71831</v>
      </c>
      <c r="G151" s="1674">
        <f t="shared" si="16"/>
        <v>292006</v>
      </c>
      <c r="H151" s="1674">
        <f t="shared" si="16"/>
        <v>0</v>
      </c>
      <c r="I151" s="1674">
        <f t="shared" si="16"/>
        <v>0</v>
      </c>
      <c r="J151" s="1674">
        <f t="shared" si="16"/>
        <v>0</v>
      </c>
      <c r="K151" s="1674">
        <f t="shared" si="16"/>
        <v>563447</v>
      </c>
      <c r="L151" s="1674">
        <f>SUM(L129,L130,L139,L149,L150)</f>
        <v>831765</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-217751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45896</v>
      </c>
      <c r="I169" s="1673"/>
      <c r="J169" s="1673"/>
      <c r="K169" s="1672">
        <f>SUM(C169:H169)</f>
        <v>45896</v>
      </c>
      <c r="L169" s="1695">
        <v>45896</v>
      </c>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45896</v>
      </c>
      <c r="I172" s="1684"/>
      <c r="J172" s="1673"/>
      <c r="K172" s="1681">
        <f>SUM(K168,K169,K170,K171)</f>
        <v>45896</v>
      </c>
      <c r="L172" s="1681">
        <f>SUM(L168,L169,L170,L171)</f>
        <v>45896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45896</v>
      </c>
      <c r="I174" s="1684"/>
      <c r="J174" s="1673"/>
      <c r="K174" s="1681">
        <f>SUM(K160,K172,K173)</f>
        <v>45896</v>
      </c>
      <c r="L174" s="1681">
        <f>SUM(L160,L172,L173)</f>
        <v>45896</v>
      </c>
    </row>
    <row r="175" spans="1:14" ht="13.5" thickTop="1" x14ac:dyDescent="0.2">
      <c r="A175" s="2287" t="s">
        <v>989</v>
      </c>
      <c r="B175" s="2288"/>
      <c r="C175" s="1673"/>
      <c r="D175" s="1673"/>
      <c r="E175" s="1673"/>
      <c r="F175" s="1673"/>
      <c r="G175" s="1673"/>
      <c r="H175" s="1675"/>
      <c r="I175" s="1673"/>
      <c r="J175" s="1673"/>
      <c r="K175" s="1689">
        <f>'Revenues 9-14'!E268-'Expenditures 15-22'!K174</f>
        <v>-45896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108766</v>
      </c>
      <c r="D182" s="1573">
        <v>10709</v>
      </c>
      <c r="E182" s="1573">
        <v>22729</v>
      </c>
      <c r="F182" s="1573">
        <v>21252</v>
      </c>
      <c r="G182" s="1573">
        <v>30187</v>
      </c>
      <c r="H182" s="1573"/>
      <c r="I182" s="1574"/>
      <c r="J182" s="1574"/>
      <c r="K182" s="1672">
        <f>SUM(C182:J182)</f>
        <v>193643</v>
      </c>
      <c r="L182" s="1573">
        <v>296059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108766</v>
      </c>
      <c r="D184" s="1681">
        <f t="shared" ref="D184:J184" si="17">SUM(D180,D182,D183)</f>
        <v>10709</v>
      </c>
      <c r="E184" s="1681">
        <f t="shared" si="17"/>
        <v>22729</v>
      </c>
      <c r="F184" s="1681">
        <f t="shared" si="17"/>
        <v>21252</v>
      </c>
      <c r="G184" s="1681">
        <f t="shared" si="17"/>
        <v>30187</v>
      </c>
      <c r="H184" s="1681">
        <f t="shared" si="17"/>
        <v>0</v>
      </c>
      <c r="I184" s="1681">
        <f t="shared" si="17"/>
        <v>0</v>
      </c>
      <c r="J184" s="1681">
        <f t="shared" si="17"/>
        <v>0</v>
      </c>
      <c r="K184" s="1681">
        <f>SUM(K180,K182,K183)</f>
        <v>193643</v>
      </c>
      <c r="L184" s="1681">
        <f>SUM(L180, L182:L183)</f>
        <v>296059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2357</v>
      </c>
      <c r="I205" s="1673"/>
      <c r="J205" s="1673"/>
      <c r="K205" s="1696">
        <f>SUM(H205)</f>
        <v>2357</v>
      </c>
      <c r="L205" s="1630"/>
    </row>
    <row r="206" spans="1:14" ht="30" customHeight="1" x14ac:dyDescent="0.2">
      <c r="A206" s="555" t="s">
        <v>1652</v>
      </c>
      <c r="B206" s="546" t="s">
        <v>31</v>
      </c>
      <c r="C206" s="1673"/>
      <c r="D206" s="1673"/>
      <c r="E206" s="1673"/>
      <c r="F206" s="1673"/>
      <c r="G206" s="1673"/>
      <c r="H206" s="1573">
        <v>78626</v>
      </c>
      <c r="I206" s="1673"/>
      <c r="J206" s="1673"/>
      <c r="K206" s="1672">
        <f>SUM(H206)</f>
        <v>78626</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80983</v>
      </c>
      <c r="I208" s="1673"/>
      <c r="J208" s="1673"/>
      <c r="K208" s="1681">
        <f>SUM(K204,K205,K206,K207)</f>
        <v>80983</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108766</v>
      </c>
      <c r="D210" s="1674">
        <f>SUM(D184,D185)</f>
        <v>10709</v>
      </c>
      <c r="E210" s="1674">
        <f>SUM(E184,E185,E196)</f>
        <v>22729</v>
      </c>
      <c r="F210" s="1674">
        <f>SUM(F184,F185)</f>
        <v>21252</v>
      </c>
      <c r="G210" s="1674">
        <f>SUM(G184,G185)</f>
        <v>30187</v>
      </c>
      <c r="H210" s="1674">
        <f>SUM(H184,H185,H196,H208,H209)</f>
        <v>80983</v>
      </c>
      <c r="I210" s="1674">
        <f>SUM(I184,I185)</f>
        <v>0</v>
      </c>
      <c r="J210" s="1674">
        <f>SUM(J184,J185)</f>
        <v>0</v>
      </c>
      <c r="K210" s="1672">
        <f>SUM(K184,K185,K196,K208,K209)</f>
        <v>274626</v>
      </c>
      <c r="L210" s="1674">
        <f>SUM(L184,L185,L196,L208,L209)</f>
        <v>296059</v>
      </c>
    </row>
    <row r="211" spans="1:14" ht="13.5" thickTop="1" x14ac:dyDescent="0.2">
      <c r="A211" s="2287" t="s">
        <v>989</v>
      </c>
      <c r="B211" s="2288"/>
      <c r="C211" s="1675"/>
      <c r="D211" s="1675"/>
      <c r="E211" s="1675"/>
      <c r="F211" s="1675"/>
      <c r="G211" s="1675"/>
      <c r="H211" s="1675"/>
      <c r="I211" s="1673"/>
      <c r="J211" s="1673"/>
      <c r="K211" s="1689">
        <f>'Revenues 9-14'!F268-'Expenditures 15-22'!K210</f>
        <v>79563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18590</v>
      </c>
      <c r="E215" s="1673"/>
      <c r="F215" s="1673"/>
      <c r="G215" s="1673"/>
      <c r="H215" s="1673"/>
      <c r="I215" s="1673"/>
      <c r="J215" s="1673"/>
      <c r="K215" s="1672">
        <f>D215</f>
        <v>18590</v>
      </c>
      <c r="L215" s="1573">
        <v>94404</v>
      </c>
    </row>
    <row r="216" spans="1:14" x14ac:dyDescent="0.2">
      <c r="A216" s="1274" t="s">
        <v>162</v>
      </c>
      <c r="B216" s="503" t="s">
        <v>961</v>
      </c>
      <c r="C216" s="1673"/>
      <c r="D216" s="1574">
        <v>2860</v>
      </c>
      <c r="E216" s="1673"/>
      <c r="F216" s="1673"/>
      <c r="G216" s="1673"/>
      <c r="H216" s="1673"/>
      <c r="I216" s="1673"/>
      <c r="J216" s="1673"/>
      <c r="K216" s="1672">
        <f t="shared" ref="K216:K228" si="19">D216</f>
        <v>2860</v>
      </c>
      <c r="L216" s="1573">
        <v>670</v>
      </c>
    </row>
    <row r="217" spans="1:14" x14ac:dyDescent="0.2">
      <c r="A217" s="1274" t="s">
        <v>163</v>
      </c>
      <c r="B217" s="503">
        <v>1200</v>
      </c>
      <c r="C217" s="1673"/>
      <c r="D217" s="1573">
        <v>2950</v>
      </c>
      <c r="E217" s="1673"/>
      <c r="F217" s="1673"/>
      <c r="G217" s="1673"/>
      <c r="H217" s="1673"/>
      <c r="I217" s="1673"/>
      <c r="J217" s="1673"/>
      <c r="K217" s="1672">
        <f t="shared" si="19"/>
        <v>2950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687</v>
      </c>
      <c r="E219" s="1673"/>
      <c r="F219" s="1673"/>
      <c r="G219" s="1673"/>
      <c r="H219" s="1673"/>
      <c r="I219" s="1673"/>
      <c r="J219" s="1673"/>
      <c r="K219" s="1672">
        <f t="shared" si="19"/>
        <v>687</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1104</v>
      </c>
      <c r="E223" s="1673"/>
      <c r="F223" s="1673"/>
      <c r="G223" s="1673"/>
      <c r="H223" s="1673"/>
      <c r="I223" s="1673"/>
      <c r="J223" s="1673"/>
      <c r="K223" s="1672">
        <f t="shared" si="19"/>
        <v>1104</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26191</v>
      </c>
      <c r="E229" s="1673"/>
      <c r="F229" s="1673"/>
      <c r="G229" s="1673"/>
      <c r="H229" s="1673"/>
      <c r="I229" s="1673"/>
      <c r="J229" s="1673"/>
      <c r="K229" s="1674">
        <f>SUM(K215:K228)</f>
        <v>26191</v>
      </c>
      <c r="L229" s="1674">
        <f>SUM(L215:L228)</f>
        <v>95074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716</v>
      </c>
      <c r="E236" s="1673"/>
      <c r="F236" s="1673"/>
      <c r="G236" s="1673"/>
      <c r="H236" s="1673"/>
      <c r="I236" s="1673"/>
      <c r="J236" s="1673"/>
      <c r="K236" s="1672">
        <f t="shared" si="20"/>
        <v>716</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716</v>
      </c>
      <c r="E238" s="1673"/>
      <c r="F238" s="1673"/>
      <c r="G238" s="1673"/>
      <c r="H238" s="1673"/>
      <c r="I238" s="1673"/>
      <c r="J238" s="1673"/>
      <c r="K238" s="1674">
        <f>SUM(K232:K237)</f>
        <v>716</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643</v>
      </c>
      <c r="E241" s="1673"/>
      <c r="F241" s="1673"/>
      <c r="G241" s="1673"/>
      <c r="H241" s="1673"/>
      <c r="I241" s="1673"/>
      <c r="J241" s="1673"/>
      <c r="K241" s="1678">
        <f>D241</f>
        <v>643</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643</v>
      </c>
      <c r="E243" s="1673"/>
      <c r="F243" s="1673"/>
      <c r="G243" s="1673"/>
      <c r="H243" s="1673"/>
      <c r="I243" s="1673"/>
      <c r="J243" s="1673"/>
      <c r="K243" s="1674">
        <f>SUM(K240:K242)</f>
        <v>643</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239</v>
      </c>
      <c r="E245" s="1673"/>
      <c r="F245" s="1673"/>
      <c r="G245" s="1673"/>
      <c r="H245" s="1673"/>
      <c r="I245" s="1673"/>
      <c r="J245" s="1673"/>
      <c r="K245" s="1678">
        <f>D245</f>
        <v>239</v>
      </c>
      <c r="L245" s="1586"/>
    </row>
    <row r="246" spans="1:12" x14ac:dyDescent="0.2">
      <c r="A246" s="1274" t="s">
        <v>813</v>
      </c>
      <c r="B246" s="503">
        <v>2320</v>
      </c>
      <c r="C246" s="1673"/>
      <c r="D246" s="1573">
        <v>1397</v>
      </c>
      <c r="E246" s="1673"/>
      <c r="F246" s="1673"/>
      <c r="G246" s="1673"/>
      <c r="H246" s="1673"/>
      <c r="I246" s="1673"/>
      <c r="J246" s="1673"/>
      <c r="K246" s="1678">
        <f t="shared" ref="K246:K256" si="21">D246</f>
        <v>1397</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3709</v>
      </c>
      <c r="E252" s="1673"/>
      <c r="F252" s="1673"/>
      <c r="G252" s="1673"/>
      <c r="H252" s="1673"/>
      <c r="I252" s="1673"/>
      <c r="J252" s="1673"/>
      <c r="K252" s="1678">
        <f t="shared" si="21"/>
        <v>3709</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5345</v>
      </c>
      <c r="E257" s="1673"/>
      <c r="F257" s="1673"/>
      <c r="G257" s="1673"/>
      <c r="H257" s="1673"/>
      <c r="I257" s="1673"/>
      <c r="J257" s="1673"/>
      <c r="K257" s="1674">
        <f>SUM(K245:K256)</f>
        <v>5345</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3384</v>
      </c>
      <c r="E259" s="1673"/>
      <c r="F259" s="1673"/>
      <c r="G259" s="1673"/>
      <c r="H259" s="1673"/>
      <c r="I259" s="1673"/>
      <c r="J259" s="1673"/>
      <c r="K259" s="1678">
        <f>D259</f>
        <v>3384</v>
      </c>
      <c r="L259" s="1586">
        <v>10002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3384</v>
      </c>
      <c r="E261" s="1673"/>
      <c r="F261" s="1673"/>
      <c r="G261" s="1673"/>
      <c r="H261" s="1673"/>
      <c r="I261" s="1673"/>
      <c r="J261" s="1673"/>
      <c r="K261" s="1674">
        <f>SUM(K259:K260)</f>
        <v>3384</v>
      </c>
      <c r="L261" s="1674">
        <f>SUM(L259:L260)</f>
        <v>10002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5614</v>
      </c>
      <c r="E264" s="1673"/>
      <c r="F264" s="1673"/>
      <c r="G264" s="1673"/>
      <c r="H264" s="1673"/>
      <c r="I264" s="1673"/>
      <c r="J264" s="1673"/>
      <c r="K264" s="1678">
        <f t="shared" ref="K264:K269" si="22">D264</f>
        <v>5614</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11185</v>
      </c>
      <c r="E266" s="1673"/>
      <c r="F266" s="1673"/>
      <c r="G266" s="1673"/>
      <c r="H266" s="1673"/>
      <c r="I266" s="1673"/>
      <c r="J266" s="1673"/>
      <c r="K266" s="1678">
        <f t="shared" si="22"/>
        <v>11185</v>
      </c>
      <c r="L266" s="1573"/>
    </row>
    <row r="267" spans="1:14" x14ac:dyDescent="0.2">
      <c r="A267" s="1274" t="s">
        <v>947</v>
      </c>
      <c r="B267" s="503">
        <v>2550</v>
      </c>
      <c r="C267" s="1673"/>
      <c r="D267" s="1573">
        <v>10044</v>
      </c>
      <c r="E267" s="1673"/>
      <c r="F267" s="1673"/>
      <c r="G267" s="1673"/>
      <c r="H267" s="1673"/>
      <c r="I267" s="1673"/>
      <c r="J267" s="1673"/>
      <c r="K267" s="1678">
        <f t="shared" si="22"/>
        <v>10044</v>
      </c>
      <c r="L267" s="1573"/>
    </row>
    <row r="268" spans="1:14" x14ac:dyDescent="0.2">
      <c r="A268" s="1274" t="s">
        <v>100</v>
      </c>
      <c r="B268" s="503">
        <v>2560</v>
      </c>
      <c r="C268" s="1673"/>
      <c r="D268" s="1573">
        <v>5083</v>
      </c>
      <c r="E268" s="1673"/>
      <c r="F268" s="1673"/>
      <c r="G268" s="1673"/>
      <c r="H268" s="1673"/>
      <c r="I268" s="1673"/>
      <c r="J268" s="1673"/>
      <c r="K268" s="1678">
        <f t="shared" si="22"/>
        <v>5083</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31926</v>
      </c>
      <c r="E270" s="1673"/>
      <c r="F270" s="1673"/>
      <c r="G270" s="1673"/>
      <c r="H270" s="1673"/>
      <c r="I270" s="1673"/>
      <c r="J270" s="1673"/>
      <c r="K270" s="1674">
        <f>SUM(K263:K269)</f>
        <v>31926</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42014</v>
      </c>
      <c r="E279" s="1673"/>
      <c r="F279" s="1673"/>
      <c r="G279" s="1673"/>
      <c r="H279" s="1673"/>
      <c r="I279" s="1673"/>
      <c r="J279" s="1673"/>
      <c r="K279" s="1681">
        <f>SUM(K238,K243,K257,K261,K270,K277,K278)</f>
        <v>42014</v>
      </c>
      <c r="L279" s="1681">
        <f>SUM(L238,L243,L257,L261,L270,L277,L278)</f>
        <v>10002</v>
      </c>
    </row>
    <row r="280" spans="1:12" ht="15.75" customHeight="1" thickTop="1" thickBot="1" x14ac:dyDescent="0.25">
      <c r="A280" s="1362" t="s">
        <v>870</v>
      </c>
      <c r="B280" s="1351">
        <v>3000</v>
      </c>
      <c r="C280" s="1673"/>
      <c r="D280" s="1651">
        <v>39</v>
      </c>
      <c r="E280" s="1673"/>
      <c r="F280" s="1673"/>
      <c r="G280" s="1673"/>
      <c r="H280" s="1673"/>
      <c r="I280" s="1673"/>
      <c r="J280" s="1673"/>
      <c r="K280" s="1687">
        <f>D280</f>
        <v>39</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68244</v>
      </c>
      <c r="E295" s="1673"/>
      <c r="F295" s="1673"/>
      <c r="G295" s="1673"/>
      <c r="H295" s="1674">
        <f>H293</f>
        <v>0</v>
      </c>
      <c r="I295" s="1673"/>
      <c r="J295" s="1673"/>
      <c r="K295" s="1674">
        <f>SUM(K229,K279,K280,K285,K293,K294)</f>
        <v>68244</v>
      </c>
      <c r="L295" s="1674">
        <f>SUM(L229,L279,L280,L285,L293,L294)</f>
        <v>105076</v>
      </c>
    </row>
    <row r="296" spans="1:14" ht="13.5" thickTop="1" x14ac:dyDescent="0.2">
      <c r="A296" s="2287" t="s">
        <v>989</v>
      </c>
      <c r="B296" s="2288"/>
      <c r="C296" s="1673"/>
      <c r="D296" s="1675"/>
      <c r="E296" s="1673"/>
      <c r="F296" s="1673"/>
      <c r="G296" s="1673"/>
      <c r="H296" s="1707"/>
      <c r="I296" s="1673"/>
      <c r="J296" s="1673"/>
      <c r="K296" s="1689">
        <f>'Revenues 9-14'!G268-'Expenditures 15-22'!K295</f>
        <v>18929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1108430</v>
      </c>
      <c r="H301" s="1573"/>
      <c r="I301" s="1574"/>
      <c r="J301" s="1574"/>
      <c r="K301" s="1672">
        <f>SUM(C301:J301)</f>
        <v>1108430</v>
      </c>
      <c r="L301" s="1574">
        <v>970000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1108430</v>
      </c>
      <c r="H303" s="1681">
        <f t="shared" si="23"/>
        <v>0</v>
      </c>
      <c r="I303" s="1681">
        <f t="shared" si="23"/>
        <v>0</v>
      </c>
      <c r="J303" s="1681">
        <f t="shared" si="23"/>
        <v>0</v>
      </c>
      <c r="K303" s="1681">
        <f t="shared" si="23"/>
        <v>1108430</v>
      </c>
      <c r="L303" s="1681">
        <f t="shared" si="23"/>
        <v>970000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1108430</v>
      </c>
      <c r="H312" s="1674">
        <f>SUM(H303,H310)</f>
        <v>0</v>
      </c>
      <c r="I312" s="1674">
        <f>SUM(I303)</f>
        <v>0</v>
      </c>
      <c r="J312" s="1674">
        <f>SUM(J303)</f>
        <v>0</v>
      </c>
      <c r="K312" s="1674">
        <f>SUM(K303,K310,K311)</f>
        <v>1108430</v>
      </c>
      <c r="L312" s="1674">
        <f>SUM(L303,L310,L311)</f>
        <v>970000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-1106025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v>100546</v>
      </c>
      <c r="D323" s="1574">
        <v>14843</v>
      </c>
      <c r="E323" s="1574"/>
      <c r="F323" s="1574"/>
      <c r="G323" s="1574"/>
      <c r="H323" s="1574"/>
      <c r="I323" s="1574"/>
      <c r="J323" s="1574"/>
      <c r="K323" s="1672">
        <f t="shared" si="24"/>
        <v>115389</v>
      </c>
      <c r="L323" s="1574">
        <v>157592</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4000</v>
      </c>
      <c r="M327" s="539"/>
      <c r="N327" s="539"/>
    </row>
    <row r="328" spans="1:14" s="548" customFormat="1" x14ac:dyDescent="0.2">
      <c r="A328" s="1290" t="s">
        <v>469</v>
      </c>
      <c r="B328" s="562" t="s">
        <v>1122</v>
      </c>
      <c r="C328" s="1579"/>
      <c r="D328" s="1579"/>
      <c r="E328" s="1579">
        <v>83517</v>
      </c>
      <c r="F328" s="1579"/>
      <c r="G328" s="1579"/>
      <c r="H328" s="1579"/>
      <c r="I328" s="1579"/>
      <c r="J328" s="1579"/>
      <c r="K328" s="1713">
        <f>SUM(C328:J328)</f>
        <v>83517</v>
      </c>
      <c r="L328" s="1579">
        <v>82123</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100546</v>
      </c>
      <c r="D330" s="1674">
        <f t="shared" ref="D330:J330" si="25">SUM(D319:D329)</f>
        <v>14843</v>
      </c>
      <c r="E330" s="1674">
        <f t="shared" si="25"/>
        <v>83517</v>
      </c>
      <c r="F330" s="1674">
        <f t="shared" si="25"/>
        <v>0</v>
      </c>
      <c r="G330" s="1674">
        <f t="shared" si="25"/>
        <v>0</v>
      </c>
      <c r="H330" s="1674">
        <f t="shared" si="25"/>
        <v>0</v>
      </c>
      <c r="I330" s="1674">
        <f t="shared" si="25"/>
        <v>0</v>
      </c>
      <c r="J330" s="1674">
        <f t="shared" si="25"/>
        <v>0</v>
      </c>
      <c r="K330" s="1674">
        <f>SUM(K319:K329)</f>
        <v>198906</v>
      </c>
      <c r="L330" s="1674">
        <f>SUM(L319:L329)</f>
        <v>243715</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100546</v>
      </c>
      <c r="D342" s="1674">
        <f>SUM(D330)</f>
        <v>14843</v>
      </c>
      <c r="E342" s="1674">
        <f>SUM(E330)</f>
        <v>83517</v>
      </c>
      <c r="F342" s="1674">
        <f>SUM(F330)</f>
        <v>0</v>
      </c>
      <c r="G342" s="1674">
        <f>SUM(G330)</f>
        <v>0</v>
      </c>
      <c r="H342" s="1674">
        <f>SUM(H330,H334,H340)</f>
        <v>0</v>
      </c>
      <c r="I342" s="1674">
        <f>SUM(I330)</f>
        <v>0</v>
      </c>
      <c r="J342" s="1674">
        <f>SUM(J330)</f>
        <v>0</v>
      </c>
      <c r="K342" s="1674">
        <f>SUM(K330,K334,K340)</f>
        <v>198906</v>
      </c>
      <c r="L342" s="1681">
        <f>SUM(L330,L334,L340,L341)</f>
        <v>243715</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-1887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814</v>
      </c>
      <c r="F349" s="1573"/>
      <c r="G349" s="1573"/>
      <c r="H349" s="1573"/>
      <c r="I349" s="1574"/>
      <c r="J349" s="1574"/>
      <c r="K349" s="1672">
        <f>SUM(C349:J349)</f>
        <v>814</v>
      </c>
      <c r="L349" s="1573">
        <v>20000</v>
      </c>
    </row>
    <row r="350" spans="1:14" ht="12.75" customHeight="1" thickBot="1" x14ac:dyDescent="0.25">
      <c r="A350" s="1380" t="s">
        <v>714</v>
      </c>
      <c r="B350" s="1381" t="s">
        <v>35</v>
      </c>
      <c r="C350" s="1674">
        <f>SUM(C348:C349)</f>
        <v>0</v>
      </c>
      <c r="D350" s="1674">
        <f t="shared" ref="D350:L350" si="26">SUM(D348:D349)</f>
        <v>0</v>
      </c>
      <c r="E350" s="1674">
        <f t="shared" si="26"/>
        <v>814</v>
      </c>
      <c r="F350" s="1674">
        <f t="shared" si="26"/>
        <v>0</v>
      </c>
      <c r="G350" s="1674">
        <f t="shared" si="26"/>
        <v>0</v>
      </c>
      <c r="H350" s="1674">
        <f t="shared" si="26"/>
        <v>0</v>
      </c>
      <c r="I350" s="1674">
        <f t="shared" si="26"/>
        <v>0</v>
      </c>
      <c r="J350" s="1674">
        <f t="shared" si="26"/>
        <v>0</v>
      </c>
      <c r="K350" s="1674">
        <f t="shared" si="26"/>
        <v>814</v>
      </c>
      <c r="L350" s="1674">
        <f t="shared" si="26"/>
        <v>20000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814</v>
      </c>
      <c r="F352" s="1674">
        <f t="shared" si="27"/>
        <v>0</v>
      </c>
      <c r="G352" s="1674">
        <f t="shared" si="27"/>
        <v>0</v>
      </c>
      <c r="H352" s="1674">
        <f t="shared" si="27"/>
        <v>0</v>
      </c>
      <c r="I352" s="1674">
        <f t="shared" si="27"/>
        <v>0</v>
      </c>
      <c r="J352" s="1674">
        <f t="shared" si="27"/>
        <v>0</v>
      </c>
      <c r="K352" s="1674">
        <f t="shared" si="27"/>
        <v>814</v>
      </c>
      <c r="L352" s="1674">
        <f t="shared" si="27"/>
        <v>20000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814</v>
      </c>
      <c r="F367" s="1674">
        <f t="shared" si="28"/>
        <v>0</v>
      </c>
      <c r="G367" s="1674">
        <f t="shared" si="28"/>
        <v>0</v>
      </c>
      <c r="H367" s="1674">
        <f t="shared" si="28"/>
        <v>0</v>
      </c>
      <c r="I367" s="1674">
        <f t="shared" si="28"/>
        <v>0</v>
      </c>
      <c r="J367" s="1674">
        <f t="shared" si="28"/>
        <v>0</v>
      </c>
      <c r="K367" s="1674">
        <f t="shared" si="28"/>
        <v>814</v>
      </c>
      <c r="L367" s="1674">
        <f t="shared" si="28"/>
        <v>20000</v>
      </c>
    </row>
    <row r="368" spans="1:14" ht="13.5" thickTop="1" x14ac:dyDescent="0.2">
      <c r="A368" s="2287" t="s">
        <v>989</v>
      </c>
      <c r="B368" s="2288"/>
      <c r="C368" s="1694"/>
      <c r="D368" s="1694"/>
      <c r="E368" s="1677"/>
      <c r="F368" s="1677"/>
      <c r="G368" s="1677"/>
      <c r="H368" s="1677"/>
      <c r="I368" s="1677"/>
      <c r="J368" s="1676"/>
      <c r="K368" s="1672">
        <f>'Revenues 9-14'!K268-'Expenditures 15-22'!K367</f>
        <v>28454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sharepoint/v3"/>
    <ds:schemaRef ds:uri="6ce3111e-7420-4802-b50a-75d4e9a0b980"/>
    <ds:schemaRef ds:uri="http://purl.org/dc/dcmitype/"/>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4d435f69-8686-490b-bd6d-b153bf22ab50"/>
    <ds:schemaRef ds:uri="d21dc803-237d-4c68-8692-8d731fd2911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AC Tort 32-33</vt:lpstr>
      <vt:lpstr>ICR Computation 30</vt:lpstr>
      <vt:lpstr>Shared Outsourced Services 31</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2020-10-27T13:33:22Z</cp:lastPrinted>
  <dcterms:created xsi:type="dcterms:W3CDTF">2003-10-29T19:06:34Z</dcterms:created>
  <dcterms:modified xsi:type="dcterms:W3CDTF">2020-10-29T12:31:31Z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