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3664151-6D64-4534-9A16-120410A2BF5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state="hidden" r:id="rId18"/>
    <sheet name="AC Tort (v1) 32-33" sheetId="187"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4" r:id="rId30"/>
    <sheet name=" SEFA (3)" sheetId="185" r:id="rId31"/>
    <sheet name=" SEFA (4)" sheetId="186"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4" hidden="1">'AFR20'!$A$1:$F$7884</definedName>
    <definedName name="_xlnm.Print_Area" localSheetId="28">' SEFA'!$B$1:$M$45</definedName>
    <definedName name="_xlnm.Print_Area" localSheetId="29">' SEFA (2)'!$B$1:$M$45</definedName>
    <definedName name="_xlnm.Print_Area" localSheetId="30">' SEFA (3)'!$B$1:$M$48</definedName>
    <definedName name="_xlnm.Print_Area" localSheetId="31">' SEFA (4)'!$B$1:$M$48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7" l="1"/>
  <c r="L53" i="187" s="1"/>
  <c r="J6" i="187"/>
  <c r="L52" i="187" s="1"/>
  <c r="E67" i="187"/>
  <c r="N67" i="187" s="1"/>
  <c r="E66" i="187"/>
  <c r="N66" i="187" s="1"/>
  <c r="E64" i="187"/>
  <c r="N64" i="187" s="1"/>
  <c r="E63" i="187"/>
  <c r="N63" i="187" s="1"/>
  <c r="E57" i="187"/>
  <c r="E62" i="187"/>
  <c r="N62" i="187" s="1"/>
  <c r="E61" i="187"/>
  <c r="N61" i="187" s="1"/>
  <c r="E65" i="187"/>
  <c r="E60" i="187"/>
  <c r="N60" i="187" s="1"/>
  <c r="E59" i="187"/>
  <c r="E58" i="187"/>
  <c r="E17" i="187"/>
  <c r="E16" i="187"/>
  <c r="E15" i="187"/>
  <c r="E14" i="187"/>
  <c r="E13" i="187"/>
  <c r="E12" i="187"/>
  <c r="M68" i="187"/>
  <c r="L68" i="187"/>
  <c r="G17" i="187" s="1"/>
  <c r="K68" i="187"/>
  <c r="J68" i="187"/>
  <c r="G15" i="187" s="1"/>
  <c r="I68" i="187"/>
  <c r="G14" i="187" s="1"/>
  <c r="H14" i="187" s="1"/>
  <c r="H68" i="187"/>
  <c r="G13" i="187" s="1"/>
  <c r="G68" i="187"/>
  <c r="G12" i="187" s="1"/>
  <c r="N65" i="187"/>
  <c r="N59" i="187"/>
  <c r="N58" i="187"/>
  <c r="N57" i="187"/>
  <c r="K19" i="187"/>
  <c r="J19" i="187"/>
  <c r="I19" i="187"/>
  <c r="F19" i="187"/>
  <c r="L18" i="187"/>
  <c r="H18" i="187"/>
  <c r="L17" i="187"/>
  <c r="L16" i="187"/>
  <c r="G16" i="187"/>
  <c r="L15" i="187"/>
  <c r="L14" i="187"/>
  <c r="L13" i="187"/>
  <c r="L12" i="187"/>
  <c r="E68" i="187" l="1"/>
  <c r="N68" i="187"/>
  <c r="L19" i="187"/>
  <c r="H17" i="187"/>
  <c r="H16" i="187"/>
  <c r="E19" i="187"/>
  <c r="H15" i="187"/>
  <c r="H13" i="187"/>
  <c r="G19" i="187"/>
  <c r="H12" i="187"/>
  <c r="L16" i="186"/>
  <c r="F15" i="186"/>
  <c r="G15" i="186"/>
  <c r="L15" i="186" s="1"/>
  <c r="I15" i="186"/>
  <c r="E15" i="186"/>
  <c r="L28" i="186"/>
  <c r="L27" i="186"/>
  <c r="L26" i="186"/>
  <c r="L24" i="186"/>
  <c r="L23" i="186"/>
  <c r="L22" i="186"/>
  <c r="L21" i="186"/>
  <c r="L20" i="186"/>
  <c r="L19" i="186"/>
  <c r="L18" i="186"/>
  <c r="L17" i="186"/>
  <c r="L14" i="186"/>
  <c r="L13" i="186"/>
  <c r="L12" i="186"/>
  <c r="L11" i="186"/>
  <c r="I9" i="186"/>
  <c r="G9" i="186"/>
  <c r="F9" i="186"/>
  <c r="E9" i="186"/>
  <c r="J8" i="186"/>
  <c r="H8" i="186"/>
  <c r="B4" i="186"/>
  <c r="L28" i="185"/>
  <c r="F23" i="185"/>
  <c r="G23" i="185"/>
  <c r="I23" i="185"/>
  <c r="E23" i="185"/>
  <c r="F20" i="185"/>
  <c r="F25" i="185" s="1"/>
  <c r="G20" i="185"/>
  <c r="G25" i="185" s="1"/>
  <c r="I20" i="185"/>
  <c r="E20" i="185"/>
  <c r="E25" i="185" s="1"/>
  <c r="F23" i="184"/>
  <c r="G23" i="184"/>
  <c r="I23" i="184"/>
  <c r="E23" i="184"/>
  <c r="M19" i="184"/>
  <c r="M23" i="184" s="1"/>
  <c r="M25" i="179"/>
  <c r="F25" i="179"/>
  <c r="G25" i="179"/>
  <c r="I25" i="179"/>
  <c r="E25" i="179"/>
  <c r="M22" i="179"/>
  <c r="F22" i="179"/>
  <c r="G22" i="179"/>
  <c r="I22" i="179"/>
  <c r="K22" i="179"/>
  <c r="E22" i="179"/>
  <c r="M19" i="179"/>
  <c r="F19" i="179"/>
  <c r="G19" i="179"/>
  <c r="I19" i="179"/>
  <c r="E19" i="179"/>
  <c r="M16" i="179"/>
  <c r="F16" i="179"/>
  <c r="G16" i="179"/>
  <c r="I16" i="179"/>
  <c r="K16" i="179"/>
  <c r="E16" i="179"/>
  <c r="H19" i="187" l="1"/>
  <c r="L20" i="187" s="1"/>
  <c r="L25" i="186"/>
  <c r="I25" i="185"/>
  <c r="L25" i="185" s="1"/>
  <c r="L27" i="185"/>
  <c r="L26" i="185"/>
  <c r="L24" i="185"/>
  <c r="L23" i="185"/>
  <c r="L22" i="185"/>
  <c r="L21" i="185"/>
  <c r="L20" i="185"/>
  <c r="L19" i="185"/>
  <c r="L18" i="185"/>
  <c r="L17" i="185"/>
  <c r="L16" i="185"/>
  <c r="L15" i="185"/>
  <c r="L14" i="185"/>
  <c r="L13" i="185"/>
  <c r="L12" i="185"/>
  <c r="L11" i="185"/>
  <c r="I9" i="185"/>
  <c r="G9" i="185"/>
  <c r="F9" i="185"/>
  <c r="E9" i="185"/>
  <c r="J8" i="185"/>
  <c r="H8" i="185"/>
  <c r="B4" i="185"/>
  <c r="L26" i="184"/>
  <c r="L25" i="184"/>
  <c r="L24" i="184"/>
  <c r="L23" i="184"/>
  <c r="L22" i="184"/>
  <c r="L21" i="184"/>
  <c r="L20" i="184"/>
  <c r="L19" i="184"/>
  <c r="L18" i="184"/>
  <c r="L17" i="184"/>
  <c r="L16" i="184"/>
  <c r="L15" i="184"/>
  <c r="L14" i="184"/>
  <c r="L13" i="184"/>
  <c r="L12" i="184"/>
  <c r="L11" i="184"/>
  <c r="I9" i="184"/>
  <c r="G9" i="184"/>
  <c r="F9" i="184"/>
  <c r="E9" i="184"/>
  <c r="J8" i="184"/>
  <c r="H8" i="184"/>
  <c r="B4"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76" i="34"/>
  <c r="F75" i="34"/>
  <c r="C39" i="145" l="1"/>
  <c r="C33" i="145"/>
  <c r="K18" i="145" l="1"/>
  <c r="K17" i="145"/>
  <c r="K16" i="145"/>
  <c r="K15" i="145"/>
  <c r="K14" i="145"/>
  <c r="K13" i="145"/>
  <c r="K12" i="145"/>
  <c r="J19" i="145"/>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2" i="179"/>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7" i="127"/>
  <c r="B68" i="127"/>
  <c r="G26" i="108"/>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0" i="108" l="1"/>
  <c r="C342" i="29"/>
  <c r="B7216" i="106" s="1"/>
  <c r="D7216" i="106" s="1"/>
  <c r="F52" i="34"/>
  <c r="B7831" i="106" s="1"/>
  <c r="D7831" i="106" s="1"/>
  <c r="G39"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L16" i="11" l="1"/>
  <c r="B2061" i="106" s="1"/>
  <c r="D2061" i="106" s="1"/>
  <c r="E367" i="29"/>
  <c r="B3635" i="106"/>
  <c r="L114" i="29"/>
  <c r="F41" i="108"/>
  <c r="G43" i="108" s="1"/>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K20" i="4" s="1"/>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<sst xmlns="http://schemas.openxmlformats.org/spreadsheetml/2006/main" count="5462" uniqueCount="2188">
  <si>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</si>
  <si>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</si>
  <si>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</si>
  <si>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</si>
  <si>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</si>
  <si>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</si>
  <si>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</si>
  <si>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</si>
  <si>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</si>
  <si>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</si>
  <si>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</si>
  <si>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</si>
  <si>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</si>
  <si>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</si>
  <si>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</si>
  <si>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</si>
  <si>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</si>
  <si>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</si>
  <si>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</si>
  <si>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</si>
  <si>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</si>
  <si>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</si>
  <si>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</si>
  <si>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</si>
  <si>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</si>
  <si>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</si>
  <si>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</si>
  <si>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</si>
  <si>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</si>
  <si>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</si>
  <si>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</si>
  <si>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</si>
  <si>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</si>
  <si>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</si>
  <si>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</si>
  <si>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</si>
  <si>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</si>
  <si>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</si>
  <si>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</si>
  <si>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</si>
  <si>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</si>
  <si>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</si>
  <si>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</si>
  <si>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</si>
  <si>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</si>
  <si>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</si>
  <si>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</si>
  <si>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</si>
  <si>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</si>
  <si>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</si>
  <si>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</si>
  <si>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</si>
  <si>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</si>
  <si>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</si>
  <si>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</si>
  <si>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</si>
  <si>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</si>
  <si>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</si>
  <si>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</si>
  <si>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</si>
  <si>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</si>
  <si>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</si>
  <si>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</si>
  <si>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</si>
  <si>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</si>
  <si>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</si>
  <si>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</si>
  <si>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</si>
  <si>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</si>
  <si>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</si>
  <si>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</si>
  <si>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</si>
  <si>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</si>
  <si>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</si>
  <si>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</si>
  <si>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</si>
  <si>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</si>
  <si>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</si>
  <si>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</si>
  <si>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</si>
  <si>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</si>
  <si>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</si>
  <si>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</si>
  <si>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</si>
  <si>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</si>
  <si>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</si>
  <si>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</si>
  <si>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</si>
  <si>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</si>
  <si>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</si>
  <si>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</si>
  <si>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</si>
  <si>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</si>
  <si>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</si>
  <si>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</si>
  <si>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</si>
  <si>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</si>
  <si>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</si>
  <si>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</si>
  <si>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</si>
  <si>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</si>
  <si>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</si>
  <si>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</si>
  <si>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</si>
  <si>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</si>
  <si>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</si>
  <si>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</si>
  <si>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</si>
  <si>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</si>
  <si>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</si>
  <si>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</si>
  <si>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</si>
  <si>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</si>
  <si>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</si>
  <si>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</si>
  <si>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</si>
  <si>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</si>
  <si>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</si>
  <si>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</si>
  <si>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</si>
  <si>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</si>
  <si>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</si>
  <si>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</si>
  <si>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</si>
  <si>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</si>
  <si>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</si>
  <si>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</si>
  <si>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</si>
  <si>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</si>
  <si>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</si>
  <si>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</si>
  <si>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</si>
  <si>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</si>
  <si>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</si>
  <si>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</si>
  <si>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</si>
  <si>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</si>
  <si>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</si>
  <si>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</si>
  <si>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</si>
  <si>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</si>
  <si>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</si>
  <si>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</si>
  <si>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</si>
  <si>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</si>
  <si>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</si>
  <si>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</si>
  <si>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</si>
  <si>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</si>
  <si>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</si>
  <si>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</si>
  <si>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</si>
  <si>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</si>
  <si>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</si>
  <si>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</si>
  <si>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</si>
  <si>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</si>
  <si>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</si>
  <si>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</si>
  <si>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</si>
  <si>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</si>
  <si>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</si>
  <si>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</si>
  <si>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</si>
  <si>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</si>
  <si>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</si>
  <si>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</si>
  <si>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</si>
  <si>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</si>
  <si>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</si>
  <si>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</si>
  <si>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</si>
  <si>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</si>
  <si>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</si>
  <si>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</si>
  <si>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</si>
  <si>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</si>
  <si>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</si>
  <si>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</si>
  <si>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</si>
  <si>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</si>
  <si>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</si>
  <si>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</si>
  <si>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</si>
  <si>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</si>
  <si>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</si>
  <si>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</si>
  <si>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</si>
  <si>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</si>
  <si>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</si>
  <si>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</si>
  <si>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</si>
  <si>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</si>
  <si>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</si>
  <si>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</si>
  <si>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</si>
  <si>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</si>
  <si>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</si>
  <si>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</si>
  <si>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</si>
  <si>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</si>
  <si>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</si>
  <si>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</si>
  <si>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</si>
  <si>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</si>
  <si>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</si>
  <si>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</si>
  <si>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</si>
  <si>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</si>
  <si>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</si>
  <si>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</si>
  <si>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</si>
  <si>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</si>
  <si>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</si>
  <si>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</si>
  <si>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</si>
  <si>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</si>
  <si>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</si>
  <si>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</si>
  <si>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</si>
  <si>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</si>
  <si>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</si>
  <si>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</si>
  <si>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</si>
  <si>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</si>
  <si>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</si>
  <si>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</si>
  <si>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</si>
  <si>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</si>
  <si>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</si>
  <si>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</si>
  <si>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</si>
  <si>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</si>
  <si>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</si>
  <si>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</si>
  <si>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</si>
  <si>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</si>
  <si>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</si>
  <si>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</si>
  <si>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</si>
  <si>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</si>
  <si>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</si>
  <si>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</si>
  <si>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</si>
  <si>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</si>
  <si>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</si>
  <si>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</si>
  <si>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</si>
  <si>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</si>
  <si>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</si>
  <si>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</si>
  <si>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</si>
  <si>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</si>
  <si>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</si>
  <si>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</si>
  <si>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</si>
  <si>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</si>
  <si>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</si>
  <si>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</si>
  <si>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</si>
  <si>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</si>
  <si>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</si>
  <si>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</si>
  <si>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</si>
  <si>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</si>
  <si>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</si>
  <si>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</si>
  <si>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</si>
  <si>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</si>
  <si>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</si>
  <si>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</si>
  <si>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</si>
  <si>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</si>
  <si>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</si>
  <si>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</si>
  <si>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</si>
  <si>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</si>
  <si>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</si>
  <si>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</si>
  <si>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</si>
  <si>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</si>
  <si>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</si>
  <si>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</si>
  <si>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</si>
  <si>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</si>
  <si>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</si>
  <si>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</si>
  <si>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</si>
  <si>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</si>
  <si>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</si>
  <si>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</si>
  <si>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</si>
  <si>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</si>
  <si>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</si>
  <si>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</si>
  <si>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</si>
  <si>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</si>
  <si>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</si>
  <si>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</si>
  <si>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</si>
  <si>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</si>
  <si>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</si>
  <si>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</si>
  <si>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</si>
  <si>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</si>
  <si>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</si>
  <si>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</si>
  <si>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</si>
  <si>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</si>
  <si>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</si>
  <si>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</si>
  <si>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</si>
  <si>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</si>
  <si>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</si>
  <si>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</si>
  <si>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</si>
  <si>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</si>
  <si>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</si>
  <si>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</si>
  <si>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</si>
  <si>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</si>
  <si>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</si>
  <si>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</si>
  <si>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</si>
  <si>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</si>
  <si>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</si>
  <si>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</si>
  <si>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</si>
  <si>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</si>
  <si>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</si>
  <si>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</si>
  <si>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</si>
  <si>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</si>
  <si>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</si>
  <si>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</si>
  <si>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</si>
  <si>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</si>
  <si>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</si>
  <si>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</si>
  <si>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</si>
  <si>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</si>
  <si>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</si>
  <si>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</si>
  <si>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</si>
  <si>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</si>
  <si>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</si>
  <si>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</si>
  <si>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</si>
  <si>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</si>
  <si>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</si>
  <si>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</si>
  <si>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</si>
  <si>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</si>
  <si>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</si>
  <si>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</si>
  <si>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</si>
  <si>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</si>
  <si>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</si>
  <si>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</si>
  <si>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</si>
  <si>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</si>
  <si>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</si>
  <si>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</si>
  <si>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</si>
  <si>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</si>
  <si>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</si>
  <si>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</si>
  <si>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</si>
  <si>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</si>
  <si>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</si>
  <si>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</si>
  <si>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</si>
  <si>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</si>
  <si>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</si>
  <si>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</si>
  <si>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</si>
  <si>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</si>
  <si>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</si>
  <si>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</si>
  <si>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</si>
  <si>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</si>
  <si>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</si>
  <si>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</si>
  <si>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</si>
  <si>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</si>
  <si>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</si>
  <si>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</si>
  <si>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</si>
  <si>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</si>
  <si>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</si>
  <si>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</si>
  <si>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</si>
  <si>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</si>
  <si>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</si>
  <si>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</si>
  <si>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</si>
  <si>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</si>
  <si>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</si>
  <si>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</si>
  <si>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</si>
  <si>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</si>
  <si>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</si>
  <si>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</si>
  <si>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</si>
  <si>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</si>
  <si>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</si>
  <si>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</si>
  <si>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</si>
  <si>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</si>
  <si>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</si>
  <si>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</si>
  <si>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</si>
  <si>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</si>
  <si>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</si>
  <si>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</si>
  <si>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</si>
  <si>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</si>
  <si>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</si>
  <si>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</si>
  <si>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</si>
  <si>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</si>
  <si>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</si>
  <si>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</si>
  <si>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</si>
  <si>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</si>
  <si>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</si>
  <si>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</si>
  <si>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</si>
  <si>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</si>
  <si>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</si>
  <si>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</si>
  <si>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</si>
  <si>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</si>
  <si>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</si>
  <si>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</si>
  <si>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</si>
  <si>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</si>
  <si>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</si>
  <si>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</si>
  <si>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</si>
  <si>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</si>
  <si>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</si>
  <si>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</si>
  <si>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</si>
  <si>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</si>
  <si>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</si>
  <si>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</si>
  <si>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</si>
  <si>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</si>
  <si>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</si>
  <si>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</si>
  <si>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</si>
  <si>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</si>
  <si>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</si>
  <si>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</si>
  <si>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</si>
  <si>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</si>
  <si>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</si>
  <si>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</si>
  <si>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</si>
  <si>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</si>
  <si>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</si>
  <si>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</si>
  <si>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</si>
  <si>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</si>
  <si>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</si>
  <si>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</si>
  <si>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</si>
  <si>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</si>
  <si>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</si>
  <si>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</si>
  <si>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</si>
  <si>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</si>
  <si>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</si>
  <si>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</si>
  <si>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</si>
  <si>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</si>
  <si>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</si>
  <si>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</si>
  <si>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</si>
  <si>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</si>
  <si>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</si>
  <si>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</si>
  <si>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</si>
  <si>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</si>
  <si>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</si>
  <si>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</si>
  <si>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</si>
  <si>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</si>
  <si>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</si>
  <si>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</si>
  <si>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</si>
  <si>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</si>
  <si>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</si>
  <si>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</si>
  <si>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</si>
  <si>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</si>
  <si>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</si>
  <si>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</si>
  <si>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</si>
  <si>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</si>
  <si>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</si>
  <si>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</si>
  <si>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</si>
  <si>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</si>
  <si>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</si>
  <si>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</si>
  <si>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</si>
  <si>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</si>
  <si>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</si>
  <si>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</si>
  <si>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</si>
  <si>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</si>
  <si>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</si>
  <si>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</si>
  <si>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</si>
  <si>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</si>
  <si>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</si>
  <si>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</si>
  <si>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</si>
  <si>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</si>
  <si>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</si>
  <si>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</si>
  <si>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</si>
  <si>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</si>
  <si>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</si>
  <si>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</si>
  <si>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</si>
  <si>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</si>
  <si>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</si>
  <si>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</si>
  <si>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</si>
  <si>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</si>
  <si>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</si>
  <si>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</si>
  <si>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</si>
  <si>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</si>
  <si>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</si>
  <si>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</si>
  <si>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</si>
  <si>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</si>
  <si>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</si>
  <si>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</si>
  <si>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</si>
  <si>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</si>
  <si>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</si>
  <si>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</si>
  <si>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</si>
  <si>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</si>
  <si>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</si>
  <si>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</si>
  <si>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</si>
  <si>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</si>
  <si>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</si>
  <si>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</si>
  <si>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</si>
  <si>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</si>
  <si>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</si>
  <si>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</si>
  <si>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</si>
  <si>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</si>
  <si>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</si>
  <si>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</si>
  <si>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</si>
  <si>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</si>
  <si>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</si>
  <si>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</si>
  <si>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</si>
  <si>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</si>
  <si>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</si>
  <si>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</si>
  <si>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</si>
  <si>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</si>
  <si>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</si>
  <si>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</si>
  <si>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</si>
  <si>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</si>
  <si>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</si>
  <si>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</si>
  <si>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</si>
  <si>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</si>
  <si>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</si>
  <si>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</si>
  <si>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</si>
  <si>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</si>
  <si>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</si>
  <si>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</si>
  <si>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</si>
  <si>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</si>
  <si>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</si>
  <si>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</si>
  <si>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</si>
  <si>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</si>
  <si>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</si>
  <si>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</si>
  <si>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</si>
  <si>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</si>
  <si>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</si>
  <si>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</si>
  <si>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</si>
  <si>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</si>
  <si>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</si>
  <si>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</si>
  <si>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</si>
  <si>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</si>
  <si>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</si>
  <si>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</si>
  <si>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</si>
  <si>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</si>
  <si>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</si>
  <si>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</si>
  <si>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</si>
  <si>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</si>
  <si>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</si>
  <si>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</si>
  <si>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</si>
  <si>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</si>
  <si>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</si>
  <si>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</si>
  <si>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</si>
  <si>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</si>
  <si>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</si>
  <si>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</si>
  <si>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</si>
  <si>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</si>
  <si>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</si>
  <si>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</si>
  <si>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</si>
  <si>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</si>
  <si>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</si>
  <si>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</si>
  <si>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</si>
  <si>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</si>
  <si>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</si>
  <si>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</si>
  <si>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</si>
  <si>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</si>
  <si>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</si>
  <si>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</si>
  <si>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</si>
  <si>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</si>
  <si>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</si>
  <si>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</si>
  <si>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</si>
  <si>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</si>
  <si>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</si>
  <si>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</si>
  <si>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</si>
  <si>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</si>
  <si>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</si>
  <si>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</si>
  <si>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</si>
  <si>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</si>
  <si>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</si>
  <si>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</si>
  <si>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</si>
  <si>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</si>
  <si>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</si>
  <si>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</si>
  <si>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</si>
  <si>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</si>
  <si>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</si>
  <si>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</si>
  <si>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</si>
  <si>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</si>
  <si>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</si>
  <si>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</si>
  <si>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</si>
  <si>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</si>
  <si>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</si>
  <si>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</si>
  <si>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</si>
  <si>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</si>
  <si>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</si>
  <si>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</si>
  <si>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</si>
  <si>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</si>
  <si>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</si>
  <si>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</si>
  <si>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</si>
  <si>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</si>
  <si>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</si>
  <si>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</si>
  <si>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</si>
  <si>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</si>
  <si>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</si>
  <si>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</si>
  <si>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</si>
  <si>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</si>
  <si>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</si>
  <si>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</si>
  <si>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</si>
  <si>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</si>
  <si>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</si>
  <si>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</si>
  <si>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</si>
  <si>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</si>
  <si>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</si>
  <si>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</si>
  <si>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</si>
  <si>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</si>
  <si>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</si>
  <si>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</si>
  <si>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</si>
  <si>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</si>
  <si>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</si>
  <si>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</si>
  <si>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</si>
  <si>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</si>
  <si>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</si>
  <si>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</si>
  <si>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</si>
  <si>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</si>
  <si>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</si>
  <si>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</si>
  <si>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</si>
  <si>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</si>
  <si>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</si>
  <si>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</si>
  <si>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</si>
  <si>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</si>
  <si>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</si>
  <si>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</si>
  <si>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</si>
  <si>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</si>
  <si>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</si>
  <si>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</si>
  <si>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</si>
  <si>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</si>
  <si>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</si>
  <si>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</si>
  <si>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</si>
  <si>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</si>
  <si>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</si>
  <si>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</si>
  <si>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</si>
  <si>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</si>
  <si>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</si>
  <si>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</si>
  <si>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</si>
  <si>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</si>
  <si>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</si>
  <si>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</si>
  <si>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</si>
  <si>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</si>
  <si>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</si>
  <si>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</si>
  <si>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</si>
  <si>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</si>
  <si>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</si>
  <si>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</si>
  <si>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</si>
  <si>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</si>
  <si>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</si>
  <si>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</si>
  <si>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</si>
  <si>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</si>
  <si>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</si>
  <si>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</si>
  <si>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</si>
  <si>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</si>
  <si>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</si>
  <si>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</si>
  <si>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</si>
  <si>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</si>
  <si>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</si>
  <si>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</si>
  <si>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</si>
  <si>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</si>
  <si>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</si>
  <si>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</si>
  <si>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</si>
  <si>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</si>
  <si>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</si>
  <si>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</si>
  <si>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</si>
  <si>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</si>
  <si>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</si>
  <si>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</si>
  <si>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</si>
  <si>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</si>
  <si>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</si>
  <si>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</si>
  <si>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</si>
  <si>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</si>
  <si>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</si>
  <si>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</si>
  <si>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</si>
  <si>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</si>
  <si>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</si>
  <si>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</si>
  <si>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</si>
  <si>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</si>
  <si>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</si>
  <si>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</si>
  <si>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</si>
  <si>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</si>
  <si>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</si>
  <si>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</si>
  <si>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</si>
  <si>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</si>
  <si>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</si>
  <si>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</si>
  <si>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</si>
  <si>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</si>
  <si>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</si>
  <si>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</si>
  <si>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</si>
  <si>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</si>
  <si>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</si>
  <si>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</si>
  <si>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</si>
  <si>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</si>
  <si>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</si>
  <si>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</si>
  <si>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</si>
  <si>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</si>
  <si>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</si>
  <si>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</si>
  <si>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</si>
  <si>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</si>
  <si>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</si>
  <si>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</si>
  <si>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</si>
  <si>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</si>
  <si>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</si>
  <si>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</si>
  <si>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</si>
  <si>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</si>
  <si>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</si>
  <si>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</si>
  <si>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</si>
  <si>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</si>
  <si>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</si>
  <si>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</si>
  <si>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</si>
  <si>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</si>
  <si>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</si>
  <si>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</si>
  <si>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</si>
  <si>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</si>
  <si>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</si>
  <si>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</si>
  <si>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</si>
  <si>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</si>
  <si>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</si>
  <si>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</si>
  <si>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</si>
  <si>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</si>
  <si>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</si>
  <si>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</si>
  <si>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</si>
  <si>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</si>
  <si>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</si>
  <si>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</si>
  <si>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</si>
  <si>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</si>
  <si>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</si>
  <si>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</si>
  <si>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</si>
  <si>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</si>
  <si>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</si>
  <si>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</si>
  <si>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</si>
  <si>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</si>
  <si>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</si>
  <si>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</si>
  <si>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</si>
  <si>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</si>
  <si>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</si>
  <si>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</si>
  <si>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</si>
  <si>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</si>
  <si>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</si>
  <si>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</si>
  <si>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</si>
  <si>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</si>
  <si>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</si>
  <si>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</si>
  <si>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</si>
  <si>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</si>
  <si>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</si>
  <si>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</si>
  <si>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</si>
  <si>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</si>
  <si>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</si>
  <si>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</si>
  <si>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</si>
  <si>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</si>
  <si>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</si>
  <si>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</si>
  <si>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</si>
  <si>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</si>
  <si>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</si>
  <si>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</si>
  <si>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</si>
  <si>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</si>
  <si>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</si>
  <si>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</si>
  <si>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</si>
  <si>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</si>
  <si>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</si>
  <si>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</si>
  <si>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</si>
  <si>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</si>
  <si>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</si>
  <si>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</si>
  <si>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</si>
  <si>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</si>
  <si>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</si>
  <si>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</si>
  <si>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</si>
  <si>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</si>
  <si>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</si>
  <si>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</si>
  <si>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</si>
  <si>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</si>
  <si>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</si>
  <si>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</si>
  <si>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</si>
  <si>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</si>
  <si>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</si>
  <si>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</si>
  <si>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</si>
  <si>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</si>
  <si>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</si>
  <si>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</si>
  <si>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</si>
  <si>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</si>
  <si>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</si>
  <si>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</si>
  <si>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</si>
  <si>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</si>
  <si>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</si>
  <si>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</si>
  <si>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</si>
  <si>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</si>
  <si>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</si>
  <si>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</si>
  <si>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</si>
  <si>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</si>
  <si>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</si>
  <si>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</si>
  <si>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</si>
  <si>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</si>
  <si>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</si>
  <si>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</si>
  <si>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</si>
  <si>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</si>
  <si>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</si>
  <si>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</si>
  <si>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</si>
  <si>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</si>
  <si>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</si>
  <si>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</si>
  <si>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</si>
  <si>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</si>
  <si>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</si>
  <si>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</si>
  <si>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</si>
  <si>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</si>
  <si>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</si>
  <si>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</si>
  <si>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</si>
  <si>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</si>
  <si>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</si>
  <si>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</si>
  <si>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</si>
  <si>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</si>
  <si>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</si>
  <si>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</si>
  <si>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</si>
  <si>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</si>
  <si>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</si>
  <si>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</si>
  <si>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</si>
  <si>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</si>
  <si>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</si>
  <si>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</si>
  <si>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</si>
  <si>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</si>
  <si>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</si>
  <si>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</si>
  <si>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</si>
  <si>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</si>
  <si>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</si>
  <si>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</si>
  <si>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</si>
  <si>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</si>
  <si>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</si>
  <si>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</si>
  <si>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</si>
  <si>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</si>
  <si>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</si>
  <si>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</si>
  <si>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</si>
  <si>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</si>
  <si>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</si>
  <si>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</si>
  <si>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</si>
  <si>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</si>
  <si>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</si>
  <si>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</si>
  <si>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</si>
  <si>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</si>
  <si>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</si>
  <si>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</si>
  <si>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</si>
  <si>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</si>
  <si>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</si>
  <si>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</si>
  <si>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</si>
  <si>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</si>
  <si>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</si>
  <si>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</si>
  <si>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</si>
  <si>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</si>
  <si>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</si>
  <si>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</si>
  <si>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</si>
  <si>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</si>
  <si>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</si>
  <si>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</si>
  <si>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</si>
  <si>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</si>
  <si>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</si>
  <si>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</si>
  <si>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</si>
  <si>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</si>
  <si>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</si>
  <si>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</si>
  <si>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</si>
  <si>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</si>
  <si>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</si>
  <si>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</si>
  <si>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</si>
  <si>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</si>
  <si>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</si>
  <si>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</si>
  <si>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</si>
  <si>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</si>
  <si>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</si>
  <si>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</si>
  <si>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</si>
  <si>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</si>
  <si>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</si>
  <si>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</si>
  <si>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</si>
  <si>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</si>
  <si>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</si>
  <si>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</si>
  <si>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</si>
  <si>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</si>
  <si>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</si>
  <si>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</si>
  <si>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</si>
  <si>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</si>
  <si>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</si>
  <si>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</si>
  <si>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</si>
  <si>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</si>
  <si>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</si>
  <si>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</si>
  <si>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</si>
  <si>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</si>
  <si>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</si>
  <si>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</si>
  <si>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</si>
  <si>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</si>
  <si>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</si>
  <si>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</si>
  <si>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</si>
  <si>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</si>
  <si>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</si>
  <si>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</si>
  <si>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</si>
  <si>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</si>
  <si>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</si>
  <si>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</si>
  <si>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</si>
  <si>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</si>
  <si>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</si>
  <si>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</si>
  <si>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</si>
  <si>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</si>
  <si>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</si>
  <si>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</si>
  <si>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</si>
  <si>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</si>
  <si>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</si>
  <si>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</si>
  <si>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</si>
  <si>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</si>
  <si>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</si>
  <si>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</si>
  <si>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</si>
  <si>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</si>
  <si>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</si>
  <si>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</si>
  <si>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</si>
  <si>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</si>
  <si>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</si>
  <si>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</si>
  <si>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</si>
  <si>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</si>
  <si>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</si>
  <si>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</si>
  <si>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</si>
  <si>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</si>
  <si>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</si>
  <si>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</si>
  <si>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</si>
  <si>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</si>
  <si>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</si>
  <si>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</si>
  <si>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</si>
  <si>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</si>
  <si>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</si>
  <si>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</si>
  <si>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</si>
  <si>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</si>
  <si>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</si>
  <si>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</si>
  <si>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</si>
  <si>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</si>
  <si>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</si>
  <si>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</si>
  <si>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</si>
  <si>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</si>
  <si>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</si>
  <si>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</si>
  <si>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</si>
  <si>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</si>
  <si>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</si>
  <si>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</si>
  <si>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</si>
  <si>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</si>
  <si>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</si>
  <si>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</si>
  <si>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</si>
  <si>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</si>
  <si>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</si>
  <si>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</si>
  <si>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</si>
  <si>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</si>
  <si>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</si>
  <si>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</si>
  <si>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</si>
  <si>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</si>
  <si>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</si>
  <si>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</si>
  <si>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</si>
  <si>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</si>
  <si>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</si>
  <si>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</si>
  <si>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</si>
  <si>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</si>
  <si>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</si>
  <si>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</si>
  <si>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</si>
  <si>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</si>
  <si>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</si>
  <si>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</si>
  <si>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</si>
  <si>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</si>
  <si>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</si>
  <si>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</si>
  <si>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</si>
  <si>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</si>
  <si>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</si>
  <si>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</si>
  <si>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</si>
  <si>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</si>
  <si>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</si>
  <si>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</si>
  <si>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</si>
  <si>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</si>
  <si>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</si>
  <si>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</si>
  <si>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</si>
  <si>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</si>
  <si>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</si>
  <si>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</si>
  <si>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</si>
  <si>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</si>
  <si>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</si>
  <si>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</si>
  <si>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</si>
  <si>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</si>
  <si>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</si>
  <si>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</si>
  <si>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</si>
  <si>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</si>
  <si>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</si>
  <si>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</si>
  <si>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</si>
  <si>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</si>
  <si>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</si>
  <si>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</si>
  <si>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</si>
  <si>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</si>
  <si>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</si>
  <si>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</si>
  <si>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</si>
  <si>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</si>
  <si>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</si>
  <si>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</si>
  <si>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</si>
  <si>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</si>
  <si>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</si>
  <si>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</si>
  <si>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</si>
  <si>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</si>
  <si>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</si>
  <si>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</si>
  <si>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</si>
  <si>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</si>
  <si>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</si>
  <si>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</si>
  <si>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</si>
  <si>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</si>
  <si>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</si>
  <si>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</si>
  <si>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</si>
  <si>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</si>
  <si>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</si>
  <si>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</si>
  <si>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</si>
  <si>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</si>
  <si>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</si>
  <si>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</si>
  <si>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</si>
  <si>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</si>
  <si>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</si>
  <si>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</si>
  <si>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</si>
  <si>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</si>
  <si>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</si>
  <si>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</si>
  <si>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</si>
  <si>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</si>
  <si>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</si>
  <si>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</si>
  <si>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</si>
  <si>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</si>
  <si>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</si>
  <si>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</si>
  <si>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</si>
  <si>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</si>
  <si>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</si>
  <si>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</si>
  <si>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</si>
  <si>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</si>
  <si>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</si>
  <si>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</si>
  <si>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</si>
  <si>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</si>
  <si>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</si>
  <si>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</si>
  <si>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</si>
  <si>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</si>
  <si>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</si>
  <si>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</si>
  <si>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</si>
  <si>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</si>
  <si>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</si>
  <si>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</si>
  <si>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</si>
  <si>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</si>
  <si>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</si>
  <si>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</si>
  <si>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</si>
  <si>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</si>
  <si>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</si>
  <si>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</si>
  <si>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</si>
  <si>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</si>
  <si>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</si>
  <si>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</si>
  <si>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</si>
  <si>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</si>
  <si>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</si>
  <si>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</si>
  <si>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</si>
  <si>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</si>
  <si>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</si>
  <si>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</si>
  <si>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</si>
  <si>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</si>
  <si>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</si>
  <si>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</si>
  <si>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</si>
  <si>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</si>
  <si>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</si>
  <si>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</si>
  <si>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</si>
  <si>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</si>
  <si>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</si>
  <si>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</si>
  <si>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</si>
  <si>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</si>
  <si>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</si>
  <si>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</si>
  <si>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</si>
  <si>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</si>
  <si>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</si>
  <si>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</si>
  <si>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</si>
  <si>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</si>
  <si>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</si>
  <si>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</si>
  <si>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</si>
  <si>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</si>
  <si>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</si>
  <si>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</si>
  <si>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</si>
  <si>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</si>
  <si>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</si>
  <si>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</si>
  <si>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</si>
  <si>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</si>
  <si>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</si>
  <si>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</si>
  <si>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</si>
  <si>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</si>
  <si>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</si>
  <si>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</si>
  <si>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</si>
  <si>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</si>
  <si>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</si>
  <si>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</si>
  <si>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</si>
  <si>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</si>
  <si>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</si>
  <si>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</si>
  <si>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</si>
  <si>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</si>
  <si>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</si>
  <si>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</si>
  <si>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</si>
  <si>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</si>
  <si>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</si>
  <si>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</si>
  <si>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</si>
  <si>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</si>
  <si>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</si>
  <si>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</si>
  <si>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</si>
  <si>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</si>
  <si>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</si>
  <si>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</si>
  <si>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</si>
  <si>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</si>
  <si>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</si>
  <si>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</si>
  <si>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</si>
  <si>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</si>
  <si>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</si>
  <si>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</si>
  <si>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</si>
  <si>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</si>
  <si>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</si>
  <si>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</si>
  <si>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</si>
  <si>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</si>
  <si>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</si>
  <si>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</si>
  <si>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</si>
  <si>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</si>
  <si>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</si>
  <si>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</si>
  <si>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</si>
  <si>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</si>
  <si>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</si>
  <si>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</si>
  <si>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</si>
  <si>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</si>
  <si>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</si>
  <si>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</si>
  <si>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</si>
  <si>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</si>
  <si>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</si>
  <si>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</si>
  <si>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</si>
  <si>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</si>
  <si>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</si>
  <si>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</si>
  <si>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</si>
  <si>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</si>
  <si>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</si>
  <si>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</si>
  <si>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</si>
  <si>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</si>
  <si>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</si>
  <si>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</si>
  <si>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</si>
  <si>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</si>
  <si>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</si>
  <si>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</si>
  <si>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</si>
  <si>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</si>
  <si>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</si>
  <si>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</si>
  <si>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</si>
  <si>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</si>
  <si>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</si>
  <si>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</si>
  <si>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</si>
  <si>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</si>
  <si>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</si>
  <si>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</si>
  <si>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</si>
  <si>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</si>
  <si>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</si>
  <si>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</si>
  <si>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</si>
  <si>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</si>
  <si>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</si>
  <si>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</si>
  <si>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</si>
  <si>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</si>
  <si>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</si>
  <si>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</si>
  <si>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</si>
  <si>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</si>
  <si>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</si>
  <si>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</si>
  <si>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</si>
  <si>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</si>
  <si>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</si>
  <si>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</si>
  <si>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</si>
  <si>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</si>
  <si>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</si>
  <si>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</si>
  <si>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</si>
  <si>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</si>
  <si>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</si>
  <si>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</si>
  <si>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</si>
  <si>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</si>
  <si>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</si>
  <si>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</si>
  <si>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</si>
  <si>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</si>
  <si>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</si>
  <si>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</si>
  <si>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</si>
  <si>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</si>
  <si>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</si>
  <si>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</si>
  <si>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</si>
  <si>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</si>
  <si>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</si>
  <si>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</si>
  <si>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</si>
  <si>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</si>
  <si>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</si>
  <si>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</si>
  <si>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</si>
  <si>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</si>
  <si>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</si>
  <si>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</si>
  <si>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</si>
  <si>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</si>
  <si>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</si>
  <si>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</si>
  <si>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</si>
  <si>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</si>
  <si>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</si>
  <si>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</si>
  <si>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</si>
  <si>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</si>
  <si>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</si>
  <si>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</si>
  <si>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</si>
  <si>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</si>
  <si>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</si>
  <si>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</si>
  <si>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</si>
  <si>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</si>
  <si>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</si>
  <si>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</si>
  <si>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</si>
  <si>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</si>
  <si>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</si>
  <si>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</si>
  <si>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</si>
  <si>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</si>
  <si>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</si>
  <si>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</si>
  <si>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</si>
  <si>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</si>
  <si>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</si>
  <si>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</si>
  <si>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</si>
  <si>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</si>
  <si>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</si>
  <si>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</si>
  <si>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</si>
  <si>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</si>
  <si>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</si>
  <si>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</si>
  <si>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</si>
  <si>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</si>
  <si>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</si>
  <si>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</si>
  <si>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</si>
  <si>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</si>
  <si>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</si>
  <si>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</si>
  <si>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</si>
  <si>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</si>
  <si>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</si>
  <si>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</si>
  <si>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</si>
  <si>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</si>
  <si>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</si>
  <si>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</si>
  <si>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</si>
  <si>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</si>
  <si>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</si>
  <si>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</si>
  <si>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</si>
  <si>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</si>
  <si>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</si>
  <si>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</si>
  <si>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</si>
  <si>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</si>
  <si>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</si>
  <si>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</si>
  <si>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</si>
  <si>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</si>
  <si>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</si>
  <si>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</si>
  <si>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</si>
  <si>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</si>
  <si>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</si>
  <si>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</si>
  <si>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</si>
  <si>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</si>
  <si>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</si>
  <si>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</si>
  <si>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</si>
  <si>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</si>
  <si>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</si>
  <si>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</si>
  <si>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</si>
  <si>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</si>
  <si>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</si>
  <si>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</si>
  <si>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</si>
  <si>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</si>
  <si>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</si>
  <si>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</si>
  <si>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</si>
  <si>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</si>
  <si>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</si>
  <si>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</si>
  <si>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</si>
  <si>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</si>
  <si>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</si>
  <si>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</si>
  <si>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</si>
  <si>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</si>
  <si>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</si>
  <si>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</si>
  <si>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</si>
  <si>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</si>
  <si>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</si>
  <si>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</si>
  <si>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</si>
  <si>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</si>
  <si>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</si>
  <si>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</si>
  <si>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</si>
  <si>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</si>
  <si>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</si>
  <si>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</si>
  <si>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</si>
  <si>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</si>
  <si>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</si>
  <si>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</si>
  <si>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</si>
  <si>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</si>
  <si>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</si>
  <si>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</si>
  <si>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</si>
  <si>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</si>
  <si>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</si>
  <si>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</si>
  <si>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</si>
  <si>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</si>
  <si>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</si>
  <si>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</si>
  <si>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</si>
  <si>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</si>
  <si>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</si>
  <si>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</si>
  <si>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</si>
  <si>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</si>
  <si>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</si>
  <si>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</si>
  <si>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</si>
  <si>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</si>
  <si>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</si>
  <si>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</si>
  <si>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</si>
  <si>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</si>
  <si>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</si>
  <si>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</si>
  <si>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</si>
  <si>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</si>
  <si>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</si>
  <si>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</si>
  <si>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</si>
  <si>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</si>
  <si>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</si>
  <si>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</si>
  <si>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</si>
  <si>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</si>
  <si>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</si>
  <si>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</si>
  <si>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</si>
  <si>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</si>
  <si>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</si>
  <si>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</si>
  <si>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</si>
  <si>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</si>
  <si>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</si>
  <si>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</si>
  <si>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</si>
  <si>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</si>
  <si>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</si>
  <si>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</si>
  <si>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</si>
  <si>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</si>
  <si>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</si>
  <si>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</si>
  <si>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</si>
  <si>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</si>
  <si>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</si>
  <si>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</si>
  <si>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</si>
  <si>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</si>
  <si>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</si>
  <si>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</si>
  <si>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</si>
  <si>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</si>
  <si>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</si>
  <si>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</si>
  <si>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</si>
  <si>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</si>
  <si>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</si>
  <si>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</si>
  <si>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</si>
  <si>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</si>
  <si>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</si>
  <si>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</si>
  <si>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</si>
  <si>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</si>
  <si>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</si>
  <si>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</si>
  <si>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</si>
  <si>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</si>
  <si>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</si>
  <si>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</si>
  <si>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</si>
  <si>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</si>
  <si>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</si>
  <si>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</si>
  <si>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</si>
  <si>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</si>
  <si>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</si>
  <si>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</si>
  <si>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</si>
  <si>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</si>
  <si>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</si>
  <si>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</si>
  <si>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</si>
  <si>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</si>
  <si>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</si>
  <si>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</si>
  <si>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</si>
  <si>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</si>
  <si>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</si>
  <si>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</si>
  <si>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</si>
  <si>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</si>
  <si>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</si>
  <si>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</si>
  <si>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</si>
  <si>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</si>
  <si>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</si>
  <si>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</si>
  <si>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</si>
  <si>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</si>
  <si>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</si>
  <si>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</si>
  <si>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</si>
  <si>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</si>
  <si>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</si>
  <si>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</si>
  <si>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</si>
  <si>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</si>
  <si>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</si>
  <si>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</si>
  <si>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</si>
  <si>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</si>
  <si>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</si>
  <si>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</si>
  <si>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</si>
  <si>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</si>
  <si>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</si>
  <si>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</si>
  <si>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</si>
  <si>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</si>
  <si>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</si>
  <si>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</si>
  <si>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</si>
  <si>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</si>
  <si>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</si>
  <si>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</si>
  <si>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</si>
  <si>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</si>
  <si>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</si>
  <si>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</si>
  <si>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</si>
  <si>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</si>
  <si>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</si>
  <si>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</si>
  <si>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</si>
  <si>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</si>
  <si>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</si>
  <si>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</si>
  <si>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</si>
  <si>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</si>
  <si>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</si>
  <si>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</si>
  <si>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</si>
  <si>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</si>
  <si>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</si>
  <si>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</si>
  <si>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</si>
  <si>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</si>
  <si>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</si>
  <si>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</si>
  <si>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</si>
  <si>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</si>
  <si>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</si>
  <si>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</si>
  <si>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</si>
  <si>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</si>
  <si>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</si>
  <si>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</si>
  <si>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</si>
  <si>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</si>
  <si>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</si>
  <si>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</si>
  <si>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</si>
  <si>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</si>
  <si>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</si>
  <si>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</si>
  <si>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</si>
  <si>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</si>
  <si>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</si>
  <si>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</si>
  <si>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</si>
  <si>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</si>
  <si>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</si>
  <si>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</si>
  <si>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</si>
  <si>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</si>
  <si>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</si>
  <si>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</si>
  <si>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</si>
  <si>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</si>
  <si>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</si>
  <si>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</si>
  <si>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</si>
  <si>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</si>
  <si>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</si>
  <si>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</si>
  <si>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</si>
  <si>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</si>
  <si>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</si>
  <si>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</si>
  <si>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</si>
  <si>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</si>
  <si>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</si>
  <si>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</si>
  <si>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</si>
  <si>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</si>
  <si>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</si>
  <si>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</si>
  <si>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</si>
  <si>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</si>
  <si>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</si>
  <si>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</si>
  <si>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</si>
  <si>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</si>
  <si>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</si>
  <si>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</si>
  <si>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</si>
  <si>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</si>
  <si>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</si>
  <si>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</si>
  <si>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</si>
  <si>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</si>
  <si>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</si>
  <si>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</si>
  <si>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</si>
  <si>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</si>
  <si>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</si>
  <si>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</si>
  <si>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</si>
  <si>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</si>
  <si>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</si>
  <si>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</si>
  <si>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</si>
  <si>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</si>
  <si>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</si>
  <si>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</si>
  <si>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</si>
  <si>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</si>
  <si>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</si>
  <si>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</si>
  <si>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</si>
  <si>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</si>
  <si>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</si>
  <si>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</si>
  <si>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</si>
  <si>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</si>
  <si>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</si>
  <si>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</si>
  <si>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</si>
  <si>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</si>
  <si>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</si>
  <si>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</si>
  <si>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</si>
  <si>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</si>
  <si>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</si>
  <si>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</si>
  <si>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</si>
  <si>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</si>
  <si>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</si>
  <si>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</si>
  <si>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</si>
  <si>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</si>
  <si>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</si>
  <si>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</si>
  <si>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</si>
  <si>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</si>
  <si>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</si>
  <si>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</si>
  <si>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</si>
  <si>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</si>
  <si>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</si>
  <si>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</si>
  <si>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</si>
  <si>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</si>
  <si>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</si>
  <si>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</si>
  <si>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</si>
  <si>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</si>
  <si>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</si>
  <si>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</si>
  <si>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</si>
  <si>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</si>
  <si>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</si>
  <si>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</si>
  <si>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</si>
  <si>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</si>
  <si>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</si>
  <si>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</si>
  <si>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</si>
  <si>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</si>
  <si>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</si>
  <si>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</si>
  <si>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</si>
  <si>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</si>
  <si>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</si>
  <si>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</si>
  <si>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</si>
  <si>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</si>
  <si>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</si>
  <si>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</si>
  <si>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</si>
  <si>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</si>
  <si>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</si>
  <si>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</si>
  <si>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</si>
  <si>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</si>
  <si>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</si>
  <si>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</si>
  <si>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</si>
  <si>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</si>
  <si>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</si>
  <si>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</si>
  <si>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</si>
  <si>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</si>
  <si>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</si>
  <si>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</si>
  <si>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</si>
  <si>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</si>
  <si>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</si>
  <si>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</si>
  <si>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</si>
  <si>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</si>
  <si>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</si>
  <si>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</si>
  <si>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</si>
  <si>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</si>
  <si>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</si>
  <si>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</si>
  <si>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</si>
  <si>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</si>
  <si>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</si>
  <si>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</si>
  <si>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</si>
  <si>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</si>
  <si>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</si>
  <si>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</si>
  <si>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</si>
  <si>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</si>
  <si>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</si>
  <si>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</si>
  <si>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</si>
  <si>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</si>
  <si>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</si>
  <si>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</si>
  <si>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</si>
  <si>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</si>
  <si>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</si>
  <si>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</si>
  <si>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</si>
  <si>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</si>
  <si>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</si>
  <si>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</si>
  <si>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</si>
  <si>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</si>
  <si>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</si>
  <si>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</si>
  <si>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</si>
  <si>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</si>
  <si>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</si>
  <si>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</si>
  <si>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</si>
  <si>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</si>
  <si>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</si>
  <si>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</si>
  <si>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</si>
  <si>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</si>
  <si>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</si>
  <si>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</si>
  <si>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</si>
  <si>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</si>
  <si>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</si>
  <si>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</si>
  <si>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</si>
  <si>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</si>
  <si>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</si>
  <si>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</si>
  <si>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</si>
  <si>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</si>
  <si>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</si>
  <si>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</si>
  <si>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</si>
  <si>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</si>
  <si>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</si>
  <si>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</si>
  <si>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</si>
  <si>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</si>
  <si>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</si>
  <si>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</si>
  <si>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</si>
  <si>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</si>
  <si>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</si>
  <si>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</si>
  <si>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</si>
  <si>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</si>
  <si>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</si>
  <si>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</si>
  <si>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</si>
  <si>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</si>
  <si>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</si>
  <si>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</si>
  <si>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</si>
  <si>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</si>
  <si>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</si>
  <si>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</si>
  <si>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</si>
  <si>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</si>
  <si>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</si>
  <si>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</si>
  <si>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</si>
  <si>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</si>
  <si>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</si>
  <si>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</si>
  <si>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</si>
  <si>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</si>
  <si>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</si>
  <si>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</si>
  <si>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</si>
  <si>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</si>
  <si>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</si>
  <si>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</si>
  <si>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</si>
  <si>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</si>
  <si>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</si>
  <si>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</si>
  <si>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</si>
  <si>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</si>
  <si>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</si>
  <si>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</si>
  <si>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</si>
  <si>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</si>
  <si>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</si>
  <si>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</si>
  <si>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</si>
  <si>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</si>
  <si>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</si>
  <si>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</si>
  <si>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</si>
  <si>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</si>
  <si>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066-005100</t>
  </si>
  <si>
    <t>tmack@mackcpas.com</t>
  </si>
  <si>
    <t>x</t>
  </si>
  <si>
    <t>Fulton</t>
  </si>
  <si>
    <t>20 W Walnut</t>
  </si>
  <si>
    <t xml:space="preserve">Canton </t>
  </si>
  <si>
    <t>rolf.sivertsen@cantonusd.org</t>
  </si>
  <si>
    <t>Rolf Sivertsen</t>
  </si>
  <si>
    <t>309-647-9411</t>
  </si>
  <si>
    <t>309-649-5036</t>
  </si>
  <si>
    <t>See PDF in Opinion Page with signature</t>
  </si>
  <si>
    <t>Life Safety Bonds 2012</t>
  </si>
  <si>
    <t>Life Safety Bonds 2017</t>
  </si>
  <si>
    <t>Ingersoll Lease</t>
  </si>
  <si>
    <t>Capital Lease</t>
  </si>
  <si>
    <t>ED - DIR BUS SUPPORT - PURCHASED SERVICES</t>
  </si>
  <si>
    <t>FRONTLINE TECHNOLOGIES</t>
  </si>
  <si>
    <t>BRECHT'S DATABASE SOLUTIONS</t>
  </si>
  <si>
    <t>Arbor Management</t>
  </si>
  <si>
    <t>Western Central Illinois Special Education Co-op</t>
  </si>
  <si>
    <t>Western Area Career System</t>
  </si>
  <si>
    <t>Page 10, Acct. #1690 - Miscellaneous receipts</t>
  </si>
  <si>
    <t>Page 14, Acct. #4998 - S.T.E.P. DORS</t>
  </si>
  <si>
    <t>Page 16, Acct. #4190 - Miscellaneous payments</t>
  </si>
  <si>
    <t>Page 18, Acct. #5400 - Bond Agent Fee</t>
  </si>
  <si>
    <t>X</t>
  </si>
  <si>
    <t>UNMODIFIED</t>
  </si>
  <si>
    <t>84.010A</t>
  </si>
  <si>
    <t xml:space="preserve">   PASSED THROUGH ISBE:</t>
  </si>
  <si>
    <t>US DEPARTMENT OF EDUCATION</t>
  </si>
  <si>
    <t xml:space="preserve">     TITLE I - LOW INCOME 2019</t>
  </si>
  <si>
    <t>SPECIAL EDUCATION CLUSTER:</t>
  </si>
  <si>
    <t>84.367A</t>
  </si>
  <si>
    <t>84.027A</t>
  </si>
  <si>
    <t>2019-4300</t>
  </si>
  <si>
    <t>2020-4300</t>
  </si>
  <si>
    <t>2019-4107</t>
  </si>
  <si>
    <t>2020-4107</t>
  </si>
  <si>
    <t>2019-4932</t>
  </si>
  <si>
    <t>2020-4932</t>
  </si>
  <si>
    <t>2019-4400</t>
  </si>
  <si>
    <t>2020-4400</t>
  </si>
  <si>
    <t>2019-4625</t>
  </si>
  <si>
    <t>US DEPARTMENT OF AGRICULTURE</t>
  </si>
  <si>
    <t>84.173A</t>
  </si>
  <si>
    <t>2019-4600</t>
  </si>
  <si>
    <t>2020-4600</t>
  </si>
  <si>
    <t>2020-4999</t>
  </si>
  <si>
    <t>2020-4250</t>
  </si>
  <si>
    <t>2019-4210</t>
  </si>
  <si>
    <t>2020-4210</t>
  </si>
  <si>
    <t>Page 13, Acct. #4399 - School Improvement</t>
  </si>
  <si>
    <t xml:space="preserve">     TITLE I - LOW INCOME 2020</t>
  </si>
  <si>
    <t xml:space="preserve">     TITLE I - SCHOOL IMPROVEMENT</t>
  </si>
  <si>
    <t xml:space="preserve">          TOTAL TITLE I</t>
  </si>
  <si>
    <t>2019-4331</t>
  </si>
  <si>
    <t xml:space="preserve">     TITLE V - RURAL EDUCATION - 2019</t>
  </si>
  <si>
    <t xml:space="preserve">     TITLE V - RURAL EDUCATION - 2020</t>
  </si>
  <si>
    <t xml:space="preserve">     TITLE II - TEACHER QUALITY - 2019</t>
  </si>
  <si>
    <t xml:space="preserve">          TOTAL TITLE V - RURAL EDUCATION</t>
  </si>
  <si>
    <t xml:space="preserve">     TITLE II - TEACHER QUALITY - 2020</t>
  </si>
  <si>
    <t xml:space="preserve">          TOTAL TITLE II - TEACHER QUALITY</t>
  </si>
  <si>
    <t xml:space="preserve">     TITLE IVA - STUDENT SUPPORT</t>
  </si>
  <si>
    <t xml:space="preserve">          TOTAL IVA</t>
  </si>
  <si>
    <t>84.358B</t>
  </si>
  <si>
    <t xml:space="preserve">   </t>
  </si>
  <si>
    <t xml:space="preserve">    OTHER - ESSR FUNDS</t>
  </si>
  <si>
    <t>84.425D</t>
  </si>
  <si>
    <t>2020-4998</t>
  </si>
  <si>
    <t xml:space="preserve">    PASSED THROUGH ISBE:</t>
  </si>
  <si>
    <t xml:space="preserve">       IDEA - ROOM AND BOARD - EXCESS</t>
  </si>
  <si>
    <t xml:space="preserve">       IDEA - ROOM AND BOARD</t>
  </si>
  <si>
    <t>2020-4625</t>
  </si>
  <si>
    <t xml:space="preserve">         TOTAL IDEA - ROOM AND BOARD</t>
  </si>
  <si>
    <t xml:space="preserve">    PASSED THROUGH WCISEC:</t>
  </si>
  <si>
    <t xml:space="preserve">       IDEA - FLOW THROUGH</t>
  </si>
  <si>
    <t xml:space="preserve">         TOTAL IDEA - FLOW THROUGH</t>
  </si>
  <si>
    <t xml:space="preserve">       IDEA - PRESCHOOL FLOW THROUGH</t>
  </si>
  <si>
    <t xml:space="preserve">       IDEA - PRESCHOOLFLOW THROUGH</t>
  </si>
  <si>
    <t>2019-4620</t>
  </si>
  <si>
    <t>2020-4620</t>
  </si>
  <si>
    <t xml:space="preserve">         TOTAL IDEA - PRESCHOOL FLOW THROUGH</t>
  </si>
  <si>
    <t xml:space="preserve">           TOTAL SPECIAL EDUCATION CLUSTER:</t>
  </si>
  <si>
    <t xml:space="preserve">    PASSED THROUGH IL DHS:</t>
  </si>
  <si>
    <t xml:space="preserve">       STEP GRANT</t>
  </si>
  <si>
    <t xml:space="preserve">           TOTAL US DEPARTMENT OF EDUCATION</t>
  </si>
  <si>
    <t xml:space="preserve">    CHILD NUTRITION CLUSTER:</t>
  </si>
  <si>
    <t xml:space="preserve">       PASSED THROUGH DEPARTMENT OF DEFENSE:</t>
  </si>
  <si>
    <t xml:space="preserve">       PASSED THROUGH ISBE:</t>
  </si>
  <si>
    <t xml:space="preserve">         COMMODITY CREDIT (NONCASH)</t>
  </si>
  <si>
    <t xml:space="preserve">         COMMODITY CREDIT (FRESH)</t>
  </si>
  <si>
    <t xml:space="preserve">         NATIONAL SCHOOL LUNCH PROGRAM</t>
  </si>
  <si>
    <t xml:space="preserve">         NSLP EQUIPMENT ASSISTANCE</t>
  </si>
  <si>
    <t>2019-4260</t>
  </si>
  <si>
    <t xml:space="preserve">            TOTAL NATIONAL SCHOOL LUNCH PROGRAM</t>
  </si>
  <si>
    <t xml:space="preserve">         SCHOOL BREAKFAST PROGRAM</t>
  </si>
  <si>
    <t>2019-4220</t>
  </si>
  <si>
    <t>2020-4220</t>
  </si>
  <si>
    <t xml:space="preserve">            TOTAL SCHOOL BREAKFAST PROGRAM</t>
  </si>
  <si>
    <t xml:space="preserve">         SUMMER FOOD SERVICE PROGRAM</t>
  </si>
  <si>
    <t>2020-4225</t>
  </si>
  <si>
    <t xml:space="preserve">                TOTAL CHILD NUTRITION CLUSTER</t>
  </si>
  <si>
    <t xml:space="preserve">        CHILD &amp; ADULT FOOD CARE PROGRAM</t>
  </si>
  <si>
    <t>2019-4215</t>
  </si>
  <si>
    <t>2020-4215</t>
  </si>
  <si>
    <t xml:space="preserve">                   TOTAL US DEPT OF AGRICULTURE</t>
  </si>
  <si>
    <t>US DEPARTMENT OF HEALTH AND HUMAN SVCS</t>
  </si>
  <si>
    <t xml:space="preserve">     PASSED THROUGH IL DHFS</t>
  </si>
  <si>
    <t xml:space="preserve">        MEDICAID MATCHING ADMIN OUTREACH</t>
  </si>
  <si>
    <t>2019-4991</t>
  </si>
  <si>
    <t>2020-4991</t>
  </si>
  <si>
    <t xml:space="preserve">          TOTAL US DHHS</t>
  </si>
  <si>
    <t xml:space="preserve"> TOTAL FEDERAL ASSISTANCE</t>
  </si>
  <si>
    <r>
      <t xml:space="preserve">The accompanying Schedule of Expenditures of Federal Awards includes the federal grant activity of </t>
    </r>
    <r>
      <rPr>
        <b/>
        <sz val="9"/>
        <rFont val="Calibri"/>
        <family val="2"/>
        <scheme val="minor"/>
      </rPr>
      <t>Canton Union School District #66</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</si>
  <si>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Of the federal expenditures presented in the schedule, </t>
    </r>
    <r>
      <rPr>
        <b/>
        <sz val="9"/>
        <rFont val="Calibri"/>
        <family val="2"/>
        <scheme val="minor"/>
      </rPr>
      <t>Canton Union School District #66</t>
    </r>
    <r>
      <rPr>
        <sz val="9"/>
        <rFont val="Calibri"/>
        <family val="2"/>
        <scheme val="minor"/>
      </rPr>
      <t xml:space="preserve"> provided federal awards to subrecipients as follows:</t>
    </r>
  </si>
  <si>
    <t>None</t>
  </si>
  <si>
    <r>
      <t xml:space="preserve">The following amounts were expended in the form of non-cash assistance by Canton Union School District #66 and </t>
    </r>
    <r>
      <rPr>
        <b/>
        <sz val="9"/>
        <rFont val="Calibri"/>
        <family val="2"/>
        <scheme val="minor"/>
      </rPr>
      <t>should be</t>
    </r>
    <r>
      <rPr>
        <sz val="9"/>
        <rFont val="Calibri"/>
        <family val="2"/>
        <scheme val="minor"/>
      </rPr>
      <t xml:space="preserve"> included in the Schedule of Expenditures of Federal Awards:</t>
    </r>
  </si>
  <si>
    <t>10.583, 10.555,10.559</t>
  </si>
  <si>
    <t>Child Nutrition Cluster</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</si>
  <si>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</si>
  <si>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</si>
  <si>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</si>
  <si>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</si>
  <si>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</si>
  <si>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</si>
  <si>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</si>
  <si>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</si>
  <si>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</si>
  <si>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</si>
  <si>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</si>
  <si>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</si>
  <si>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</si>
  <si>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</si>
  <si>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</si>
  <si>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</si>
  <si>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</si>
  <si>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</si>
  <si>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</si>
  <si>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</si>
  <si>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</si>
  <si>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</si>
  <si>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</si>
  <si>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</si>
  <si>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</si>
  <si>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</si>
  <si>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</si>
  <si>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</si>
  <si>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</si>
  <si>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</si>
  <si>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</si>
  <si>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</si>
  <si>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</si>
  <si>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</si>
  <si>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</si>
  <si>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</si>
  <si>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</si>
  <si>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</si>
  <si>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11, Acct. #1999 - Ed - Miscellaneous &amp; reimbursements</t>
  </si>
  <si>
    <t>Page 11, Acct. #1999 - O&amp;M - Miscellaneous &amp; reimbursements</t>
  </si>
  <si>
    <t>Page 11, Acct. #1999 - Transportation - Miscellaneous &amp; reimbursements</t>
  </si>
  <si>
    <t>Page 11, Acct. #1999 - Life Safety - Miscellaneous &amp; reimbursements</t>
  </si>
  <si>
    <t>Page 11, Acct. #1999 - Debt Services - Lease Income</t>
  </si>
  <si>
    <t>Canton Union 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</si>
</sst>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48F6C2F7-FAFE-4ED3-9D6B-F4F34454F365}"/>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10391</xdr:rowOff>
        </xdr:from>
        <xdr:to>
          <xdr:col>1</xdr:col>
          <xdr:colOff>787977</xdr:colOff>
          <xdr:row>8</xdr:row>
          <xdr:rowOff>58882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20782</xdr:rowOff>
        </xdr:from>
        <xdr:to>
          <xdr:col>1</xdr:col>
          <xdr:colOff>787977</xdr:colOff>
          <xdr:row>12</xdr:row>
          <xdr:rowOff>69273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1">
        <f>+'AFR20'!E4</f>
        <v>44119</v>
      </c>
      <c r="C1" s="2191"/>
      <c r="D1" s="2192"/>
      <c r="I1" s="2150" t="s">
        <v>402</v>
      </c>
      <c r="J1" s="2151"/>
      <c r="K1" s="2151"/>
      <c r="L1" s="2151"/>
      <c r="M1" s="2151"/>
      <c r="N1" s="2151"/>
      <c r="O1" s="2151"/>
      <c r="P1" s="2151"/>
      <c r="Q1" s="2151"/>
      <c r="R1" s="2151"/>
      <c r="S1" s="2151"/>
    </row>
    <row r="2" spans="1:32" ht="12" customHeight="1" x14ac:dyDescent="0.2">
      <c r="A2" s="1889" t="str">
        <f>"Due to ISBE on "</f>
        <v xml:space="preserve">Due to ISBE on </v>
      </c>
      <c r="B2" s="2193">
        <f>+'AFR20'!F4</f>
        <v>44151</v>
      </c>
      <c r="C2" s="2193"/>
      <c r="D2" s="2194"/>
      <c r="I2" s="2152" t="s">
        <v>2003</v>
      </c>
      <c r="J2" s="2151"/>
      <c r="K2" s="2151"/>
      <c r="L2" s="2151"/>
      <c r="M2" s="2151"/>
      <c r="N2" s="2151"/>
      <c r="O2" s="2151"/>
      <c r="P2" s="2151"/>
      <c r="Q2" s="2151"/>
      <c r="R2" s="2151"/>
      <c r="S2" s="2151"/>
    </row>
    <row r="3" spans="1:32" ht="12" customHeight="1" x14ac:dyDescent="0.2">
      <c r="A3" s="1892" t="str">
        <f>"SD/JA"&amp;MID('AFR20'!E2,3,2)</f>
        <v>SD/JA20</v>
      </c>
      <c r="B3" s="151"/>
      <c r="C3" s="151"/>
      <c r="D3" s="152"/>
      <c r="I3" s="2152" t="s">
        <v>52</v>
      </c>
      <c r="J3" s="2151"/>
      <c r="K3" s="2151"/>
      <c r="L3" s="2151"/>
      <c r="M3" s="2151"/>
      <c r="N3" s="2151"/>
      <c r="O3" s="2151"/>
      <c r="P3" s="2151"/>
      <c r="Q3" s="2151"/>
      <c r="R3" s="2151"/>
      <c r="S3" s="2151"/>
    </row>
    <row r="4" spans="1:32" ht="12" customHeight="1" x14ac:dyDescent="0.2">
      <c r="A4" s="37"/>
      <c r="I4" s="2152" t="s">
        <v>521</v>
      </c>
      <c r="J4" s="2151"/>
      <c r="K4" s="2151"/>
      <c r="L4" s="2151"/>
      <c r="M4" s="2151"/>
      <c r="N4" s="2151"/>
      <c r="O4" s="2151"/>
      <c r="P4" s="2151"/>
      <c r="Q4" s="2151"/>
      <c r="R4" s="2151"/>
      <c r="S4" s="2151"/>
    </row>
    <row r="5" spans="1:32" ht="14.1" customHeight="1" x14ac:dyDescent="0.2">
      <c r="B5" s="101" t="s">
        <v>2027</v>
      </c>
      <c r="C5" s="26" t="s">
        <v>904</v>
      </c>
      <c r="D5" s="81"/>
      <c r="E5" s="81"/>
      <c r="H5" s="38"/>
      <c r="I5" s="2160" t="s">
        <v>675</v>
      </c>
      <c r="J5" s="2159"/>
      <c r="K5" s="2159"/>
      <c r="L5" s="2159"/>
      <c r="M5" s="2159"/>
      <c r="N5" s="2159"/>
      <c r="O5" s="2159"/>
      <c r="P5" s="2159"/>
      <c r="Q5" s="2159"/>
      <c r="R5" s="2159"/>
      <c r="S5" s="2159"/>
      <c r="AF5" s="1885"/>
    </row>
    <row r="6" spans="1:32" ht="14.1" customHeight="1" x14ac:dyDescent="0.2">
      <c r="B6" s="101"/>
      <c r="C6" s="26" t="s">
        <v>905</v>
      </c>
      <c r="D6" s="81"/>
      <c r="E6" s="81"/>
      <c r="I6" s="2158" t="s">
        <v>877</v>
      </c>
      <c r="J6" s="2159"/>
      <c r="K6" s="2159"/>
      <c r="L6" s="2159"/>
      <c r="M6" s="2159"/>
      <c r="N6" s="2159"/>
      <c r="O6" s="2159"/>
      <c r="P6" s="2159"/>
      <c r="Q6" s="2159"/>
      <c r="R6" s="2159"/>
      <c r="S6" s="2159"/>
    </row>
    <row r="7" spans="1:32" ht="12.2" customHeight="1" x14ac:dyDescent="0.2">
      <c r="I7" s="2153" t="str">
        <f>"June 30, "&amp;'AFR20'!E2</f>
        <v>June 30, 2020</v>
      </c>
      <c r="J7" s="2154"/>
      <c r="K7" s="2154"/>
      <c r="L7" s="2154"/>
      <c r="M7" s="2154"/>
      <c r="N7" s="2154"/>
      <c r="O7" s="2154"/>
      <c r="P7" s="2154"/>
      <c r="Q7" s="2154"/>
      <c r="R7" s="2154"/>
      <c r="S7" s="215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5" t="s">
        <v>669</v>
      </c>
      <c r="J9" s="2156"/>
      <c r="K9" s="2156"/>
      <c r="L9" s="2156"/>
      <c r="M9" s="2156"/>
      <c r="N9" s="2156"/>
      <c r="O9" s="2156"/>
      <c r="P9" s="2156"/>
      <c r="Q9" s="2156"/>
      <c r="R9" s="2156"/>
      <c r="S9" s="2157"/>
      <c r="T9" s="2208" t="s">
        <v>530</v>
      </c>
      <c r="U9" s="2209"/>
      <c r="V9" s="2209"/>
      <c r="W9" s="2209"/>
      <c r="X9" s="2209"/>
      <c r="Y9" s="2209"/>
      <c r="Z9" s="2209"/>
      <c r="AA9" s="2210"/>
    </row>
    <row r="10" spans="1:32" ht="13.5" customHeight="1" x14ac:dyDescent="0.2">
      <c r="A10" s="2215" t="s">
        <v>670</v>
      </c>
      <c r="B10" s="2216"/>
      <c r="C10" s="2216"/>
      <c r="D10" s="2216"/>
      <c r="E10" s="2216"/>
      <c r="F10" s="2216"/>
      <c r="G10" s="2216"/>
      <c r="H10" s="2217"/>
      <c r="I10" s="29"/>
      <c r="J10" s="30"/>
      <c r="K10" s="28"/>
      <c r="R10" s="30"/>
      <c r="S10" s="30"/>
      <c r="T10" s="2211"/>
      <c r="U10" s="2159"/>
      <c r="V10" s="2159"/>
      <c r="W10" s="2159"/>
      <c r="X10" s="2159"/>
      <c r="Y10" s="2159"/>
      <c r="Z10" s="2159"/>
      <c r="AA10" s="2165"/>
    </row>
    <row r="11" spans="1:32" ht="14.25" customHeight="1" x14ac:dyDescent="0.2">
      <c r="A11" s="2218" t="s">
        <v>949</v>
      </c>
      <c r="B11" s="2219"/>
      <c r="C11" s="2219"/>
      <c r="D11" s="2219"/>
      <c r="E11" s="2219"/>
      <c r="F11" s="2219"/>
      <c r="G11" s="2219"/>
      <c r="H11" s="2220"/>
      <c r="I11" s="27"/>
      <c r="J11" s="71"/>
      <c r="K11" s="27"/>
      <c r="O11" s="144" t="s">
        <v>2027</v>
      </c>
      <c r="P11" s="97" t="s">
        <v>199</v>
      </c>
      <c r="Q11" s="30"/>
      <c r="R11" s="28"/>
      <c r="S11" s="27"/>
      <c r="T11" s="2212"/>
      <c r="U11" s="2213"/>
      <c r="V11" s="2213"/>
      <c r="W11" s="2213"/>
      <c r="X11" s="2213"/>
      <c r="Y11" s="2213"/>
      <c r="Z11" s="2213"/>
      <c r="AA11" s="221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1">
        <v>26029066025</v>
      </c>
      <c r="B13" s="2172"/>
      <c r="C13" s="2172"/>
      <c r="D13" s="2172"/>
      <c r="E13" s="2172"/>
      <c r="F13" s="2172"/>
      <c r="G13" s="2172"/>
      <c r="H13" s="2173"/>
      <c r="I13" s="31"/>
      <c r="J13" s="30"/>
      <c r="K13" s="28"/>
      <c r="L13" s="30"/>
      <c r="M13" s="30"/>
      <c r="N13" s="30"/>
      <c r="O13" s="30"/>
      <c r="P13" s="30"/>
      <c r="Q13" s="30"/>
      <c r="R13" s="30"/>
      <c r="S13" s="30"/>
      <c r="T13" s="2177" t="s">
        <v>2018</v>
      </c>
      <c r="U13" s="2178"/>
      <c r="V13" s="2178"/>
      <c r="W13" s="2178"/>
      <c r="X13" s="2178"/>
      <c r="Y13" s="2179"/>
      <c r="Z13" s="2179"/>
      <c r="AA13" s="218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4" t="s">
        <v>2028</v>
      </c>
      <c r="B15" s="2175"/>
      <c r="C15" s="2175"/>
      <c r="D15" s="2175"/>
      <c r="E15" s="2175"/>
      <c r="F15" s="2175"/>
      <c r="G15" s="2175"/>
      <c r="H15" s="2176"/>
      <c r="T15" s="2181" t="s">
        <v>2019</v>
      </c>
      <c r="U15" s="2138"/>
      <c r="V15" s="2138"/>
      <c r="W15" s="2138"/>
      <c r="X15" s="2138"/>
      <c r="Y15" s="2182"/>
      <c r="Z15" s="2182"/>
      <c r="AA15" s="218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4" t="s">
        <v>2187</v>
      </c>
      <c r="B17" s="2145"/>
      <c r="C17" s="2145"/>
      <c r="D17" s="2145"/>
      <c r="E17" s="2145"/>
      <c r="F17" s="2145"/>
      <c r="G17" s="2145"/>
      <c r="H17" s="2170"/>
      <c r="T17" s="2188" t="s">
        <v>2020</v>
      </c>
      <c r="U17" s="2189"/>
      <c r="V17" s="2189"/>
      <c r="W17" s="2189"/>
      <c r="X17" s="2189"/>
      <c r="Y17" s="2189"/>
      <c r="Z17" s="2189"/>
      <c r="AA17" s="2190"/>
    </row>
    <row r="18" spans="1:27" ht="13.5" customHeight="1" x14ac:dyDescent="0.2">
      <c r="A18" s="82" t="s">
        <v>527</v>
      </c>
      <c r="B18" s="73"/>
      <c r="C18" s="69"/>
      <c r="D18" s="73"/>
      <c r="E18" s="73"/>
      <c r="F18" s="73"/>
      <c r="G18" s="73"/>
      <c r="H18" s="53"/>
      <c r="I18" s="216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174" t="s">
        <v>2029</v>
      </c>
      <c r="B19" s="2130"/>
      <c r="C19" s="2130"/>
      <c r="D19" s="2130"/>
      <c r="E19" s="2130"/>
      <c r="F19" s="2130"/>
      <c r="G19" s="2130"/>
      <c r="H19" s="2110"/>
      <c r="I19" s="30"/>
      <c r="J19" s="96"/>
      <c r="K19" s="40"/>
      <c r="L19" s="38"/>
      <c r="M19" s="109" t="s">
        <v>312</v>
      </c>
      <c r="P19" s="27"/>
      <c r="Q19" s="27"/>
      <c r="R19" s="27"/>
      <c r="S19" s="31"/>
      <c r="T19" s="2174" t="s">
        <v>2021</v>
      </c>
      <c r="U19" s="2109"/>
      <c r="V19" s="2109"/>
      <c r="W19" s="2110"/>
      <c r="X19" s="2186" t="s">
        <v>2022</v>
      </c>
      <c r="Y19" s="2187"/>
      <c r="Z19" s="2184">
        <v>60450</v>
      </c>
      <c r="AA19" s="218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8" t="s">
        <v>2030</v>
      </c>
      <c r="B21" s="2109"/>
      <c r="C21" s="2109"/>
      <c r="D21" s="2109"/>
      <c r="E21" s="2109"/>
      <c r="F21" s="2109"/>
      <c r="G21" s="2109"/>
      <c r="H21" s="2110"/>
      <c r="I21" s="2164" t="s">
        <v>673</v>
      </c>
      <c r="J21" s="2159"/>
      <c r="K21" s="2159"/>
      <c r="L21" s="2159"/>
      <c r="M21" s="2159"/>
      <c r="N21" s="2159"/>
      <c r="O21" s="2159"/>
      <c r="P21" s="2159"/>
      <c r="Q21" s="2159"/>
      <c r="R21" s="2159"/>
      <c r="S21" s="2165"/>
      <c r="T21" s="2199" t="s">
        <v>2023</v>
      </c>
      <c r="U21" s="2200"/>
      <c r="V21" s="2200"/>
      <c r="W21" s="2200"/>
      <c r="X21" s="2205" t="s">
        <v>2024</v>
      </c>
      <c r="Y21" s="2206"/>
      <c r="Z21" s="2206"/>
      <c r="AA21" s="2207"/>
    </row>
    <row r="22" spans="1:27" ht="13.5" customHeight="1" x14ac:dyDescent="0.2">
      <c r="A22" s="84" t="s">
        <v>528</v>
      </c>
      <c r="B22" s="56"/>
      <c r="C22" s="56"/>
      <c r="D22" s="56"/>
      <c r="E22" s="56"/>
      <c r="F22" s="56"/>
      <c r="G22" s="56"/>
      <c r="H22" s="57"/>
      <c r="I22" s="2166" t="s">
        <v>1415</v>
      </c>
      <c r="J22" s="2167"/>
      <c r="K22" s="2167"/>
      <c r="L22" s="2167"/>
      <c r="M22" s="2167"/>
      <c r="N22" s="2167"/>
      <c r="O22" s="2167"/>
      <c r="P22" s="2167"/>
      <c r="Q22" s="2167"/>
      <c r="R22" s="2167"/>
      <c r="S22" s="2168"/>
      <c r="T22" s="82" t="s">
        <v>1502</v>
      </c>
      <c r="U22" s="48"/>
      <c r="V22" s="69"/>
      <c r="W22" s="48"/>
      <c r="X22" s="155" t="s">
        <v>1309</v>
      </c>
      <c r="Z22" s="43"/>
      <c r="AA22" s="44"/>
    </row>
    <row r="23" spans="1:27" ht="13.5" customHeight="1" x14ac:dyDescent="0.2">
      <c r="A23" s="2161" t="s">
        <v>2031</v>
      </c>
      <c r="B23" s="2162"/>
      <c r="C23" s="2162"/>
      <c r="D23" s="2162"/>
      <c r="E23" s="2162"/>
      <c r="F23" s="2162"/>
      <c r="G23" s="2162"/>
      <c r="H23" s="2163"/>
      <c r="T23" s="2144" t="s">
        <v>2025</v>
      </c>
      <c r="U23" s="2198"/>
      <c r="V23" s="2198"/>
      <c r="W23" s="2198"/>
      <c r="X23" s="2202">
        <v>44530</v>
      </c>
      <c r="Y23" s="2203"/>
      <c r="Z23" s="2203"/>
      <c r="AA23" s="2204"/>
    </row>
    <row r="24" spans="1:27" ht="14.1" customHeight="1" x14ac:dyDescent="0.2">
      <c r="A24" s="85" t="s">
        <v>672</v>
      </c>
      <c r="B24" s="46"/>
      <c r="C24" s="46"/>
      <c r="D24" s="46"/>
      <c r="E24" s="46"/>
      <c r="F24" s="46"/>
      <c r="G24" s="46"/>
      <c r="H24" s="58"/>
      <c r="J24" s="2131">
        <f>IF(B5="x",IF(AUDITCHECK!D29="AFR form Incomplete.","",IF(AUDITCHECK!D29="Deficit reduction plan is required.","School District must complete a deficit reduction plan in the 2019-2020 Budget",)),"")</f>
        <v>0</v>
      </c>
      <c r="K24" s="2131"/>
      <c r="L24" s="2131"/>
      <c r="M24" s="2131"/>
      <c r="N24" s="2131"/>
      <c r="O24" s="2131"/>
      <c r="P24" s="2131"/>
      <c r="Q24" s="2131"/>
      <c r="R24" s="2131"/>
      <c r="S24" s="2132"/>
      <c r="T24" s="102" t="s">
        <v>528</v>
      </c>
      <c r="U24" s="103"/>
      <c r="V24" s="103"/>
      <c r="W24" s="103"/>
      <c r="X24" s="104"/>
      <c r="Y24" s="104"/>
      <c r="Z24" s="104"/>
      <c r="AA24" s="105"/>
    </row>
    <row r="25" spans="1:27" ht="14.1" customHeight="1" x14ac:dyDescent="0.2">
      <c r="A25" s="2108">
        <v>61520</v>
      </c>
      <c r="B25" s="2109"/>
      <c r="C25" s="2109"/>
      <c r="D25" s="2109"/>
      <c r="E25" s="2109"/>
      <c r="F25" s="2109"/>
      <c r="G25" s="2109"/>
      <c r="H25" s="2110"/>
      <c r="I25" s="110"/>
      <c r="J25" s="2133"/>
      <c r="K25" s="2133"/>
      <c r="L25" s="2133"/>
      <c r="M25" s="2133"/>
      <c r="N25" s="2133"/>
      <c r="O25" s="2133"/>
      <c r="P25" s="2133"/>
      <c r="Q25" s="2133"/>
      <c r="R25" s="2133"/>
      <c r="S25" s="2134"/>
      <c r="T25" s="2195" t="s">
        <v>2026</v>
      </c>
      <c r="U25" s="2196"/>
      <c r="V25" s="2196"/>
      <c r="W25" s="2196"/>
      <c r="X25" s="2196"/>
      <c r="Y25" s="2196"/>
      <c r="Z25" s="2196"/>
      <c r="AA25" s="219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9" t="s">
        <v>1497</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0"/>
      <c r="Q35" s="2109"/>
      <c r="R35" s="210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4" t="s">
        <v>2032</v>
      </c>
      <c r="B38" s="2145"/>
      <c r="C38" s="2145"/>
      <c r="D38" s="2145"/>
      <c r="E38" s="2145"/>
      <c r="F38" s="2109"/>
      <c r="G38" s="2109"/>
      <c r="H38" s="2110"/>
      <c r="I38" s="2137"/>
      <c r="J38" s="2138"/>
      <c r="K38" s="2138"/>
      <c r="L38" s="2138"/>
      <c r="M38" s="2138"/>
      <c r="N38" s="2138"/>
      <c r="O38" s="2138"/>
      <c r="P38" s="2139"/>
      <c r="Q38" s="2139"/>
      <c r="R38" s="2139"/>
      <c r="S38" s="2140"/>
      <c r="T38" s="2181"/>
      <c r="U38" s="2138"/>
      <c r="V38" s="2138"/>
      <c r="W38" s="2138"/>
      <c r="X38" s="2139"/>
      <c r="Y38" s="2139"/>
      <c r="Z38" s="2139"/>
      <c r="AA38" s="2140"/>
    </row>
    <row r="39" spans="1:27" ht="12" customHeight="1" x14ac:dyDescent="0.2">
      <c r="A39" s="2114" t="s">
        <v>528</v>
      </c>
      <c r="B39" s="2115"/>
      <c r="C39" s="69"/>
      <c r="D39" s="66"/>
      <c r="E39" s="66"/>
      <c r="F39" s="76"/>
      <c r="G39" s="66"/>
      <c r="H39" s="53"/>
      <c r="I39" s="2114" t="s">
        <v>528</v>
      </c>
      <c r="J39" s="2115"/>
      <c r="K39" s="2115"/>
      <c r="L39" s="2115"/>
      <c r="M39" s="2115"/>
      <c r="N39" s="64"/>
      <c r="O39" s="69"/>
      <c r="P39" s="69"/>
      <c r="Q39" s="75"/>
      <c r="R39" s="69"/>
      <c r="S39" s="53"/>
      <c r="T39" s="69" t="s">
        <v>528</v>
      </c>
      <c r="U39" s="48"/>
      <c r="V39" s="69"/>
      <c r="W39" s="47"/>
      <c r="X39" s="75"/>
      <c r="Y39" s="43"/>
      <c r="Z39" s="43"/>
      <c r="AA39" s="44"/>
    </row>
    <row r="40" spans="1:27" ht="13.5" customHeight="1" x14ac:dyDescent="0.2">
      <c r="A40" s="2122" t="s">
        <v>2031</v>
      </c>
      <c r="B40" s="2123"/>
      <c r="C40" s="2124"/>
      <c r="D40" s="2124"/>
      <c r="E40" s="2124"/>
      <c r="F40" s="2125"/>
      <c r="G40" s="2125"/>
      <c r="H40" s="2126"/>
      <c r="I40" s="2147"/>
      <c r="J40" s="2148"/>
      <c r="K40" s="2148"/>
      <c r="L40" s="2148"/>
      <c r="M40" s="2148"/>
      <c r="N40" s="2148"/>
      <c r="O40" s="2148"/>
      <c r="P40" s="2148"/>
      <c r="Q40" s="2148"/>
      <c r="R40" s="2148"/>
      <c r="S40" s="2149"/>
      <c r="T40" s="2147"/>
      <c r="U40" s="2201"/>
      <c r="V40" s="2148"/>
      <c r="W40" s="2148"/>
      <c r="X40" s="2148"/>
      <c r="Y40" s="2148"/>
      <c r="Z40" s="2148"/>
      <c r="AA40" s="214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6" t="s">
        <v>2033</v>
      </c>
      <c r="B42" s="2128"/>
      <c r="C42" s="2129"/>
      <c r="D42" s="2127" t="s">
        <v>2034</v>
      </c>
      <c r="E42" s="2128"/>
      <c r="F42" s="2128"/>
      <c r="G42" s="2128"/>
      <c r="H42" s="2129"/>
      <c r="I42" s="2111"/>
      <c r="J42" s="2112"/>
      <c r="K42" s="2112"/>
      <c r="L42" s="2112"/>
      <c r="M42" s="2112"/>
      <c r="N42" s="2112"/>
      <c r="O42" s="2113"/>
      <c r="P42" s="2146"/>
      <c r="Q42" s="2112"/>
      <c r="R42" s="2112"/>
      <c r="S42" s="2113"/>
      <c r="T42" s="2111"/>
      <c r="U42" s="2112"/>
      <c r="V42" s="2112"/>
      <c r="W42" s="2113"/>
      <c r="X42" s="2146"/>
      <c r="Y42" s="2112"/>
      <c r="Z42" s="2112"/>
      <c r="AA42" s="211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1"/>
      <c r="B44" s="2142"/>
      <c r="C44" s="2142"/>
      <c r="D44" s="2142"/>
      <c r="E44" s="2142"/>
      <c r="F44" s="2142"/>
      <c r="G44" s="2142"/>
      <c r="H44" s="2143"/>
      <c r="I44" s="2116"/>
      <c r="J44" s="2117"/>
      <c r="K44" s="2117"/>
      <c r="L44" s="2117"/>
      <c r="M44" s="2117"/>
      <c r="N44" s="2117"/>
      <c r="O44" s="2117"/>
      <c r="P44" s="2117"/>
      <c r="Q44" s="2117"/>
      <c r="R44" s="2117"/>
      <c r="S44" s="2118"/>
      <c r="T44" s="2116"/>
      <c r="U44" s="2135"/>
      <c r="V44" s="2135"/>
      <c r="W44" s="2135"/>
      <c r="X44" s="2135"/>
      <c r="Y44" s="2135"/>
      <c r="Z44" s="2117"/>
      <c r="AA44" s="211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9"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0"/>
      <c r="B3" s="1339"/>
      <c r="C3" s="1340"/>
      <c r="D3" s="1341" t="s">
        <v>254</v>
      </c>
      <c r="E3" s="1340"/>
      <c r="F3" s="1341" t="s">
        <v>255</v>
      </c>
    </row>
    <row r="4" spans="1:8" ht="13.7" customHeight="1" x14ac:dyDescent="0.2">
      <c r="A4" s="579" t="s">
        <v>1147</v>
      </c>
      <c r="B4" s="1771">
        <f>'Revenues 9-14'!C5</f>
        <v>3923938</v>
      </c>
      <c r="C4" s="1772"/>
      <c r="D4" s="1773">
        <f>B4-C4</f>
        <v>3923938</v>
      </c>
      <c r="E4" s="1772">
        <v>4092485</v>
      </c>
      <c r="F4" s="1773">
        <f>E4-C4</f>
        <v>4092485</v>
      </c>
    </row>
    <row r="5" spans="1:8" ht="13.7" customHeight="1" x14ac:dyDescent="0.2">
      <c r="A5" s="579" t="s">
        <v>865</v>
      </c>
      <c r="B5" s="1774">
        <f>'Revenues 9-14'!D5</f>
        <v>1066286</v>
      </c>
      <c r="C5" s="1714"/>
      <c r="D5" s="1775">
        <f t="shared" ref="D5:D18" si="0">B5-C5</f>
        <v>1066286</v>
      </c>
      <c r="E5" s="1714">
        <v>1112088</v>
      </c>
      <c r="F5" s="1775">
        <f>E5-C5</f>
        <v>1112088</v>
      </c>
    </row>
    <row r="6" spans="1:8" ht="13.7" customHeight="1" x14ac:dyDescent="0.2">
      <c r="A6" s="579" t="s">
        <v>408</v>
      </c>
      <c r="B6" s="1774">
        <f>'Revenues 9-14'!E5</f>
        <v>789263</v>
      </c>
      <c r="C6" s="1714"/>
      <c r="D6" s="1775">
        <f t="shared" si="0"/>
        <v>789263</v>
      </c>
      <c r="E6" s="1714">
        <v>792919</v>
      </c>
      <c r="F6" s="1775">
        <f t="shared" ref="F6:F18" si="1">E6-C6</f>
        <v>792919</v>
      </c>
    </row>
    <row r="7" spans="1:8" ht="13.7" customHeight="1" x14ac:dyDescent="0.2">
      <c r="A7" s="579" t="s">
        <v>154</v>
      </c>
      <c r="B7" s="1774">
        <f>'Revenues 9-14'!F5</f>
        <v>426509</v>
      </c>
      <c r="C7" s="1714"/>
      <c r="D7" s="1775">
        <f t="shared" si="0"/>
        <v>426509</v>
      </c>
      <c r="E7" s="1714">
        <v>444835</v>
      </c>
      <c r="F7" s="1775">
        <f t="shared" si="1"/>
        <v>444835</v>
      </c>
    </row>
    <row r="8" spans="1:8" ht="13.7" customHeight="1" x14ac:dyDescent="0.2">
      <c r="A8" s="579" t="s">
        <v>1171</v>
      </c>
      <c r="B8" s="1774">
        <f>'Revenues 9-14'!G5</f>
        <v>427365</v>
      </c>
      <c r="C8" s="1714"/>
      <c r="D8" s="1775">
        <f t="shared" si="0"/>
        <v>427365</v>
      </c>
      <c r="E8" s="1714">
        <v>430156</v>
      </c>
      <c r="F8" s="1775">
        <f t="shared" si="1"/>
        <v>430156</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106625</v>
      </c>
      <c r="C10" s="1714"/>
      <c r="D10" s="1775">
        <f t="shared" si="0"/>
        <v>106625</v>
      </c>
      <c r="E10" s="1714">
        <v>111209</v>
      </c>
      <c r="F10" s="1775">
        <f t="shared" si="1"/>
        <v>111209</v>
      </c>
    </row>
    <row r="11" spans="1:8" x14ac:dyDescent="0.2">
      <c r="A11" s="579" t="s">
        <v>406</v>
      </c>
      <c r="B11" s="1774">
        <f>'Revenues 9-14'!J5</f>
        <v>1085693</v>
      </c>
      <c r="C11" s="1714"/>
      <c r="D11" s="1775">
        <f t="shared" si="0"/>
        <v>1085693</v>
      </c>
      <c r="E11" s="1714">
        <v>1300031</v>
      </c>
      <c r="F11" s="1775">
        <f t="shared" si="1"/>
        <v>1300031</v>
      </c>
    </row>
    <row r="12" spans="1:8" ht="13.7" customHeight="1" x14ac:dyDescent="0.2">
      <c r="A12" s="579" t="s">
        <v>156</v>
      </c>
      <c r="B12" s="1774">
        <f>'Revenues 9-14'!K5</f>
        <v>106625</v>
      </c>
      <c r="C12" s="1714"/>
      <c r="D12" s="1775">
        <f t="shared" si="0"/>
        <v>106625</v>
      </c>
      <c r="E12" s="1714">
        <v>111209</v>
      </c>
      <c r="F12" s="1775">
        <f t="shared" si="1"/>
        <v>111209</v>
      </c>
    </row>
    <row r="13" spans="1:8" ht="13.7" customHeight="1" x14ac:dyDescent="0.2">
      <c r="A13" s="579" t="s">
        <v>930</v>
      </c>
      <c r="B13" s="1774">
        <f>SUM('Revenues 9-14'!C6:D6)</f>
        <v>106625</v>
      </c>
      <c r="C13" s="1714"/>
      <c r="D13" s="1775">
        <f t="shared" si="0"/>
        <v>106625</v>
      </c>
      <c r="E13" s="1714">
        <v>111209</v>
      </c>
      <c r="F13" s="1775">
        <f t="shared" si="1"/>
        <v>111209</v>
      </c>
    </row>
    <row r="14" spans="1:8" ht="13.7" customHeight="1" x14ac:dyDescent="0.2">
      <c r="A14" s="579" t="s">
        <v>407</v>
      </c>
      <c r="B14" s="1774">
        <f>SUM('Revenues 9-14'!C7:D7,'Revenues 9-14'!F7:H7)</f>
        <v>85302</v>
      </c>
      <c r="C14" s="1714"/>
      <c r="D14" s="1775">
        <f t="shared" si="0"/>
        <v>85302</v>
      </c>
      <c r="E14" s="1714">
        <v>88967</v>
      </c>
      <c r="F14" s="1775">
        <f t="shared" si="1"/>
        <v>88967</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432482</v>
      </c>
      <c r="C16" s="1714"/>
      <c r="D16" s="1775">
        <f t="shared" si="0"/>
        <v>432482</v>
      </c>
      <c r="E16" s="1714">
        <v>424150</v>
      </c>
      <c r="F16" s="1775">
        <f t="shared" si="1"/>
        <v>424150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8556713</v>
      </c>
      <c r="C19" s="1776">
        <f>SUM(C4:C18)</f>
        <v>0</v>
      </c>
      <c r="D19" s="1776">
        <f>SUM(D4:D18)</f>
        <v>8556713</v>
      </c>
      <c r="E19" s="1776">
        <f>SUM(E4:E18)</f>
        <v>9019258</v>
      </c>
      <c r="F19" s="1776">
        <f>SUM(F4:F18)</f>
        <v>9019258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C33" sqref="C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1" t="s">
        <v>625</v>
      </c>
      <c r="B1" s="2379"/>
      <c r="C1" s="585"/>
    </row>
    <row r="2" spans="1:7" ht="33.75" x14ac:dyDescent="0.2">
      <c r="A2" s="2386" t="s">
        <v>1779</v>
      </c>
      <c r="B2" s="238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8" t="s">
        <v>1106</v>
      </c>
      <c r="B3" s="2389"/>
      <c r="C3" s="2382"/>
      <c r="D3" s="2383"/>
      <c r="E3" s="2383"/>
      <c r="F3" s="2384"/>
    </row>
    <row r="4" spans="1:7" ht="12.75" customHeight="1" thickBot="1" x14ac:dyDescent="0.25">
      <c r="A4" s="2376" t="s">
        <v>626</v>
      </c>
      <c r="B4" s="2377"/>
      <c r="C4" s="1706"/>
      <c r="D4" s="1706"/>
      <c r="E4" s="1706"/>
      <c r="F4" s="1782">
        <f>SUM(C4+D4)-E4</f>
        <v>0</v>
      </c>
    </row>
    <row r="5" spans="1:7" ht="15.75" customHeight="1" thickTop="1" x14ac:dyDescent="0.2">
      <c r="A5" s="2380" t="s">
        <v>1103</v>
      </c>
      <c r="B5" s="2375"/>
      <c r="C5" s="2369"/>
      <c r="D5" s="2370"/>
      <c r="E5" s="2370"/>
      <c r="F5" s="2371"/>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2" t="s">
        <v>627</v>
      </c>
      <c r="B15" s="2373"/>
      <c r="C15" s="1782">
        <f>SUM(C6:C14)</f>
        <v>0</v>
      </c>
      <c r="D15" s="1782">
        <f>SUM(D6:D14)</f>
        <v>0</v>
      </c>
      <c r="E15" s="1782">
        <f>SUM(E6:E14)</f>
        <v>0</v>
      </c>
      <c r="F15" s="1782">
        <f>SUM(F6:F14)</f>
        <v>0</v>
      </c>
      <c r="G15" s="473"/>
    </row>
    <row r="16" spans="1:7" s="197" customFormat="1" ht="15.75" customHeight="1" thickTop="1" x14ac:dyDescent="0.2">
      <c r="A16" s="2385" t="s">
        <v>1104</v>
      </c>
      <c r="B16" s="2375"/>
      <c r="C16" s="2369"/>
      <c r="D16" s="2370"/>
      <c r="E16" s="2370"/>
      <c r="F16" s="2371"/>
    </row>
    <row r="17" spans="1:11" ht="12.75" customHeight="1" thickBot="1" x14ac:dyDescent="0.25">
      <c r="A17" s="2367" t="s">
        <v>64</v>
      </c>
      <c r="B17" s="2368"/>
      <c r="C17" s="1783"/>
      <c r="D17" s="1714"/>
      <c r="E17" s="1783"/>
      <c r="F17" s="1782">
        <f>SUM(C17+D17)-E17</f>
        <v>0</v>
      </c>
    </row>
    <row r="18" spans="1:11" ht="12.75" customHeight="1" thickTop="1" thickBot="1" x14ac:dyDescent="0.25">
      <c r="A18" s="2367" t="s">
        <v>6</v>
      </c>
      <c r="B18" s="2368"/>
      <c r="C18" s="1783"/>
      <c r="D18" s="1714"/>
      <c r="E18" s="1783"/>
      <c r="F18" s="1782">
        <f>SUM(C18+D18)-E18</f>
        <v>0</v>
      </c>
    </row>
    <row r="19" spans="1:11" ht="12.75" customHeight="1" thickTop="1" thickBot="1" x14ac:dyDescent="0.25">
      <c r="A19" s="2367" t="s">
        <v>385</v>
      </c>
      <c r="B19" s="2368"/>
      <c r="C19" s="1783"/>
      <c r="D19" s="1714"/>
      <c r="E19" s="1783"/>
      <c r="F19" s="1782">
        <f>SUM(C19+D19)-E19</f>
        <v>0</v>
      </c>
    </row>
    <row r="20" spans="1:11" ht="12.75" customHeight="1" thickTop="1" thickBot="1" x14ac:dyDescent="0.25">
      <c r="A20" s="2367" t="s">
        <v>445</v>
      </c>
      <c r="B20" s="2368"/>
      <c r="C20" s="1783"/>
      <c r="D20" s="1714"/>
      <c r="E20" s="1783"/>
      <c r="F20" s="1782">
        <f>SUM(C20+D20)-E20</f>
        <v>0</v>
      </c>
    </row>
    <row r="21" spans="1:11" ht="14.25" thickTop="1" thickBot="1" x14ac:dyDescent="0.25">
      <c r="A21" s="2372" t="s">
        <v>628</v>
      </c>
      <c r="B21" s="2373"/>
      <c r="C21" s="1782">
        <f>SUM(C17:C20)</f>
        <v>0</v>
      </c>
      <c r="D21" s="1782">
        <f>SUM(D17:D20)</f>
        <v>0</v>
      </c>
      <c r="E21" s="1782">
        <f>SUM(E17:E20)</f>
        <v>0</v>
      </c>
      <c r="F21" s="1782">
        <f>SUM(F17:F20)</f>
        <v>0</v>
      </c>
      <c r="G21" s="473"/>
    </row>
    <row r="22" spans="1:11" ht="15.75" customHeight="1" thickTop="1" x14ac:dyDescent="0.2">
      <c r="A22" s="2374" t="s">
        <v>1105</v>
      </c>
      <c r="B22" s="2375"/>
      <c r="C22" s="2369"/>
      <c r="D22" s="2370"/>
      <c r="E22" s="2370"/>
      <c r="F22" s="2371"/>
    </row>
    <row r="23" spans="1:11" ht="13.5" thickBot="1" x14ac:dyDescent="0.25">
      <c r="A23" s="2376" t="s">
        <v>629</v>
      </c>
      <c r="B23" s="2377"/>
      <c r="C23" s="1706"/>
      <c r="D23" s="1706"/>
      <c r="E23" s="1706"/>
      <c r="F23" s="1782">
        <f>SUM(C23+D23)-E23</f>
        <v>0</v>
      </c>
      <c r="G23" s="473"/>
    </row>
    <row r="24" spans="1:11" ht="15.75" customHeight="1" thickTop="1" x14ac:dyDescent="0.2">
      <c r="A24" s="2374" t="s">
        <v>2006</v>
      </c>
      <c r="B24" s="2375"/>
      <c r="C24" s="2369"/>
      <c r="D24" s="2370"/>
      <c r="E24" s="2370"/>
      <c r="F24" s="2371"/>
    </row>
    <row r="25" spans="1:11" ht="13.5" thickBot="1" x14ac:dyDescent="0.25">
      <c r="A25" s="2376" t="s">
        <v>2007</v>
      </c>
      <c r="B25" s="2377"/>
      <c r="C25" s="1706"/>
      <c r="D25" s="1706"/>
      <c r="E25" s="1706"/>
      <c r="F25" s="1782">
        <f>SUM(C25+D25)-E25</f>
        <v>0</v>
      </c>
      <c r="G25" s="473"/>
    </row>
    <row r="26" spans="1:11" ht="15.75" customHeight="1" thickTop="1" x14ac:dyDescent="0.2">
      <c r="A26" s="2380" t="s">
        <v>652</v>
      </c>
      <c r="B26" s="2375"/>
      <c r="C26" s="589"/>
      <c r="D26" s="589"/>
      <c r="E26" s="589"/>
      <c r="F26" s="590"/>
    </row>
    <row r="27" spans="1:11" ht="13.5" thickBot="1" x14ac:dyDescent="0.25">
      <c r="A27" s="2372" t="s">
        <v>1063</v>
      </c>
      <c r="B27" s="2373"/>
      <c r="C27" s="1714"/>
      <c r="D27" s="1714"/>
      <c r="E27" s="1714"/>
      <c r="F27" s="1782">
        <f>SUM(C27+D27)-E27</f>
        <v>0</v>
      </c>
      <c r="G27" s="473"/>
    </row>
    <row r="28" spans="1:11" ht="7.5" customHeight="1" thickTop="1" x14ac:dyDescent="0.2">
      <c r="A28" s="489"/>
    </row>
    <row r="29" spans="1:11" ht="23.25" customHeight="1" x14ac:dyDescent="0.2">
      <c r="A29" s="2378" t="s">
        <v>578</v>
      </c>
      <c r="B29" s="2379"/>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2036</v>
      </c>
      <c r="B31" s="595">
        <v>41061</v>
      </c>
      <c r="C31" s="1784">
        <v>3055000</v>
      </c>
      <c r="D31" s="1785">
        <v>4</v>
      </c>
      <c r="E31" s="1784">
        <v>3055000</v>
      </c>
      <c r="F31" s="1784"/>
      <c r="G31" s="1784"/>
      <c r="H31" s="1784">
        <v>725000</v>
      </c>
      <c r="I31" s="1786">
        <f>((E31+F31)-H31)+G31</f>
        <v>2330000</v>
      </c>
      <c r="J31" s="1784">
        <v>2330000</v>
      </c>
      <c r="K31" s="596"/>
    </row>
    <row r="32" spans="1:11" ht="12" customHeight="1" x14ac:dyDescent="0.2">
      <c r="A32" s="594" t="s">
        <v>2037</v>
      </c>
      <c r="B32" s="595">
        <v>42803</v>
      </c>
      <c r="C32" s="1784">
        <v>4750000</v>
      </c>
      <c r="D32" s="1785">
        <v>4</v>
      </c>
      <c r="E32" s="1784">
        <v>4530000</v>
      </c>
      <c r="F32" s="1784"/>
      <c r="G32" s="1784"/>
      <c r="H32" s="1784">
        <v>135000</v>
      </c>
      <c r="I32" s="1786">
        <f>((E32+F32)-H32)+G32</f>
        <v>4395000</v>
      </c>
      <c r="J32" s="1784">
        <v>4285452</v>
      </c>
      <c r="K32" s="596"/>
    </row>
    <row r="33" spans="1:11" ht="12" customHeight="1" x14ac:dyDescent="0.2">
      <c r="A33" s="594" t="s">
        <v>2038</v>
      </c>
      <c r="B33" s="595"/>
      <c r="C33" s="1784"/>
      <c r="D33" s="1785">
        <v>7</v>
      </c>
      <c r="E33" s="1784">
        <v>59194</v>
      </c>
      <c r="F33" s="1784"/>
      <c r="G33" s="1784"/>
      <c r="H33" s="1784">
        <v>59194</v>
      </c>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7805000</v>
      </c>
      <c r="D49" s="1792"/>
      <c r="E49" s="1786">
        <f t="shared" ref="E49:J49" si="2">SUM(E31:E48)</f>
        <v>7644194</v>
      </c>
      <c r="F49" s="1786">
        <f t="shared" si="2"/>
        <v>0</v>
      </c>
      <c r="G49" s="1786">
        <f t="shared" si="2"/>
        <v>0</v>
      </c>
      <c r="H49" s="1786">
        <f t="shared" si="2"/>
        <v>919194</v>
      </c>
      <c r="I49" s="1786">
        <f t="shared" si="2"/>
        <v>6725000</v>
      </c>
      <c r="J49" s="1786">
        <f t="shared" si="2"/>
        <v>6615452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1" t="s">
        <v>580</v>
      </c>
      <c r="C52" s="2362"/>
      <c r="D52" s="2362"/>
      <c r="E52" s="603" t="s">
        <v>840</v>
      </c>
      <c r="F52" s="2363" t="s">
        <v>2039</v>
      </c>
      <c r="G52" s="2364"/>
      <c r="H52" s="596"/>
      <c r="I52" s="596"/>
      <c r="J52" s="600"/>
    </row>
    <row r="53" spans="1:11" ht="11.25" customHeight="1" x14ac:dyDescent="0.2">
      <c r="A53" s="604" t="s">
        <v>907</v>
      </c>
      <c r="B53" s="605" t="s">
        <v>945</v>
      </c>
      <c r="C53" s="600"/>
      <c r="D53" s="597"/>
      <c r="E53" s="603" t="s">
        <v>494</v>
      </c>
      <c r="F53" s="2365"/>
      <c r="G53" s="2366"/>
      <c r="H53" s="596"/>
      <c r="I53" s="596"/>
      <c r="J53" s="600"/>
    </row>
    <row r="54" spans="1:11" ht="11.25" customHeight="1" x14ac:dyDescent="0.2">
      <c r="A54" s="606" t="s">
        <v>908</v>
      </c>
      <c r="B54" s="601" t="s">
        <v>946</v>
      </c>
      <c r="C54" s="600"/>
      <c r="D54" s="597"/>
      <c r="E54" s="603" t="s">
        <v>495</v>
      </c>
      <c r="F54" s="2365"/>
      <c r="G54" s="23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0" t="s">
        <v>851</v>
      </c>
      <c r="B1" s="2391"/>
      <c r="C1" s="2391"/>
      <c r="D1" s="2391"/>
      <c r="E1" s="2391"/>
      <c r="F1" s="2391"/>
      <c r="G1" s="2392"/>
      <c r="H1" s="1343"/>
      <c r="I1" s="614"/>
      <c r="J1" s="400"/>
    </row>
    <row r="2" spans="1:11" ht="26.25" x14ac:dyDescent="0.2">
      <c r="A2" s="2409" t="s">
        <v>1661</v>
      </c>
      <c r="B2" s="2410"/>
      <c r="C2" s="2410"/>
      <c r="D2" s="2410"/>
      <c r="E2" s="2411"/>
      <c r="F2" s="615" t="s">
        <v>898</v>
      </c>
      <c r="G2" s="616" t="s">
        <v>1658</v>
      </c>
      <c r="H2" s="616" t="s">
        <v>407</v>
      </c>
      <c r="I2" s="616" t="s">
        <v>1150</v>
      </c>
      <c r="J2" s="616" t="s">
        <v>1789</v>
      </c>
      <c r="K2" s="616" t="s">
        <v>137</v>
      </c>
    </row>
    <row r="3" spans="1:11" x14ac:dyDescent="0.2">
      <c r="A3" s="2412" t="str">
        <f>"Cash Basis Fund Balance as of July 1, "&amp;'AFR20'!E2-1</f>
        <v>Cash Basis Fund Balance as of July 1, 2019</v>
      </c>
      <c r="B3" s="2413"/>
      <c r="C3" s="2413"/>
      <c r="D3" s="2413"/>
      <c r="E3" s="2414"/>
      <c r="F3" s="617"/>
      <c r="G3" s="1794"/>
      <c r="H3" s="1794"/>
      <c r="I3" s="1794"/>
      <c r="J3" s="1795">
        <v>753606</v>
      </c>
      <c r="K3" s="1795"/>
    </row>
    <row r="4" spans="1:11" x14ac:dyDescent="0.2">
      <c r="A4" s="2415" t="s">
        <v>366</v>
      </c>
      <c r="B4" s="2416"/>
      <c r="C4" s="2416"/>
      <c r="D4" s="2416"/>
      <c r="E4" s="2362"/>
      <c r="F4" s="620"/>
      <c r="G4" s="1796"/>
      <c r="H4" s="1797"/>
      <c r="I4" s="1796"/>
      <c r="J4" s="1798"/>
      <c r="K4" s="1798"/>
    </row>
    <row r="5" spans="1:11" x14ac:dyDescent="0.2">
      <c r="A5" s="2393" t="s">
        <v>1062</v>
      </c>
      <c r="B5" s="2394"/>
      <c r="C5" s="2394"/>
      <c r="D5" s="2394"/>
      <c r="E5" s="2395"/>
      <c r="F5" s="622" t="s">
        <v>843</v>
      </c>
      <c r="G5" s="1799"/>
      <c r="H5" s="1794">
        <v>85302</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9950</v>
      </c>
    </row>
    <row r="8" spans="1:11" x14ac:dyDescent="0.2">
      <c r="A8" s="629" t="s">
        <v>342</v>
      </c>
      <c r="B8" s="630"/>
      <c r="C8" s="630"/>
      <c r="D8" s="630"/>
      <c r="E8" s="631"/>
      <c r="F8" s="622" t="s">
        <v>846</v>
      </c>
      <c r="G8" s="1803"/>
      <c r="H8" s="1803"/>
      <c r="I8" s="1803"/>
      <c r="J8" s="1795">
        <v>711797</v>
      </c>
      <c r="K8" s="1798"/>
    </row>
    <row r="9" spans="1:11" x14ac:dyDescent="0.2">
      <c r="A9" s="629" t="s">
        <v>137</v>
      </c>
      <c r="B9" s="630"/>
      <c r="C9" s="630"/>
      <c r="D9" s="630"/>
      <c r="E9" s="631"/>
      <c r="F9" s="628" t="s">
        <v>848</v>
      </c>
      <c r="G9" s="1803"/>
      <c r="H9" s="1799"/>
      <c r="I9" s="1799"/>
      <c r="J9" s="1802"/>
      <c r="K9" s="1795">
        <v>19603</v>
      </c>
    </row>
    <row r="10" spans="1:11" x14ac:dyDescent="0.2">
      <c r="A10" s="2393" t="s">
        <v>1790</v>
      </c>
      <c r="B10" s="2394"/>
      <c r="C10" s="2394"/>
      <c r="D10" s="2394"/>
      <c r="E10" s="2396"/>
      <c r="F10" s="633" t="s">
        <v>857</v>
      </c>
      <c r="G10" s="1803"/>
      <c r="H10" s="1804"/>
      <c r="I10" s="1794"/>
      <c r="J10" s="1795"/>
      <c r="K10" s="1795"/>
    </row>
    <row r="11" spans="1:11" x14ac:dyDescent="0.2">
      <c r="A11" s="2393" t="s">
        <v>159</v>
      </c>
      <c r="B11" s="2394"/>
      <c r="C11" s="2394"/>
      <c r="D11" s="2394"/>
      <c r="E11" s="2395"/>
      <c r="F11" s="622" t="s">
        <v>847</v>
      </c>
      <c r="G11" s="1799"/>
      <c r="H11" s="1794"/>
      <c r="I11" s="1794"/>
      <c r="J11" s="1795"/>
      <c r="K11" s="1801"/>
    </row>
    <row r="12" spans="1:11" ht="13.5" thickBot="1" x14ac:dyDescent="0.25">
      <c r="A12" s="2420" t="s">
        <v>899</v>
      </c>
      <c r="B12" s="2421"/>
      <c r="C12" s="2421"/>
      <c r="D12" s="2421"/>
      <c r="E12" s="2422"/>
      <c r="F12" s="1482"/>
      <c r="G12" s="1805">
        <f>SUM(G5:G11)</f>
        <v>0</v>
      </c>
      <c r="H12" s="1805">
        <f>SUM(H5:H11)</f>
        <v>85302</v>
      </c>
      <c r="I12" s="1805">
        <f>SUM(I5:I11)</f>
        <v>0</v>
      </c>
      <c r="J12" s="1805">
        <f>SUM(J5:J11)</f>
        <v>711797</v>
      </c>
      <c r="K12" s="1805">
        <f>SUM(K5:K11)</f>
        <v>29553</v>
      </c>
    </row>
    <row r="13" spans="1:11" ht="13.5" thickTop="1" x14ac:dyDescent="0.2">
      <c r="A13" s="2417" t="s">
        <v>367</v>
      </c>
      <c r="B13" s="2418"/>
      <c r="C13" s="2418"/>
      <c r="D13" s="2418"/>
      <c r="E13" s="2419"/>
      <c r="F13" s="634"/>
      <c r="G13" s="1806"/>
      <c r="H13" s="1807"/>
      <c r="I13" s="1808"/>
      <c r="J13" s="1808"/>
      <c r="K13" s="1808"/>
    </row>
    <row r="14" spans="1:11" x14ac:dyDescent="0.2">
      <c r="A14" s="2400" t="s">
        <v>453</v>
      </c>
      <c r="B14" s="2400"/>
      <c r="C14" s="2400"/>
      <c r="D14" s="2400"/>
      <c r="E14" s="2401"/>
      <c r="F14" s="635" t="s">
        <v>849</v>
      </c>
      <c r="G14" s="1803"/>
      <c r="H14" s="1794">
        <v>85302</v>
      </c>
      <c r="I14" s="1799"/>
      <c r="J14" s="1801"/>
      <c r="K14" s="1795">
        <v>97950</v>
      </c>
    </row>
    <row r="15" spans="1:11" x14ac:dyDescent="0.2">
      <c r="A15" s="2394" t="s">
        <v>4</v>
      </c>
      <c r="B15" s="2394"/>
      <c r="C15" s="2394"/>
      <c r="D15" s="2394"/>
      <c r="E15" s="2395"/>
      <c r="F15" s="635" t="s">
        <v>850</v>
      </c>
      <c r="G15" s="1799"/>
      <c r="H15" s="1794"/>
      <c r="I15" s="1794"/>
      <c r="J15" s="1795">
        <v>599322</v>
      </c>
      <c r="K15" s="1795"/>
    </row>
    <row r="16" spans="1:11" x14ac:dyDescent="0.2">
      <c r="A16" s="2394" t="s">
        <v>295</v>
      </c>
      <c r="B16" s="2394"/>
      <c r="C16" s="2394"/>
      <c r="D16" s="2394"/>
      <c r="E16" s="2395"/>
      <c r="F16" s="635" t="s">
        <v>917</v>
      </c>
      <c r="G16" s="1800"/>
      <c r="H16" s="1796"/>
      <c r="I16" s="1796"/>
      <c r="J16" s="1798"/>
      <c r="K16" s="1798"/>
    </row>
    <row r="17" spans="1:15" x14ac:dyDescent="0.2">
      <c r="A17" s="2427" t="s">
        <v>929</v>
      </c>
      <c r="B17" s="2427"/>
      <c r="C17" s="2427"/>
      <c r="D17" s="2427"/>
      <c r="E17" s="2428"/>
      <c r="F17" s="636"/>
      <c r="G17" s="1809"/>
      <c r="H17" s="1810"/>
      <c r="I17" s="1810"/>
      <c r="J17" s="1811"/>
      <c r="K17" s="1812"/>
    </row>
    <row r="18" spans="1:15" x14ac:dyDescent="0.2">
      <c r="A18" s="2404" t="s">
        <v>365</v>
      </c>
      <c r="B18" s="2405"/>
      <c r="C18" s="2405"/>
      <c r="D18" s="2405"/>
      <c r="E18" s="2406"/>
      <c r="F18" s="635" t="s">
        <v>926</v>
      </c>
      <c r="G18" s="1803"/>
      <c r="H18" s="1803"/>
      <c r="I18" s="1803"/>
      <c r="J18" s="1795"/>
      <c r="K18" s="1813"/>
    </row>
    <row r="19" spans="1:15" ht="21.75" customHeight="1" x14ac:dyDescent="0.2">
      <c r="A19" s="2402" t="s">
        <v>1786</v>
      </c>
      <c r="B19" s="2402"/>
      <c r="C19" s="2402"/>
      <c r="D19" s="2402"/>
      <c r="E19" s="2403"/>
      <c r="F19" s="635" t="s">
        <v>927</v>
      </c>
      <c r="G19" s="1803"/>
      <c r="H19" s="1803"/>
      <c r="I19" s="1803"/>
      <c r="J19" s="1795"/>
      <c r="K19" s="1813"/>
    </row>
    <row r="20" spans="1:15" x14ac:dyDescent="0.2">
      <c r="A20" s="2404" t="s">
        <v>1791</v>
      </c>
      <c r="B20" s="2405"/>
      <c r="C20" s="2405"/>
      <c r="D20" s="2405"/>
      <c r="E20" s="2406"/>
      <c r="F20" s="635" t="s">
        <v>928</v>
      </c>
      <c r="G20" s="1803"/>
      <c r="H20" s="1803"/>
      <c r="I20" s="1803"/>
      <c r="J20" s="1795"/>
      <c r="K20" s="1813"/>
    </row>
    <row r="21" spans="1:15" ht="13.5" thickBot="1" x14ac:dyDescent="0.25">
      <c r="A21" s="2423" t="s">
        <v>633</v>
      </c>
      <c r="B21" s="2423"/>
      <c r="C21" s="2423"/>
      <c r="D21" s="2423"/>
      <c r="E21" s="2423"/>
      <c r="F21" s="1483"/>
      <c r="G21" s="1810"/>
      <c r="H21" s="1814"/>
      <c r="I21" s="1814"/>
      <c r="J21" s="1815">
        <f>SUM(J18:J20)</f>
        <v>0</v>
      </c>
      <c r="K21" s="1811"/>
    </row>
    <row r="22" spans="1:15" ht="13.5" thickTop="1" x14ac:dyDescent="0.2">
      <c r="A22" s="2394" t="s">
        <v>1792</v>
      </c>
      <c r="B22" s="2394"/>
      <c r="C22" s="2394"/>
      <c r="D22" s="2394"/>
      <c r="E22" s="2395"/>
      <c r="F22" s="635" t="s">
        <v>857</v>
      </c>
      <c r="G22" s="1803"/>
      <c r="H22" s="1794"/>
      <c r="I22" s="1794"/>
      <c r="J22" s="1816"/>
      <c r="K22" s="1795"/>
    </row>
    <row r="23" spans="1:15" ht="13.5" thickBot="1" x14ac:dyDescent="0.25">
      <c r="A23" s="2424" t="s">
        <v>900</v>
      </c>
      <c r="B23" s="2423"/>
      <c r="C23" s="2423"/>
      <c r="D23" s="2423"/>
      <c r="E23" s="2423"/>
      <c r="F23" s="1485"/>
      <c r="G23" s="1805">
        <f>SUM(G14:G16,G21,G22)</f>
        <v>0</v>
      </c>
      <c r="H23" s="1805">
        <f>SUM(H14:H16,H21,H22)</f>
        <v>85302</v>
      </c>
      <c r="I23" s="1805">
        <f>SUM(I14:I16,I21,I22)</f>
        <v>0</v>
      </c>
      <c r="J23" s="1805">
        <f>SUM(J14:J16,J21,J22)</f>
        <v>599322</v>
      </c>
      <c r="K23" s="1805">
        <f>SUM(K14:K16,K21,K22)</f>
        <v>97950</v>
      </c>
      <c r="M23" s="1904"/>
      <c r="N23" s="1904"/>
      <c r="O23" s="1904"/>
    </row>
    <row r="24" spans="1:15" ht="14.25" thickTop="1" thickBot="1" x14ac:dyDescent="0.25">
      <c r="A24" s="2425" t="str">
        <f>"Ending Cash Basis Fund Balance as of June 30, "&amp;'AFR20'!E2</f>
        <v>Ending Cash Basis Fund Balance as of June 30, 2020</v>
      </c>
      <c r="B24" s="2426"/>
      <c r="C24" s="2426"/>
      <c r="D24" s="2426"/>
      <c r="E24" s="2426"/>
      <c r="F24" s="1486"/>
      <c r="G24" s="1817">
        <f>SUM(G3,G12)-G23</f>
        <v>0</v>
      </c>
      <c r="H24" s="1817">
        <f>SUM(H3,H12)-H23</f>
        <v>0</v>
      </c>
      <c r="I24" s="1817">
        <f>SUM(I3,I12)-I23</f>
        <v>0</v>
      </c>
      <c r="J24" s="1817">
        <f>SUM(J3,J12)-J23</f>
        <v>866081</v>
      </c>
      <c r="K24" s="1817">
        <f>SUM(K3,K12)-K23</f>
        <v>-68397</v>
      </c>
      <c r="L24" s="1904"/>
      <c r="M24" s="1904"/>
      <c r="N24" s="1904"/>
      <c r="O24" s="1904"/>
    </row>
    <row r="25" spans="1:15" ht="13.5" thickTop="1" x14ac:dyDescent="0.2">
      <c r="A25" s="639" t="s">
        <v>417</v>
      </c>
      <c r="B25" s="640"/>
      <c r="C25" s="640"/>
      <c r="D25" s="640"/>
      <c r="E25" s="641"/>
      <c r="F25" s="642">
        <v>714</v>
      </c>
      <c r="G25" s="1818"/>
      <c r="H25" s="1818"/>
      <c r="I25" s="1818"/>
      <c r="J25" s="1816">
        <v>866081</v>
      </c>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-68397</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1161</v>
      </c>
      <c r="B33" s="341"/>
      <c r="C33" s="341"/>
      <c r="D33" s="341"/>
      <c r="E33" s="341"/>
      <c r="F33" s="341"/>
      <c r="G33" s="653"/>
      <c r="H33" s="2399"/>
      <c r="I33" s="2398"/>
      <c r="J33" s="2398"/>
      <c r="K33" s="239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4" t="s">
        <v>538</v>
      </c>
      <c r="B41" s="2407"/>
      <c r="C41" s="2407"/>
      <c r="D41" s="2407"/>
      <c r="E41" s="2407"/>
      <c r="F41" s="240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5" sqref="H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1875</v>
      </c>
      <c r="B1" s="2432"/>
      <c r="C1" s="2433"/>
      <c r="D1" s="666"/>
      <c r="E1" s="667"/>
      <c r="F1" s="667"/>
      <c r="G1" s="668"/>
      <c r="H1" s="669"/>
      <c r="I1" s="670"/>
      <c r="J1" s="2429"/>
      <c r="K1" s="2430"/>
      <c r="L1" s="2430"/>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253690</v>
      </c>
      <c r="D5" s="1820"/>
      <c r="E5" s="1820"/>
      <c r="F5" s="1815">
        <f>(C5+D5)-E5</f>
        <v>253690</v>
      </c>
      <c r="G5" s="676"/>
      <c r="H5" s="680"/>
      <c r="I5" s="680"/>
      <c r="J5" s="680"/>
      <c r="K5" s="637"/>
      <c r="L5" s="1491">
        <f>F5-K5</f>
        <v>253690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25705526</v>
      </c>
      <c r="D8" s="1821">
        <v>1048272</v>
      </c>
      <c r="E8" s="1821"/>
      <c r="F8" s="1815">
        <f>(C8+D8)-E8</f>
        <v>26753798</v>
      </c>
      <c r="G8" s="681">
        <v>50</v>
      </c>
      <c r="H8" s="619">
        <v>14334141</v>
      </c>
      <c r="I8" s="619">
        <v>349319</v>
      </c>
      <c r="J8" s="619"/>
      <c r="K8" s="1491">
        <f>(H8+I8)-J8</f>
        <v>14683460</v>
      </c>
      <c r="L8" s="1491">
        <f>F8-K8</f>
        <v>12070338</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7267229</v>
      </c>
      <c r="D10" s="1822"/>
      <c r="E10" s="1822"/>
      <c r="F10" s="1823">
        <f>(C10+D10)-E10</f>
        <v>7267229</v>
      </c>
      <c r="G10" s="681">
        <v>20</v>
      </c>
      <c r="H10" s="683">
        <v>3248200</v>
      </c>
      <c r="I10" s="683">
        <v>313878</v>
      </c>
      <c r="J10" s="683"/>
      <c r="K10" s="1491">
        <f>(H10+I10)-J10</f>
        <v>3562078</v>
      </c>
      <c r="L10" s="1491">
        <f>F10-K10</f>
        <v>3705151</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2853900</v>
      </c>
      <c r="D12" s="1821"/>
      <c r="E12" s="1821"/>
      <c r="F12" s="1815">
        <f>(C12+D12)-E12</f>
        <v>2853900</v>
      </c>
      <c r="G12" s="681">
        <v>10</v>
      </c>
      <c r="H12" s="619">
        <v>2081900</v>
      </c>
      <c r="I12" s="619">
        <v>184959</v>
      </c>
      <c r="J12" s="619"/>
      <c r="K12" s="1491">
        <f>(H12+I12)-J12</f>
        <v>2266859</v>
      </c>
      <c r="L12" s="1491">
        <f>F12-K12</f>
        <v>587041</v>
      </c>
    </row>
    <row r="13" spans="1:14" ht="14.25" thickTop="1" thickBot="1" x14ac:dyDescent="0.25">
      <c r="A13" s="684" t="s">
        <v>1114</v>
      </c>
      <c r="B13" s="679">
        <v>252</v>
      </c>
      <c r="C13" s="1821">
        <v>2798519</v>
      </c>
      <c r="D13" s="1821">
        <v>256158</v>
      </c>
      <c r="E13" s="1821"/>
      <c r="F13" s="1815">
        <f>(C13+D13)-E13</f>
        <v>3054677</v>
      </c>
      <c r="G13" s="681">
        <v>5</v>
      </c>
      <c r="H13" s="619">
        <v>2453295</v>
      </c>
      <c r="I13" s="619">
        <v>188642</v>
      </c>
      <c r="J13" s="619"/>
      <c r="K13" s="1491">
        <f>(H13+I13)-J13</f>
        <v>2641937</v>
      </c>
      <c r="L13" s="1491">
        <f>F13-K13</f>
        <v>412740</v>
      </c>
    </row>
    <row r="14" spans="1:14" ht="14.25" thickTop="1" thickBot="1" x14ac:dyDescent="0.25">
      <c r="A14" s="684" t="s">
        <v>1115</v>
      </c>
      <c r="B14" s="679">
        <v>253</v>
      </c>
      <c r="C14" s="1795">
        <v>15643</v>
      </c>
      <c r="D14" s="1795"/>
      <c r="E14" s="1795"/>
      <c r="F14" s="1815">
        <f>(C14+D14)-E14</f>
        <v>15643</v>
      </c>
      <c r="G14" s="681">
        <v>3</v>
      </c>
      <c r="H14" s="619">
        <v>14043</v>
      </c>
      <c r="I14" s="619">
        <v>1599</v>
      </c>
      <c r="J14" s="619"/>
      <c r="K14" s="1491">
        <f>(H14+I14)-J14</f>
        <v>15642</v>
      </c>
      <c r="L14" s="1491">
        <f>F14-K14</f>
        <v>1</v>
      </c>
    </row>
    <row r="15" spans="1:14" ht="15" customHeight="1" thickTop="1" thickBot="1" x14ac:dyDescent="0.25">
      <c r="A15" s="1411" t="s">
        <v>525</v>
      </c>
      <c r="B15" s="1410">
        <v>260</v>
      </c>
      <c r="C15" s="1821">
        <v>581940</v>
      </c>
      <c r="D15" s="1821"/>
      <c r="E15" s="1821">
        <v>581940</v>
      </c>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39476447</v>
      </c>
      <c r="D16" s="1815">
        <f>SUM(D3,D5:D6,D8:D10,D12:D15)</f>
        <v>1304430</v>
      </c>
      <c r="E16" s="1815">
        <f>SUM(E3,E5:E6,E8:E10,E12:E15)</f>
        <v>581940</v>
      </c>
      <c r="F16" s="1815">
        <f>SUM(F3,F5:F6,F8:F10,F12:F15)</f>
        <v>40198937</v>
      </c>
      <c r="G16" s="681"/>
      <c r="H16" s="1484">
        <f>SUM(H3,H6,H8:H10,H12:H14,)</f>
        <v>22131579</v>
      </c>
      <c r="I16" s="1484">
        <f>SUM(I3,I6,I8:I10,I12:I14,)</f>
        <v>1038397</v>
      </c>
      <c r="J16" s="1484">
        <f>SUM(J3,J6,J8:J10,J12:J14,)</f>
        <v>0</v>
      </c>
      <c r="K16" s="1484">
        <f>(H16+I16)-J16</f>
        <v>23169976</v>
      </c>
      <c r="L16" s="1484">
        <f>F16-K16</f>
        <v>17028961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1038397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L78" sqref="L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474</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3"/>
      <c r="B5" s="2444"/>
      <c r="C5" s="2444"/>
      <c r="D5" s="2444"/>
      <c r="E5" s="2444"/>
      <c r="F5" s="2444"/>
    </row>
    <row r="6" spans="1:9" ht="13.5" customHeight="1" thickBot="1" x14ac:dyDescent="0.25">
      <c r="A6" s="2434" t="s">
        <v>1097</v>
      </c>
      <c r="B6" s="2435"/>
      <c r="C6" s="2435"/>
      <c r="D6" s="2435"/>
      <c r="E6" s="2435"/>
      <c r="F6" s="243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18968458</v>
      </c>
      <c r="G8" s="701"/>
    </row>
    <row r="9" spans="1:9" x14ac:dyDescent="0.2">
      <c r="A9" s="705" t="s">
        <v>457</v>
      </c>
      <c r="B9" s="706" t="s">
        <v>1848</v>
      </c>
      <c r="C9" s="707"/>
      <c r="D9" s="705" t="s">
        <v>498</v>
      </c>
      <c r="E9" s="704"/>
      <c r="F9" s="1825">
        <f>'Expenditures 15-22'!K151</f>
        <v>1810508</v>
      </c>
      <c r="G9" s="708"/>
    </row>
    <row r="10" spans="1:9" x14ac:dyDescent="0.2">
      <c r="A10" s="705" t="s">
        <v>496</v>
      </c>
      <c r="B10" s="706" t="s">
        <v>1849</v>
      </c>
      <c r="C10" s="707"/>
      <c r="D10" s="705" t="s">
        <v>498</v>
      </c>
      <c r="E10" s="704"/>
      <c r="F10" s="1825">
        <f>'Expenditures 15-22'!K174</f>
        <v>1105308</v>
      </c>
      <c r="G10" s="708"/>
    </row>
    <row r="11" spans="1:9" x14ac:dyDescent="0.2">
      <c r="A11" s="705" t="s">
        <v>458</v>
      </c>
      <c r="B11" s="706" t="s">
        <v>1850</v>
      </c>
      <c r="C11" s="707"/>
      <c r="D11" s="705" t="s">
        <v>498</v>
      </c>
      <c r="E11" s="704"/>
      <c r="F11" s="1825">
        <f>'Expenditures 15-22'!K210</f>
        <v>1380575</v>
      </c>
      <c r="G11" s="708"/>
    </row>
    <row r="12" spans="1:9" x14ac:dyDescent="0.2">
      <c r="A12" s="705" t="s">
        <v>459</v>
      </c>
      <c r="B12" s="706" t="s">
        <v>1851</v>
      </c>
      <c r="C12" s="707"/>
      <c r="D12" s="705" t="s">
        <v>498</v>
      </c>
      <c r="E12" s="704"/>
      <c r="F12" s="1825">
        <f>'Expenditures 15-22'!K295</f>
        <v>880117</v>
      </c>
      <c r="G12" s="708"/>
    </row>
    <row r="13" spans="1:9" x14ac:dyDescent="0.2">
      <c r="A13" s="705" t="s">
        <v>106</v>
      </c>
      <c r="B13" s="706" t="s">
        <v>1852</v>
      </c>
      <c r="C13" s="707"/>
      <c r="D13" s="705" t="s">
        <v>498</v>
      </c>
      <c r="E13" s="704"/>
      <c r="F13" s="1825">
        <f>'Expenditures 15-22'!K342</f>
        <v>984714</v>
      </c>
      <c r="G13" s="709"/>
    </row>
    <row r="14" spans="1:9" ht="12" customHeight="1" thickBot="1" x14ac:dyDescent="0.25">
      <c r="A14" s="1492"/>
      <c r="B14" s="1493"/>
      <c r="C14" s="1494"/>
      <c r="D14" s="1495" t="s">
        <v>498</v>
      </c>
      <c r="E14" s="1496" t="s">
        <v>952</v>
      </c>
      <c r="F14" s="1826">
        <f>SUM(F8:F13)</f>
        <v>25129680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182293</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203722</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10386</v>
      </c>
      <c r="G52" s="701"/>
    </row>
    <row r="53" spans="1:7" x14ac:dyDescent="0.2">
      <c r="A53" s="705" t="s">
        <v>456</v>
      </c>
      <c r="B53" s="705" t="s">
        <v>1461</v>
      </c>
      <c r="C53" s="724">
        <f>'Expenditures 15-22'!B102</f>
        <v>4000</v>
      </c>
      <c r="D53" s="723" t="str">
        <f>'Expenditures 15-22'!A102</f>
        <v>Total Payments to Other Govt Units</v>
      </c>
      <c r="E53" s="704"/>
      <c r="F53" s="1832">
        <f>'Expenditures 15-22'!K102</f>
        <v>929626</v>
      </c>
      <c r="G53" s="701"/>
    </row>
    <row r="54" spans="1:7" x14ac:dyDescent="0.2">
      <c r="A54" s="705" t="s">
        <v>456</v>
      </c>
      <c r="B54" s="705" t="s">
        <v>1462</v>
      </c>
      <c r="C54" s="724" t="s">
        <v>975</v>
      </c>
      <c r="D54" s="720" t="s">
        <v>1088</v>
      </c>
      <c r="E54" s="704"/>
      <c r="F54" s="1832">
        <f>'Expenditures 15-22'!G114</f>
        <v>224353</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51179</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919194</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206814</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10376</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86</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2738029</v>
      </c>
      <c r="G77" s="701"/>
    </row>
    <row r="78" spans="1:9" s="728" customFormat="1" ht="12" customHeight="1" thickTop="1" thickBot="1" x14ac:dyDescent="0.25">
      <c r="A78" s="1499"/>
      <c r="B78" s="1497"/>
      <c r="C78" s="1494"/>
      <c r="D78" s="1498" t="s">
        <v>2012</v>
      </c>
      <c r="E78" s="1496"/>
      <c r="F78" s="1838">
        <f>(F14-F77)</f>
        <v>22391651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2232.8000000000002</v>
      </c>
      <c r="G79" s="733"/>
      <c r="H79" s="705"/>
      <c r="I79" s="705"/>
    </row>
    <row r="80" spans="1:9" s="728" customFormat="1" ht="12" customHeight="1" thickBot="1" x14ac:dyDescent="0.25">
      <c r="A80" s="1501"/>
      <c r="B80" s="1497"/>
      <c r="C80" s="1494"/>
      <c r="D80" s="1498" t="s">
        <v>2013</v>
      </c>
      <c r="E80" s="1496" t="s">
        <v>952</v>
      </c>
      <c r="F80" s="1840">
        <f>IF(F79&gt;0,F78/F79," Complete Line 79")</f>
        <v>10028.50725546399</v>
      </c>
      <c r="G80" s="705"/>
    </row>
    <row r="81" spans="1:7" s="728" customFormat="1" ht="8.25" customHeight="1" thickTop="1" x14ac:dyDescent="0.2">
      <c r="A81" s="734"/>
      <c r="B81" s="705"/>
      <c r="C81" s="707"/>
      <c r="D81" s="735"/>
      <c r="E81" s="704"/>
      <c r="F81" s="1841"/>
      <c r="G81" s="705"/>
    </row>
    <row r="82" spans="1:7" s="728" customFormat="1" ht="12" thickBot="1" x14ac:dyDescent="0.25">
      <c r="A82" s="2434" t="s">
        <v>1098</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158101</v>
      </c>
      <c r="G95" s="745"/>
    </row>
    <row r="96" spans="1:7" x14ac:dyDescent="0.2">
      <c r="A96" s="741" t="s">
        <v>139</v>
      </c>
      <c r="B96" s="741" t="s">
        <v>174</v>
      </c>
      <c r="C96" s="743">
        <v>1700</v>
      </c>
      <c r="D96" s="751" t="str">
        <f>'Revenues 9-14'!A82</f>
        <v>Total District/School Activity Income</v>
      </c>
      <c r="E96" s="739"/>
      <c r="F96" s="1843">
        <f>SUM('Revenues 9-14'!C82,'Revenues 9-14'!D82)</f>
        <v>95270</v>
      </c>
      <c r="G96" s="745"/>
    </row>
    <row r="97" spans="1:7" x14ac:dyDescent="0.2">
      <c r="A97" s="741" t="s">
        <v>456</v>
      </c>
      <c r="B97" s="741" t="s">
        <v>175</v>
      </c>
      <c r="C97" s="743">
        <f>'Revenues 9-14'!B84</f>
        <v>1811</v>
      </c>
      <c r="D97" s="744" t="str">
        <f>'Revenues 9-14'!A84</f>
        <v>Rentals - Regular Textbooks</v>
      </c>
      <c r="E97" s="739"/>
      <c r="F97" s="1843">
        <f>'Revenues 9-14'!C84</f>
        <v>141789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3231</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94557</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39311</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514970</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28892</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7712</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19603</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688132</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1926</v>
      </c>
      <c r="C122" s="761">
        <f>'Revenues 9-14'!B168</f>
        <v>3999</v>
      </c>
      <c r="D122" s="762" t="s">
        <v>540</v>
      </c>
      <c r="E122" s="764"/>
      <c r="F122" s="184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40761</v>
      </c>
      <c r="G125" s="763"/>
    </row>
    <row r="126" spans="1:7" x14ac:dyDescent="0.2">
      <c r="A126" s="760" t="s">
        <v>659</v>
      </c>
      <c r="B126" s="760" t="s">
        <v>1930</v>
      </c>
      <c r="C126" s="765">
        <v>4200</v>
      </c>
      <c r="D126" s="762" t="str">
        <f>'Revenues 9-14'!A198</f>
        <v>Total Food Service</v>
      </c>
      <c r="E126" s="739"/>
      <c r="F126" s="1843">
        <f>SUM('Revenues 9-14'!C198,'Revenues 9-14'!G198)</f>
        <v>668277</v>
      </c>
      <c r="G126" s="763"/>
    </row>
    <row r="127" spans="1:7" x14ac:dyDescent="0.2">
      <c r="A127" s="760" t="s">
        <v>663</v>
      </c>
      <c r="B127" s="760" t="s">
        <v>1931</v>
      </c>
      <c r="C127" s="765">
        <v>4300</v>
      </c>
      <c r="D127" s="766" t="str">
        <f>'Revenues 9-14'!A204</f>
        <v>Total Title I</v>
      </c>
      <c r="E127" s="739"/>
      <c r="F127" s="1843">
        <f>SUM('Revenues 9-14'!C204,'Revenues 9-14'!D204,'Revenues 9-14'!F204,'Revenues 9-14'!G204)</f>
        <v>964724</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55427</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120464</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99428</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32217</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207748</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3800</v>
      </c>
      <c r="G171" s="760"/>
    </row>
    <row r="172" spans="1:7" x14ac:dyDescent="0.2">
      <c r="A172" s="1579" t="s">
        <v>5</v>
      </c>
      <c r="B172" s="1580" t="s">
        <v>1885</v>
      </c>
      <c r="C172" s="1581">
        <v>3100</v>
      </c>
      <c r="D172" s="1582" t="s">
        <v>1887</v>
      </c>
      <c r="E172" s="739"/>
      <c r="F172" s="1844">
        <v>0</v>
      </c>
      <c r="G172" s="760"/>
    </row>
    <row r="173" spans="1:7" x14ac:dyDescent="0.2">
      <c r="A173" s="1579" t="s">
        <v>659</v>
      </c>
      <c r="B173" s="1580" t="s">
        <v>1885</v>
      </c>
      <c r="C173" s="1581">
        <v>3300</v>
      </c>
      <c r="D173" s="1582" t="s">
        <v>1888</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4034414</v>
      </c>
    </row>
    <row r="176" spans="1:7" ht="12" customHeight="1" x14ac:dyDescent="0.2">
      <c r="A176" s="1492"/>
      <c r="B176" s="1502"/>
      <c r="C176" s="1503"/>
      <c r="D176" s="1504" t="s">
        <v>2014</v>
      </c>
      <c r="E176" s="1505"/>
      <c r="F176" s="1843">
        <f>'PCTC-OEPP 27-28'!F78-F175</f>
        <v>18357237</v>
      </c>
    </row>
    <row r="177" spans="1:9" ht="12" customHeight="1" x14ac:dyDescent="0.2">
      <c r="A177" s="1492"/>
      <c r="B177" s="1502"/>
      <c r="C177" s="1503"/>
      <c r="D177" s="1504" t="s">
        <v>1794</v>
      </c>
      <c r="E177" s="1505"/>
      <c r="F177" s="1843">
        <f>'Cap Outlay Deprec 26'!I18</f>
        <v>1038397</v>
      </c>
    </row>
    <row r="178" spans="1:9" ht="12" customHeight="1" x14ac:dyDescent="0.2">
      <c r="A178" s="1492"/>
      <c r="B178" s="1502"/>
      <c r="C178" s="1503"/>
      <c r="D178" s="1504" t="s">
        <v>2015</v>
      </c>
      <c r="E178" s="1505"/>
      <c r="F178" s="1843">
        <f>F176+F177</f>
        <v>19395634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2232.8000000000002</v>
      </c>
      <c r="G179" s="763"/>
      <c r="I179" s="701"/>
    </row>
    <row r="180" spans="1:9" ht="12" customHeight="1" thickBot="1" x14ac:dyDescent="0.25">
      <c r="A180" s="1492"/>
      <c r="B180" s="1506"/>
      <c r="C180" s="1503"/>
      <c r="D180" s="1504" t="s">
        <v>2017</v>
      </c>
      <c r="E180" s="1505" t="s">
        <v>1531</v>
      </c>
      <c r="F180" s="1848">
        <f>F178/F179</f>
        <v>8686.6866714439257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zoomScaleNormal="100" workbookViewId="0">
      <selection activeCell="A21" sqref="A21"/>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1807</v>
      </c>
      <c r="B1" s="1923"/>
      <c r="C1" s="1924"/>
      <c r="D1" s="1924"/>
      <c r="E1" s="1924"/>
      <c r="F1" s="1924"/>
    </row>
    <row r="2" spans="1:6" x14ac:dyDescent="0.25">
      <c r="A2" s="1926"/>
      <c r="B2" s="1927"/>
      <c r="C2" s="1981" t="s">
        <v>2003</v>
      </c>
      <c r="D2" s="1926"/>
      <c r="E2" s="1926"/>
      <c r="F2" s="1926"/>
    </row>
    <row r="3" spans="1:6" ht="5.25" customHeight="1" x14ac:dyDescent="0.25">
      <c r="A3" s="1928"/>
      <c r="B3" s="1929"/>
      <c r="C3" s="1928"/>
      <c r="D3" s="1928"/>
      <c r="E3" s="1928"/>
      <c r="F3" s="1928"/>
    </row>
    <row r="4" spans="1:6" ht="18.75" customHeight="1" x14ac:dyDescent="0.25">
      <c r="A4" s="2448" t="s">
        <v>1795</v>
      </c>
      <c r="B4" s="2449"/>
      <c r="C4" s="2449"/>
      <c r="D4" s="2449"/>
      <c r="E4" s="2449"/>
      <c r="F4" s="2450"/>
    </row>
    <row r="5" spans="1:6" x14ac:dyDescent="0.25">
      <c r="A5" s="2451"/>
      <c r="B5" s="2452"/>
      <c r="C5" s="2452"/>
      <c r="D5" s="2452"/>
      <c r="E5" s="2452"/>
      <c r="F5" s="2453"/>
    </row>
    <row r="6" spans="1:6" ht="18.75" x14ac:dyDescent="0.25">
      <c r="A6" s="1930" t="s">
        <v>1796</v>
      </c>
      <c r="B6" s="1931"/>
      <c r="C6" s="1932"/>
      <c r="D6" s="1932"/>
      <c r="E6" s="1932"/>
      <c r="F6" s="1933"/>
    </row>
    <row r="7" spans="1:6" ht="47.25" customHeight="1" x14ac:dyDescent="0.25">
      <c r="A7" s="2454" t="s">
        <v>1985</v>
      </c>
      <c r="B7" s="2455"/>
      <c r="C7" s="2455"/>
      <c r="D7" s="2455"/>
      <c r="E7" s="2455"/>
      <c r="F7" s="2456"/>
    </row>
    <row r="8" spans="1:6" ht="20.25" customHeight="1" x14ac:dyDescent="0.25">
      <c r="A8" s="1965" t="s">
        <v>1987</v>
      </c>
      <c r="B8" s="1966"/>
      <c r="C8" s="1966"/>
      <c r="D8" s="1966"/>
      <c r="E8" s="1934"/>
      <c r="F8" s="1935"/>
    </row>
    <row r="9" spans="1:6" ht="18" customHeight="1" x14ac:dyDescent="0.25">
      <c r="A9" s="1936" t="s">
        <v>1984</v>
      </c>
      <c r="B9" s="1938"/>
      <c r="C9" s="1938"/>
      <c r="D9" s="1938"/>
      <c r="E9" s="1934"/>
      <c r="F9" s="1935"/>
    </row>
    <row r="10" spans="1:6" ht="15.75" customHeight="1" x14ac:dyDescent="0.25">
      <c r="A10" s="2457" t="s">
        <v>1981</v>
      </c>
      <c r="B10" s="2458"/>
      <c r="C10" s="2458"/>
      <c r="D10" s="2458"/>
      <c r="E10" s="2458"/>
      <c r="F10" s="2459"/>
    </row>
    <row r="11" spans="1:6" ht="33" customHeight="1" x14ac:dyDescent="0.25">
      <c r="A11" s="2454" t="s">
        <v>1986</v>
      </c>
      <c r="B11" s="2455"/>
      <c r="C11" s="2455"/>
      <c r="D11" s="2455"/>
      <c r="E11" s="2455"/>
      <c r="F11" s="2456"/>
    </row>
    <row r="12" spans="1:6" ht="15" customHeight="1" x14ac:dyDescent="0.25">
      <c r="A12" s="1936" t="s">
        <v>1982</v>
      </c>
      <c r="B12" s="1937"/>
      <c r="C12" s="1938"/>
      <c r="D12" s="1938"/>
      <c r="E12" s="1938"/>
      <c r="F12" s="1939"/>
    </row>
    <row r="13" spans="1:6" ht="17.25" customHeight="1" x14ac:dyDescent="0.25">
      <c r="A13" s="2454" t="s">
        <v>1983</v>
      </c>
      <c r="B13" s="2455"/>
      <c r="C13" s="2455"/>
      <c r="D13" s="2455"/>
      <c r="E13" s="2455"/>
      <c r="F13" s="2456"/>
    </row>
    <row r="14" spans="1:6" ht="15" customHeight="1" x14ac:dyDescent="0.25">
      <c r="A14" s="1936" t="s">
        <v>1800</v>
      </c>
      <c r="B14" s="1937"/>
      <c r="C14" s="1938"/>
      <c r="D14" s="1938"/>
      <c r="E14" s="1938"/>
      <c r="F14" s="1939"/>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70" t="s">
        <v>1799</v>
      </c>
      <c r="C17" s="1944" t="s">
        <v>1797</v>
      </c>
      <c r="D17" s="1945">
        <v>500000</v>
      </c>
      <c r="E17" s="1945" t="str">
        <f>IF(D17&lt;25000,D17,"25,000")</f>
        <v>25,000</v>
      </c>
      <c r="F17" s="1946">
        <f>IF(D17&gt;=25000,(D17-E17),"0")</f>
        <v>475000</v>
      </c>
    </row>
    <row r="18" spans="1:7" x14ac:dyDescent="0.25">
      <c r="A18" s="1988" t="s">
        <v>2040</v>
      </c>
      <c r="B18" s="1971">
        <v>102510300</v>
      </c>
      <c r="C18" s="1989" t="s">
        <v>2042</v>
      </c>
      <c r="D18" s="1949">
        <v>1166</v>
      </c>
      <c r="E18" s="1969">
        <f t="shared" ref="E18:E81" si="0">IF(D18&lt;25000,D18,"25,000")</f>
        <v>1166</v>
      </c>
      <c r="F18" s="1969" t="str">
        <f t="shared" ref="F18:F81" si="1">IF(D18&gt;=25000,(D18-E18),"0")</f>
        <v>0</v>
      </c>
      <c r="G18" s="1950"/>
    </row>
    <row r="19" spans="1:7" x14ac:dyDescent="0.25">
      <c r="A19" s="1988" t="s">
        <v>2040</v>
      </c>
      <c r="B19" s="1971">
        <v>102510300</v>
      </c>
      <c r="C19" s="1989" t="s">
        <v>2041</v>
      </c>
      <c r="D19" s="1949">
        <v>10920</v>
      </c>
      <c r="E19" s="1969">
        <f t="shared" si="0"/>
        <v>10920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12086</v>
      </c>
      <c r="E142" s="1956">
        <f>SUM(E18:E141)</f>
        <v>12086</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0" t="s">
        <v>1663</v>
      </c>
      <c r="B5" s="2461"/>
      <c r="C5" s="2461"/>
      <c r="D5" s="2461"/>
      <c r="E5" s="2461"/>
      <c r="F5" s="2461"/>
      <c r="G5" s="2462"/>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v>688203</v>
      </c>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51">
        <v>67887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14145718</v>
      </c>
      <c r="F19" s="1852"/>
      <c r="G19" s="1854">
        <f>'Expenditures 15-22'!K33-SUM('Expenditures 15-22'!G33,'Expenditures 15-22'!I33)+'Expenditures 15-22'!D229</f>
        <v>14145718</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981471</v>
      </c>
      <c r="F21" s="1855"/>
      <c r="G21" s="1858">
        <f>'Expenditures 15-22'!K42-SUM('Expenditures 15-22'!G42,'Expenditures 15-22'!I42)+'Expenditures 15-22'!K120-SUM('Expenditures 15-22'!G120,'Expenditures 15-22'!I120)+'Expenditures 15-22'!K180-SUM('Expenditures 15-22'!G180,'Expenditures 15-22'!I180)+'Expenditures 15-22'!D238</f>
        <v>981471</v>
      </c>
      <c r="H21" s="817"/>
      <c r="I21" s="157"/>
    </row>
    <row r="22" spans="1:9" s="542" customFormat="1" ht="12" customHeight="1" x14ac:dyDescent="0.2">
      <c r="A22" s="824" t="s">
        <v>560</v>
      </c>
      <c r="B22" s="825"/>
      <c r="C22" s="823">
        <v>2200</v>
      </c>
      <c r="D22" s="1855"/>
      <c r="E22" s="1857">
        <f>'Expenditures 15-22'!K47-SUM('Expenditures 15-22'!G47,'Expenditures 15-22'!I47)+'Expenditures 15-22'!D243</f>
        <v>945824</v>
      </c>
      <c r="F22" s="1855"/>
      <c r="G22" s="1858">
        <f>'Expenditures 15-22'!K47-SUM('Expenditures 15-22'!G47,'Expenditures 15-22'!I47)+'Expenditures 15-22'!D243</f>
        <v>945824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1343972</v>
      </c>
      <c r="F23" s="1855"/>
      <c r="G23" s="1857">
        <f>'Expenditures 15-22'!K53-SUM('Expenditures 15-22'!G53,'Expenditures 15-22'!I53)+'Expenditures 15-22'!D257+'Expenditures 15-22'!K330-SUM('Expenditures 15-22'!G330,'Expenditures 15-22'!I330)</f>
        <v>1343972</v>
      </c>
      <c r="H23" s="817"/>
      <c r="I23" s="157"/>
    </row>
    <row r="24" spans="1:9" s="542" customFormat="1" ht="12" customHeight="1" x14ac:dyDescent="0.2">
      <c r="A24" s="824" t="s">
        <v>562</v>
      </c>
      <c r="B24" s="825"/>
      <c r="C24" s="823">
        <v>2400</v>
      </c>
      <c r="D24" s="1855"/>
      <c r="E24" s="1857">
        <f>'Expenditures 15-22'!K57-SUM('Expenditures 15-22'!G57,'Expenditures 15-22'!I57)+'Expenditures 15-22'!D261</f>
        <v>997573</v>
      </c>
      <c r="F24" s="1855"/>
      <c r="G24" s="1858">
        <f>'Expenditures 15-22'!K57-SUM('Expenditures 15-22'!G57,'Expenditures 15-22'!I57)+'Expenditures 15-22'!D261</f>
        <v>997573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40045</v>
      </c>
      <c r="E26" s="1857">
        <f>'Expenditures 15-22'!K122-SUM('Expenditures 15-22'!G122,'Expenditures 15-22'!I122)+E7</f>
        <v>0</v>
      </c>
      <c r="F26" s="1857">
        <f>'Expenditures 15-22'!K59-SUM('Expenditures 15-22'!G59,'Expenditures 15-22'!I59)+'Expenditures 15-22'!D263-E7</f>
        <v>40045</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219834</v>
      </c>
      <c r="E27" s="1857">
        <f>E8</f>
        <v>0</v>
      </c>
      <c r="F27" s="1857">
        <f>'Expenditures 15-22'!K60-SUM('Expenditures 15-22'!G60,'Expenditures 15-22'!I60)+'Expenditures 15-22'!D264-E8</f>
        <v>219834</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1897178</v>
      </c>
      <c r="F28" s="1859">
        <f>'Expenditures 15-22'!K61-SUM('Expenditures 15-22'!G61,'Expenditures 15-22'!I61)+'Expenditures 15-22'!K124-SUM('Expenditures 15-22'!G124,'Expenditures 15-22'!I124)+'Expenditures 15-22'!D266-E9</f>
        <v>1897178</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1343090</v>
      </c>
      <c r="F29" s="1855"/>
      <c r="G29" s="1858">
        <f>'Expenditures 15-22'!K62-SUM('Expenditures 15-22'!G62,'Expenditures 15-22'!I62)+'Expenditures 15-22'!K125-SUM('Expenditures 15-22'!G125,'Expenditures 15-22'!I125)+'Expenditures 15-22'!K182-SUM('Expenditures 15-22'!G182,'Expenditures 15-22'!I182)+'Expenditures 15-22'!D267</f>
        <v>1343090</v>
      </c>
      <c r="H29" s="815"/>
    </row>
    <row r="30" spans="1:9" ht="12" customHeight="1" x14ac:dyDescent="0.2">
      <c r="A30" s="824" t="s">
        <v>100</v>
      </c>
      <c r="B30" s="827"/>
      <c r="C30" s="823">
        <v>2560</v>
      </c>
      <c r="D30" s="1855"/>
      <c r="E30" s="1857">
        <f>'Expenditures 15-22'!K63-SUM('Expenditures 15-22'!G63,'Expenditures 15-22'!I63)+'Expenditures 15-22'!D268-E10</f>
        <v>-980</v>
      </c>
      <c r="F30" s="1855"/>
      <c r="G30" s="1857">
        <f>'Expenditures 15-22'!K63-SUM('Expenditures 15-22'!G63,'Expenditures 15-22'!I63)+'Expenditures 15-22'!D268-E10</f>
        <v>-980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10472</v>
      </c>
      <c r="F39" s="1855"/>
      <c r="G39" s="1857">
        <f>'Expenditures 15-22'!K75-SUM('Expenditures 15-22'!G75,'Expenditures 15-22'!I75)+'Expenditures 15-22'!K130-SUM('Expenditures 15-22'!G130,'Expenditures 15-22'!I130)+'Expenditures 15-22'!K185-SUM('Expenditures 15-22'!G185,'Expenditures 15-22'!I185)+'Expenditures 15-22'!D280</f>
        <v>10472</v>
      </c>
    </row>
    <row r="40" spans="1:7" ht="12" customHeight="1" x14ac:dyDescent="0.2">
      <c r="A40" s="820" t="s">
        <v>1798</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259879</v>
      </c>
      <c r="E41" s="1859">
        <f>SUM(E19:E40)</f>
        <v>21664318</v>
      </c>
      <c r="F41" s="1859">
        <f>SUM(F19:F39)</f>
        <v>2157057</v>
      </c>
      <c r="G41" s="1859">
        <f>SUM(G19:G40)</f>
        <v>19767140</v>
      </c>
    </row>
    <row r="42" spans="1:7" x14ac:dyDescent="0.2">
      <c r="A42" s="817"/>
      <c r="B42" s="157"/>
      <c r="C42" s="831"/>
      <c r="D42" s="2463" t="s">
        <v>519</v>
      </c>
      <c r="E42" s="2464"/>
      <c r="F42" s="832" t="s">
        <v>520</v>
      </c>
      <c r="G42" s="833"/>
    </row>
    <row r="43" spans="1:7" ht="12" customHeight="1" x14ac:dyDescent="0.2">
      <c r="A43" s="817"/>
      <c r="B43" s="157"/>
      <c r="C43" s="831"/>
      <c r="D43" s="1507" t="s">
        <v>470</v>
      </c>
      <c r="E43" s="1860">
        <f>D41</f>
        <v>259879</v>
      </c>
      <c r="F43" s="1507" t="s">
        <v>470</v>
      </c>
      <c r="G43" s="1860">
        <f>F41</f>
        <v>2157057</v>
      </c>
    </row>
    <row r="44" spans="1:7" ht="12" customHeight="1" x14ac:dyDescent="0.2">
      <c r="A44" s="817"/>
      <c r="B44" s="157"/>
      <c r="C44" s="831"/>
      <c r="D44" s="1507" t="s">
        <v>471</v>
      </c>
      <c r="E44" s="1860">
        <f>E41</f>
        <v>21664318</v>
      </c>
      <c r="F44" s="1507" t="s">
        <v>471</v>
      </c>
      <c r="G44" s="1860">
        <f>G41</f>
        <v>19767140</v>
      </c>
    </row>
    <row r="45" spans="1:7" ht="12" customHeight="1" x14ac:dyDescent="0.2">
      <c r="A45" s="817"/>
      <c r="B45" s="157"/>
      <c r="C45" s="157"/>
      <c r="D45" s="1508" t="s">
        <v>999</v>
      </c>
      <c r="E45" s="1861">
        <f>(E43/E44)</f>
        <v>1.1995715720199454E-2</v>
      </c>
      <c r="F45" s="1508" t="s">
        <v>999</v>
      </c>
      <c r="G45" s="1861">
        <f>(G43/G44)</f>
        <v>0.10912337343692613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2" t="s">
        <v>1365</v>
      </c>
      <c r="B1" s="2482"/>
      <c r="C1" s="2482"/>
      <c r="D1" s="2482"/>
      <c r="E1" s="2482"/>
      <c r="F1" s="2482"/>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3" t="s">
        <v>1532</v>
      </c>
      <c r="B5" s="2484"/>
      <c r="C5" s="2485"/>
      <c r="D5" s="2485"/>
      <c r="E5" s="2485"/>
      <c r="F5" s="2485"/>
      <c r="G5" s="1556"/>
      <c r="L5" s="1556"/>
      <c r="M5" s="1913"/>
      <c r="N5" s="1913"/>
      <c r="O5" s="1913"/>
    </row>
    <row r="6" spans="1:15" ht="12" customHeight="1" x14ac:dyDescent="0.25">
      <c r="A6" s="1529"/>
      <c r="B6" s="1530"/>
      <c r="C6" s="2486" t="str">
        <f>COVER!A17</f>
        <v>Canton Union SD 66</v>
      </c>
      <c r="D6" s="2486"/>
      <c r="E6" s="2486"/>
      <c r="F6" s="1531"/>
      <c r="G6" s="1556"/>
      <c r="L6" s="1556"/>
      <c r="M6" s="1913"/>
      <c r="N6" s="1913"/>
      <c r="O6" s="1913"/>
    </row>
    <row r="7" spans="1:15" ht="11.25" customHeight="1" thickBot="1" x14ac:dyDescent="0.3">
      <c r="A7" s="1529"/>
      <c r="B7" s="1530"/>
      <c r="C7" s="2487">
        <f>COVER!A13</f>
        <v>26029066025</v>
      </c>
      <c r="D7" s="2487"/>
      <c r="E7" s="2487"/>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2027</v>
      </c>
      <c r="D16" s="1544" t="s">
        <v>2027</v>
      </c>
      <c r="E16" s="1547"/>
      <c r="F16" s="1546" t="s">
        <v>2043</v>
      </c>
      <c r="G16" s="1556"/>
      <c r="H16" s="1556">
        <f t="shared" si="0"/>
        <v>5</v>
      </c>
      <c r="I16" s="1556">
        <f t="shared" si="1"/>
        <v>5</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2027</v>
      </c>
      <c r="D26" s="1544" t="s">
        <v>2027</v>
      </c>
      <c r="E26" s="1547"/>
      <c r="F26" s="1546" t="s">
        <v>2044</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2027</v>
      </c>
      <c r="D31" s="1544" t="s">
        <v>2027</v>
      </c>
      <c r="E31" s="1547"/>
      <c r="F31" s="1546" t="s">
        <v>2045</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488"/>
      <c r="D35" s="2488"/>
      <c r="E35" s="2488"/>
      <c r="F35" s="2489"/>
    </row>
    <row r="36" spans="1:15" ht="12" customHeight="1" x14ac:dyDescent="0.2">
      <c r="A36" s="2471"/>
      <c r="B36" s="2472"/>
      <c r="C36" s="2472"/>
      <c r="D36" s="2472"/>
      <c r="E36" s="2472"/>
      <c r="F36" s="2473"/>
    </row>
    <row r="37" spans="1:15" ht="12" customHeight="1" x14ac:dyDescent="0.2">
      <c r="A37" s="2471"/>
      <c r="B37" s="2472"/>
      <c r="C37" s="2472"/>
      <c r="D37" s="2472"/>
      <c r="E37" s="2472"/>
      <c r="F37" s="2473"/>
    </row>
    <row r="38" spans="1:15" ht="12" customHeight="1" x14ac:dyDescent="0.2">
      <c r="A38" s="2474"/>
      <c r="B38" s="2475"/>
      <c r="C38" s="2475"/>
      <c r="D38" s="2475"/>
      <c r="E38" s="2475"/>
      <c r="F38" s="2476"/>
    </row>
    <row r="39" spans="1:15" ht="4.5" hidden="1" customHeight="1" x14ac:dyDescent="0.2">
      <c r="A39" s="1551"/>
      <c r="B39" s="1551"/>
      <c r="C39" s="1551"/>
      <c r="D39" s="1551"/>
      <c r="E39" s="1551"/>
      <c r="F39" s="1551"/>
    </row>
    <row r="40" spans="1:15" s="1548" customFormat="1" ht="12" customHeight="1" x14ac:dyDescent="0.25">
      <c r="A40" s="1552" t="s">
        <v>1377</v>
      </c>
      <c r="B40" s="1553"/>
      <c r="C40" s="2477"/>
      <c r="D40" s="2477"/>
      <c r="E40" s="2477"/>
      <c r="F40" s="2478"/>
      <c r="H40" s="1557"/>
      <c r="I40" s="1557"/>
      <c r="J40" s="1557"/>
      <c r="K40" s="1557"/>
    </row>
    <row r="41" spans="1:15" s="1548" customFormat="1" ht="12" customHeight="1" x14ac:dyDescent="0.25">
      <c r="A41" s="2479"/>
      <c r="B41" s="2480"/>
      <c r="C41" s="2480"/>
      <c r="D41" s="2480"/>
      <c r="E41" s="2480"/>
      <c r="F41" s="2481"/>
      <c r="H41" s="1557"/>
      <c r="I41" s="1557"/>
      <c r="J41" s="1557"/>
      <c r="K41" s="1557"/>
    </row>
    <row r="42" spans="1:15" s="1548" customFormat="1" ht="12" customHeight="1" x14ac:dyDescent="0.25">
      <c r="A42" s="2479"/>
      <c r="B42" s="2480"/>
      <c r="C42" s="2480"/>
      <c r="D42" s="2480"/>
      <c r="E42" s="2480"/>
      <c r="F42" s="2481"/>
      <c r="H42" s="1557"/>
      <c r="I42" s="1557"/>
      <c r="J42" s="1557"/>
      <c r="K42" s="1557"/>
    </row>
    <row r="43" spans="1:15" s="1548" customFormat="1" ht="15" x14ac:dyDescent="0.25">
      <c r="A43" s="2468"/>
      <c r="B43" s="2469"/>
      <c r="C43" s="2469"/>
      <c r="D43" s="2469"/>
      <c r="E43" s="2469"/>
      <c r="F43" s="2470"/>
      <c r="H43" s="1557"/>
      <c r="I43" s="1557"/>
      <c r="J43" s="1557"/>
      <c r="K43" s="1557"/>
    </row>
    <row r="44" spans="1:15" s="1548" customFormat="1" ht="12" hidden="1" customHeight="1" x14ac:dyDescent="0.25">
      <c r="A44" s="2468"/>
      <c r="B44" s="2469"/>
      <c r="C44" s="2469"/>
      <c r="D44" s="2469"/>
      <c r="E44" s="2469"/>
      <c r="F44" s="2470"/>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E17" sqref="E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5" t="str">
        <f>COVER!A17</f>
        <v>Canton Union SD 66</v>
      </c>
      <c r="J6" s="2496"/>
      <c r="K6" s="2497"/>
      <c r="R6" s="1427"/>
    </row>
    <row r="7" spans="1:18" x14ac:dyDescent="0.2">
      <c r="A7" s="2498" t="s">
        <v>864</v>
      </c>
      <c r="B7" s="2499"/>
      <c r="C7" s="2499"/>
      <c r="D7" s="2499"/>
      <c r="E7" s="2500"/>
      <c r="F7" s="847"/>
      <c r="G7" s="839"/>
      <c r="H7" s="846" t="s">
        <v>369</v>
      </c>
      <c r="I7" s="2501">
        <f>COVER!A13</f>
        <v>26029066025</v>
      </c>
      <c r="J7" s="2501"/>
      <c r="K7" s="2501"/>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2" t="s">
        <v>478</v>
      </c>
      <c r="B11" s="2503"/>
      <c r="C11" s="2504"/>
      <c r="D11" s="861" t="s">
        <v>866</v>
      </c>
      <c r="E11" s="861" t="s">
        <v>64</v>
      </c>
      <c r="F11" s="861" t="s">
        <v>6</v>
      </c>
      <c r="G11" s="862" t="s">
        <v>155</v>
      </c>
      <c r="H11" s="861" t="s">
        <v>64</v>
      </c>
      <c r="I11" s="861" t="s">
        <v>6</v>
      </c>
      <c r="J11" s="1980" t="s">
        <v>2001</v>
      </c>
      <c r="K11" s="862" t="s">
        <v>155</v>
      </c>
    </row>
    <row r="12" spans="1:18" ht="15" customHeight="1" x14ac:dyDescent="0.2">
      <c r="A12" s="863">
        <v>1</v>
      </c>
      <c r="B12" s="864" t="s">
        <v>813</v>
      </c>
      <c r="C12" s="865"/>
      <c r="D12" s="866">
        <v>2320</v>
      </c>
      <c r="E12" s="1863">
        <f>'Expenditures 15-22'!K50</f>
        <v>211506</v>
      </c>
      <c r="F12" s="1864"/>
      <c r="G12" s="1863">
        <f t="shared" ref="G12:G18" si="0">SUM(E12:F12)</f>
        <v>211506</v>
      </c>
      <c r="H12" s="1865">
        <v>220440</v>
      </c>
      <c r="I12" s="1864"/>
      <c r="J12" s="1865">
        <v>647120</v>
      </c>
      <c r="K12" s="1863">
        <f t="shared" ref="K12:K18" si="1">SUM(H12:J12)</f>
        <v>867560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40045</v>
      </c>
      <c r="F15" s="1863">
        <f>'Expenditures 15-22'!K122</f>
        <v>0</v>
      </c>
      <c r="G15" s="1863">
        <f t="shared" si="0"/>
        <v>40045</v>
      </c>
      <c r="H15" s="1865">
        <v>39000</v>
      </c>
      <c r="I15" s="1865"/>
      <c r="J15" s="1865"/>
      <c r="K15" s="1863">
        <f t="shared" si="1"/>
        <v>39000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5" t="s">
        <v>7</v>
      </c>
      <c r="C18" s="2506"/>
      <c r="D18" s="2507"/>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251551</v>
      </c>
      <c r="F19" s="1868">
        <f t="shared" si="2"/>
        <v>0</v>
      </c>
      <c r="G19" s="1868">
        <f t="shared" si="2"/>
        <v>251551</v>
      </c>
      <c r="H19" s="1868">
        <f t="shared" si="2"/>
        <v>259440</v>
      </c>
      <c r="I19" s="1868">
        <f t="shared" si="2"/>
        <v>0</v>
      </c>
      <c r="J19" s="1868">
        <f t="shared" si="2"/>
        <v>647120</v>
      </c>
      <c r="K19" s="1868">
        <f t="shared" si="2"/>
        <v>906560</v>
      </c>
    </row>
    <row r="20" spans="1:11" ht="13.5" thickTop="1" x14ac:dyDescent="0.2">
      <c r="A20" s="863">
        <v>9</v>
      </c>
      <c r="B20" s="2508" t="str">
        <f>"Percent Increase (Decrease) for FY"&amp;'AFR20'!E2+1&amp;" (Budgeted) over FY"&amp;'AFR20'!E2&amp;" (Actual)"</f>
        <v>Percent Increase (Decrease) for FY2021 (Budgeted) over FY2020 (Actual)</v>
      </c>
      <c r="C20" s="2508"/>
      <c r="D20" s="2509"/>
      <c r="E20" s="1869"/>
      <c r="F20" s="1869"/>
      <c r="G20" s="1869"/>
      <c r="H20" s="1869"/>
      <c r="I20" s="1869"/>
      <c r="J20" s="1978"/>
      <c r="K20" s="1870">
        <f>IF(AND(G19&gt;0,K19&gt;0),(((K19-G19)/G19)),"Enter Budget Data")</f>
        <v>2.6038815190557778</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4"/>
      <c r="D26" s="2514"/>
      <c r="E26" s="874"/>
      <c r="F26" s="2513"/>
      <c r="G26" s="2513"/>
    </row>
    <row r="27" spans="1:11" x14ac:dyDescent="0.2">
      <c r="B27" s="871"/>
      <c r="C27" s="875" t="s">
        <v>1026</v>
      </c>
      <c r="D27" s="876"/>
      <c r="E27" s="877"/>
      <c r="F27" s="2510" t="s">
        <v>1495</v>
      </c>
      <c r="G27" s="2510"/>
    </row>
    <row r="28" spans="1:11" ht="28.5" customHeight="1" x14ac:dyDescent="0.2">
      <c r="B28" s="871"/>
      <c r="C28" s="2512"/>
      <c r="D28" s="2512"/>
      <c r="E28" s="878"/>
      <c r="F28" s="2512"/>
      <c r="G28" s="2512"/>
    </row>
    <row r="29" spans="1:11" x14ac:dyDescent="0.2">
      <c r="B29" s="871"/>
      <c r="C29" s="879" t="s">
        <v>1547</v>
      </c>
      <c r="E29" s="880"/>
      <c r="F29" s="2511" t="s">
        <v>1496</v>
      </c>
      <c r="G29" s="2511"/>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3"/>
      <c r="E33" s="2493"/>
      <c r="F33" s="2493"/>
      <c r="G33" s="2493"/>
      <c r="H33" s="2493"/>
      <c r="I33" s="2493"/>
      <c r="J33" s="1976"/>
    </row>
    <row r="34" spans="1:11" ht="10.35" customHeight="1" x14ac:dyDescent="0.2">
      <c r="C34" s="2493"/>
      <c r="D34" s="2493"/>
      <c r="E34" s="2493"/>
      <c r="F34" s="2493"/>
      <c r="G34" s="2493"/>
      <c r="H34" s="2493"/>
      <c r="I34" s="2493"/>
      <c r="J34" s="1976"/>
    </row>
    <row r="35" spans="1:11" ht="7.5" customHeight="1" x14ac:dyDescent="0.2">
      <c r="C35" s="886"/>
    </row>
    <row r="36" spans="1:11" ht="13.5" customHeight="1" x14ac:dyDescent="0.2">
      <c r="B36" s="885"/>
      <c r="C36" s="249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3"/>
      <c r="E36" s="2493"/>
      <c r="F36" s="2493"/>
      <c r="G36" s="2493"/>
      <c r="H36" s="2493"/>
      <c r="I36" s="2493"/>
      <c r="J36" s="1976"/>
      <c r="K36" s="887"/>
    </row>
    <row r="37" spans="1:11" ht="22.5" customHeight="1" x14ac:dyDescent="0.2">
      <c r="C37" s="2493"/>
      <c r="D37" s="2493"/>
      <c r="E37" s="2493"/>
      <c r="F37" s="2493"/>
      <c r="G37" s="2493"/>
      <c r="H37" s="2493"/>
      <c r="I37" s="2493"/>
      <c r="J37" s="1976"/>
      <c r="K37" s="887"/>
    </row>
    <row r="38" spans="1:11" ht="7.5" customHeight="1" x14ac:dyDescent="0.2">
      <c r="C38" s="886"/>
      <c r="D38" s="888"/>
      <c r="E38" s="889"/>
      <c r="F38" s="890"/>
      <c r="G38" s="889"/>
    </row>
    <row r="39" spans="1:11" ht="13.5" customHeight="1" x14ac:dyDescent="0.2">
      <c r="B39" s="885"/>
      <c r="C39" s="2490" t="str">
        <f>"The district will amend their budget to become in compliance with the limitation."</f>
        <v>The district will amend their budget to become in compliance with the limitation.</v>
      </c>
      <c r="D39" s="2491"/>
      <c r="E39" s="2491"/>
      <c r="F39" s="2491"/>
      <c r="G39" s="2491"/>
      <c r="H39" s="2491"/>
      <c r="I39" s="2491"/>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F445-6902-4851-B05A-FE1C87CC1AA2}">
  <sheetPr>
    <pageSetUpPr fitToPage="1"/>
  </sheetPr>
  <dimension ref="A1:N72"/>
  <sheetViews>
    <sheetView showGridLines="0" zoomScaleNormal="100" workbookViewId="0">
      <selection activeCell="G16" sqref="G16"/>
    </sheetView>
  </sheetViews>
  <sheetFormatPr defaultRowHeight="15" x14ac:dyDescent="0.25"/>
  <cols>
    <col min="1" max="1" width="2.7109375" style="1996" customWidth="1"/>
    <col min="2" max="2" width="3" style="1996" customWidth="1"/>
    <col min="3" max="3" width="38" style="1996" customWidth="1"/>
    <col min="4" max="4" width="7.7109375" style="1996" customWidth="1"/>
    <col min="5" max="5" width="10.7109375" style="1996" customWidth="1"/>
    <col min="6" max="6" width="11" style="1996" customWidth="1"/>
    <col min="7" max="8" width="9.140625" style="1996"/>
    <col min="9" max="9" width="10.85546875" style="1996" customWidth="1"/>
    <col min="10" max="10" width="12.42578125" style="1996" customWidth="1"/>
    <col min="11" max="11" width="9.140625" style="1996"/>
    <col min="12" max="12" width="13.140625" style="1996" customWidth="1"/>
    <col min="13" max="13" width="9.140625" style="1996"/>
    <col min="14" max="14" width="17.85546875" style="1996" customWidth="1"/>
    <col min="15" max="16384" width="9.140625" style="1996"/>
  </cols>
  <sheetData>
    <row r="1" spans="1:14" x14ac:dyDescent="0.25">
      <c r="A1" s="1991"/>
      <c r="B1" s="1992"/>
      <c r="C1" s="1992"/>
      <c r="D1" s="1992"/>
      <c r="E1" s="1992"/>
      <c r="F1" s="1992"/>
      <c r="G1" s="1993" t="s">
        <v>402</v>
      </c>
      <c r="H1" s="1994"/>
      <c r="I1" s="1992"/>
      <c r="J1" s="1992"/>
      <c r="K1" s="1992"/>
      <c r="L1" s="1992"/>
      <c r="M1" s="1992"/>
      <c r="N1" s="1995"/>
    </row>
    <row r="2" spans="1:14" x14ac:dyDescent="0.25">
      <c r="A2" s="1997"/>
      <c r="B2" s="899"/>
      <c r="C2" s="899"/>
      <c r="D2" s="899"/>
      <c r="E2" s="899"/>
      <c r="F2" s="899"/>
      <c r="G2" s="1990" t="s">
        <v>2002</v>
      </c>
      <c r="H2" s="1998"/>
      <c r="I2" s="899"/>
      <c r="J2" s="899"/>
      <c r="K2" s="899"/>
      <c r="L2" s="899"/>
      <c r="M2" s="899"/>
      <c r="N2" s="1999"/>
    </row>
    <row r="3" spans="1:14" x14ac:dyDescent="0.25">
      <c r="A3" s="1997"/>
      <c r="B3" s="899"/>
      <c r="C3" s="899"/>
      <c r="D3" s="899"/>
      <c r="E3" s="899"/>
      <c r="F3" s="899"/>
      <c r="G3" s="1990" t="s">
        <v>403</v>
      </c>
      <c r="H3" s="899"/>
      <c r="I3" s="899"/>
      <c r="J3" s="899"/>
      <c r="K3" s="899"/>
      <c r="L3" s="899"/>
      <c r="M3" s="899"/>
      <c r="N3" s="1999"/>
    </row>
    <row r="4" spans="1:14" x14ac:dyDescent="0.25">
      <c r="A4" s="1997"/>
      <c r="B4" s="899"/>
      <c r="C4" s="899"/>
      <c r="D4" s="899"/>
      <c r="E4" s="899"/>
      <c r="F4" s="899"/>
      <c r="G4" s="1990" t="s">
        <v>863</v>
      </c>
      <c r="H4" s="899"/>
      <c r="I4" s="899"/>
      <c r="J4" s="899"/>
      <c r="K4" s="899"/>
      <c r="L4" s="899"/>
      <c r="M4" s="899"/>
      <c r="N4" s="1999"/>
    </row>
    <row r="5" spans="1:14" x14ac:dyDescent="0.25">
      <c r="A5" s="1997"/>
      <c r="B5" s="899"/>
      <c r="C5" s="899"/>
      <c r="D5" s="899"/>
      <c r="E5" s="899"/>
      <c r="F5" s="1990"/>
      <c r="G5" s="1990"/>
      <c r="H5" s="899"/>
      <c r="I5" s="899"/>
      <c r="J5" s="899"/>
      <c r="K5" s="899"/>
      <c r="L5" s="899"/>
      <c r="M5" s="899"/>
      <c r="N5" s="1999"/>
    </row>
    <row r="6" spans="1:14" x14ac:dyDescent="0.25">
      <c r="A6" s="2000" t="s">
        <v>667</v>
      </c>
      <c r="B6" s="1422"/>
      <c r="C6" s="1422"/>
      <c r="D6" s="1422"/>
      <c r="E6" s="1423"/>
      <c r="F6" s="2001"/>
      <c r="G6" s="1990"/>
      <c r="H6" s="899"/>
      <c r="I6" s="2002" t="s">
        <v>1021</v>
      </c>
      <c r="J6" s="2517" t="str">
        <f>+COVER!A17</f>
        <v>Canton Union SD 66</v>
      </c>
      <c r="K6" s="2517"/>
      <c r="L6" s="2518"/>
      <c r="M6" s="899"/>
      <c r="N6" s="1999"/>
    </row>
    <row r="7" spans="1:14" x14ac:dyDescent="0.25">
      <c r="A7" s="2519" t="s">
        <v>864</v>
      </c>
      <c r="B7" s="2520"/>
      <c r="C7" s="2520"/>
      <c r="D7" s="2520"/>
      <c r="E7" s="2521"/>
      <c r="F7" s="2003"/>
      <c r="G7" s="899"/>
      <c r="H7" s="899"/>
      <c r="I7" s="2002" t="s">
        <v>369</v>
      </c>
      <c r="J7" s="2522">
        <f>+COVER!A13</f>
        <v>26029066025</v>
      </c>
      <c r="K7" s="2522"/>
      <c r="L7" s="2522"/>
      <c r="M7" s="899"/>
      <c r="N7" s="1999"/>
    </row>
    <row r="8" spans="1:14" x14ac:dyDescent="0.25">
      <c r="A8" s="2004"/>
      <c r="B8" s="2005"/>
      <c r="C8" s="2005"/>
      <c r="D8" s="2005"/>
      <c r="E8" s="2006"/>
      <c r="F8" s="2007"/>
      <c r="G8" s="2008"/>
      <c r="H8" s="2008"/>
      <c r="I8" s="2008"/>
      <c r="J8" s="2008"/>
      <c r="K8" s="2008"/>
      <c r="L8" s="2008"/>
      <c r="M8" s="899"/>
      <c r="N8" s="1999"/>
    </row>
    <row r="9" spans="1:14" x14ac:dyDescent="0.25">
      <c r="A9" s="2009"/>
      <c r="B9" s="2010"/>
      <c r="C9" s="2010"/>
      <c r="D9" s="2011"/>
      <c r="E9" s="2012" t="s">
        <v>2145</v>
      </c>
      <c r="F9" s="2013"/>
      <c r="G9" s="2013"/>
      <c r="H9" s="2013"/>
      <c r="I9" s="2014" t="s">
        <v>2146</v>
      </c>
      <c r="J9" s="2013"/>
      <c r="K9" s="2013"/>
      <c r="L9" s="2015"/>
      <c r="M9" s="899"/>
      <c r="N9" s="1999"/>
    </row>
    <row r="10" spans="1:14" x14ac:dyDescent="0.25">
      <c r="A10" s="1997"/>
      <c r="B10" s="899"/>
      <c r="C10" s="1990"/>
      <c r="D10" s="2016"/>
      <c r="E10" s="2017" t="s">
        <v>422</v>
      </c>
      <c r="F10" s="2018" t="s">
        <v>423</v>
      </c>
      <c r="G10" s="2019" t="s">
        <v>429</v>
      </c>
      <c r="H10" s="2020"/>
      <c r="I10" s="2018" t="s">
        <v>422</v>
      </c>
      <c r="J10" s="2018" t="s">
        <v>423</v>
      </c>
      <c r="K10" s="2019" t="s">
        <v>429</v>
      </c>
      <c r="L10" s="2018"/>
      <c r="M10" s="899"/>
      <c r="N10" s="1999"/>
    </row>
    <row r="11" spans="1:14" ht="51" x14ac:dyDescent="0.25">
      <c r="A11" s="2523" t="s">
        <v>478</v>
      </c>
      <c r="B11" s="2524"/>
      <c r="C11" s="2525"/>
      <c r="D11" s="2021" t="s">
        <v>866</v>
      </c>
      <c r="E11" s="2021" t="s">
        <v>64</v>
      </c>
      <c r="F11" s="2021" t="s">
        <v>6</v>
      </c>
      <c r="G11" s="2022" t="s">
        <v>2147</v>
      </c>
      <c r="H11" s="2023" t="s">
        <v>155</v>
      </c>
      <c r="I11" s="2021" t="s">
        <v>64</v>
      </c>
      <c r="J11" s="2021" t="s">
        <v>6</v>
      </c>
      <c r="K11" s="2022" t="s">
        <v>2001</v>
      </c>
      <c r="L11" s="2023" t="s">
        <v>155</v>
      </c>
      <c r="M11" s="899"/>
      <c r="N11" s="1999"/>
    </row>
    <row r="12" spans="1:14" x14ac:dyDescent="0.25">
      <c r="A12" s="2024">
        <v>1</v>
      </c>
      <c r="B12" s="2025" t="s">
        <v>813</v>
      </c>
      <c r="C12" s="2026"/>
      <c r="D12" s="2027">
        <v>2320</v>
      </c>
      <c r="E12" s="2028">
        <f>+'AC32'!E12</f>
        <v>211506</v>
      </c>
      <c r="F12" s="2029"/>
      <c r="G12" s="2030">
        <f>G68</f>
        <v>634920</v>
      </c>
      <c r="H12" s="2031">
        <f t="shared" ref="H12:H18" si="0">SUM(E12:G12)</f>
        <v>846426</v>
      </c>
      <c r="I12" s="2032">
        <v>220440</v>
      </c>
      <c r="J12" s="2029"/>
      <c r="K12" s="2032">
        <v>647120</v>
      </c>
      <c r="L12" s="2031">
        <f t="shared" ref="L12:L18" si="1">SUM(I12:K12)</f>
        <v>867560</v>
      </c>
      <c r="M12" s="899"/>
      <c r="N12" s="1999"/>
    </row>
    <row r="13" spans="1:14" x14ac:dyDescent="0.25">
      <c r="A13" s="2024">
        <v>2</v>
      </c>
      <c r="B13" s="2025" t="s">
        <v>42</v>
      </c>
      <c r="C13" s="2026"/>
      <c r="D13" s="2027">
        <v>2330</v>
      </c>
      <c r="E13" s="2028">
        <f>+'AC32'!E13</f>
        <v>0</v>
      </c>
      <c r="F13" s="2029"/>
      <c r="G13" s="2030">
        <f>H68</f>
        <v>0</v>
      </c>
      <c r="H13" s="2031">
        <f t="shared" si="0"/>
        <v>0</v>
      </c>
      <c r="I13" s="2032">
        <v>0</v>
      </c>
      <c r="J13" s="2029"/>
      <c r="K13" s="2032"/>
      <c r="L13" s="2031">
        <f t="shared" si="1"/>
        <v>0</v>
      </c>
      <c r="M13" s="899"/>
      <c r="N13" s="1999"/>
    </row>
    <row r="14" spans="1:14" x14ac:dyDescent="0.25">
      <c r="A14" s="2024">
        <v>3</v>
      </c>
      <c r="B14" s="2025" t="s">
        <v>43</v>
      </c>
      <c r="C14" s="2026"/>
      <c r="D14" s="2033">
        <v>2490</v>
      </c>
      <c r="E14" s="2028">
        <f>+'AC32'!E14</f>
        <v>0</v>
      </c>
      <c r="F14" s="2029"/>
      <c r="G14" s="2030">
        <f>I68</f>
        <v>0</v>
      </c>
      <c r="H14" s="2031">
        <f t="shared" si="0"/>
        <v>0</v>
      </c>
      <c r="I14" s="2032">
        <v>0</v>
      </c>
      <c r="J14" s="2029"/>
      <c r="K14" s="2032"/>
      <c r="L14" s="2031">
        <f t="shared" si="1"/>
        <v>0</v>
      </c>
      <c r="M14" s="899"/>
      <c r="N14" s="1999"/>
    </row>
    <row r="15" spans="1:14" x14ac:dyDescent="0.25">
      <c r="A15" s="2024">
        <v>4</v>
      </c>
      <c r="B15" s="2025" t="s">
        <v>1061</v>
      </c>
      <c r="C15" s="2026"/>
      <c r="D15" s="2027">
        <v>2510</v>
      </c>
      <c r="E15" s="2028">
        <f>+'AC32'!E15</f>
        <v>40045</v>
      </c>
      <c r="F15" s="2028"/>
      <c r="G15" s="2030">
        <f>J68</f>
        <v>0</v>
      </c>
      <c r="H15" s="2031">
        <f t="shared" si="0"/>
        <v>40045</v>
      </c>
      <c r="I15" s="2032">
        <v>39000</v>
      </c>
      <c r="J15" s="2032"/>
      <c r="K15" s="2032"/>
      <c r="L15" s="2031">
        <f t="shared" si="1"/>
        <v>39000</v>
      </c>
      <c r="M15" s="899"/>
      <c r="N15" s="1999"/>
    </row>
    <row r="16" spans="1:14" x14ac:dyDescent="0.25">
      <c r="A16" s="2024">
        <v>5</v>
      </c>
      <c r="B16" s="2025" t="s">
        <v>101</v>
      </c>
      <c r="C16" s="2026"/>
      <c r="D16" s="2027">
        <v>2570</v>
      </c>
      <c r="E16" s="2028">
        <f>+'AC32'!E16</f>
        <v>0</v>
      </c>
      <c r="F16" s="2029"/>
      <c r="G16" s="2030">
        <f>K68</f>
        <v>0</v>
      </c>
      <c r="H16" s="2031">
        <f t="shared" si="0"/>
        <v>0</v>
      </c>
      <c r="I16" s="2032">
        <v>0</v>
      </c>
      <c r="J16" s="2029"/>
      <c r="K16" s="2032"/>
      <c r="L16" s="2031">
        <f t="shared" si="1"/>
        <v>0</v>
      </c>
      <c r="M16" s="899"/>
      <c r="N16" s="1999"/>
    </row>
    <row r="17" spans="1:14" x14ac:dyDescent="0.25">
      <c r="A17" s="2024">
        <v>6</v>
      </c>
      <c r="B17" s="2025" t="s">
        <v>1053</v>
      </c>
      <c r="C17" s="2026"/>
      <c r="D17" s="2027">
        <v>2610</v>
      </c>
      <c r="E17" s="2028">
        <f>+'AC32'!E17</f>
        <v>0</v>
      </c>
      <c r="F17" s="2029"/>
      <c r="G17" s="2030">
        <f>L68</f>
        <v>0</v>
      </c>
      <c r="H17" s="2031">
        <f t="shared" si="0"/>
        <v>0</v>
      </c>
      <c r="I17" s="2032">
        <v>0</v>
      </c>
      <c r="J17" s="2029"/>
      <c r="K17" s="2032"/>
      <c r="L17" s="2031">
        <f t="shared" si="1"/>
        <v>0</v>
      </c>
      <c r="M17" s="899"/>
      <c r="N17" s="1999"/>
    </row>
    <row r="18" spans="1:14" ht="28.5" customHeight="1" x14ac:dyDescent="0.25">
      <c r="A18" s="2034">
        <v>7</v>
      </c>
      <c r="B18" s="2506" t="s">
        <v>7</v>
      </c>
      <c r="C18" s="2506"/>
      <c r="D18" s="2507"/>
      <c r="E18" s="2032"/>
      <c r="F18" s="2032"/>
      <c r="G18" s="2032"/>
      <c r="H18" s="2031">
        <f t="shared" si="0"/>
        <v>0</v>
      </c>
      <c r="I18" s="2032"/>
      <c r="J18" s="2032"/>
      <c r="K18" s="2032"/>
      <c r="L18" s="2031">
        <f t="shared" si="1"/>
        <v>0</v>
      </c>
      <c r="M18" s="899"/>
      <c r="N18" s="1999"/>
    </row>
    <row r="19" spans="1:14" ht="15.75" thickBot="1" x14ac:dyDescent="0.3">
      <c r="A19" s="2024">
        <v>8</v>
      </c>
      <c r="B19" s="2035" t="s">
        <v>1153</v>
      </c>
      <c r="C19" s="899"/>
      <c r="D19" s="2036"/>
      <c r="E19" s="2037">
        <f t="shared" ref="E19:L19" si="2">SUM(E12:E17)-E18</f>
        <v>251551</v>
      </c>
      <c r="F19" s="2037">
        <f t="shared" si="2"/>
        <v>0</v>
      </c>
      <c r="G19" s="2037">
        <f t="shared" ref="G19" si="3">SUM(G12:G17)-G18</f>
        <v>634920</v>
      </c>
      <c r="H19" s="2037">
        <f t="shared" si="2"/>
        <v>886471</v>
      </c>
      <c r="I19" s="2037">
        <f t="shared" si="2"/>
        <v>259440</v>
      </c>
      <c r="J19" s="2037">
        <f t="shared" si="2"/>
        <v>0</v>
      </c>
      <c r="K19" s="2037">
        <f t="shared" si="2"/>
        <v>647120</v>
      </c>
      <c r="L19" s="2037">
        <f t="shared" si="2"/>
        <v>906560</v>
      </c>
      <c r="M19" s="899"/>
      <c r="N19" s="1999"/>
    </row>
    <row r="20" spans="1:14" ht="15.75" thickTop="1" x14ac:dyDescent="0.25">
      <c r="A20" s="2024">
        <v>9</v>
      </c>
      <c r="B20" s="2515" t="s">
        <v>2148</v>
      </c>
      <c r="C20" s="2515"/>
      <c r="D20" s="2516"/>
      <c r="E20" s="2038"/>
      <c r="F20" s="2038"/>
      <c r="G20" s="2038"/>
      <c r="H20" s="2038"/>
      <c r="I20" s="2038"/>
      <c r="J20" s="2038"/>
      <c r="K20" s="2038"/>
      <c r="L20" s="2039">
        <f>IF(AND(H19&gt;0,L19&gt;0),(((L19-H19)/H19)),"Enter Budget Data")</f>
        <v>2.2661767841249177E-2</v>
      </c>
      <c r="M20" s="899"/>
      <c r="N20" s="1999"/>
    </row>
    <row r="21" spans="1:14" x14ac:dyDescent="0.25">
      <c r="A21" s="2040" t="s">
        <v>194</v>
      </c>
      <c r="B21" s="294" t="s">
        <v>2149</v>
      </c>
      <c r="C21" s="899"/>
      <c r="D21" s="2041"/>
      <c r="E21" s="2042"/>
      <c r="F21" s="2043"/>
      <c r="G21" s="2043"/>
      <c r="H21" s="2043"/>
      <c r="I21" s="2043"/>
      <c r="J21" s="2043"/>
      <c r="K21" s="2043"/>
      <c r="L21" s="2044"/>
      <c r="M21" s="899"/>
      <c r="N21" s="1999"/>
    </row>
    <row r="22" spans="1:14" x14ac:dyDescent="0.25">
      <c r="A22" s="1997"/>
      <c r="B22" s="2045"/>
      <c r="C22" s="899"/>
      <c r="D22" s="899"/>
      <c r="E22" s="899"/>
      <c r="F22" s="899"/>
      <c r="G22" s="899"/>
      <c r="H22" s="899"/>
      <c r="I22" s="899"/>
      <c r="J22" s="899"/>
      <c r="K22" s="899"/>
      <c r="L22" s="899"/>
      <c r="M22" s="899"/>
      <c r="N22" s="1999"/>
    </row>
    <row r="23" spans="1:14" x14ac:dyDescent="0.25">
      <c r="A23" s="2046" t="s">
        <v>132</v>
      </c>
      <c r="B23" s="2045"/>
      <c r="C23" s="899"/>
      <c r="D23" s="899"/>
      <c r="E23" s="899"/>
      <c r="F23" s="899"/>
      <c r="G23" s="899"/>
      <c r="H23" s="899"/>
      <c r="I23" s="899"/>
      <c r="J23" s="899"/>
      <c r="K23" s="899"/>
      <c r="L23" s="899"/>
      <c r="M23" s="899"/>
      <c r="N23" s="1999"/>
    </row>
    <row r="24" spans="1:14" x14ac:dyDescent="0.25">
      <c r="A24" s="2047" t="s">
        <v>2150</v>
      </c>
      <c r="B24" s="2048"/>
      <c r="C24" s="2049"/>
      <c r="D24" s="2049"/>
      <c r="E24" s="2049"/>
      <c r="F24" s="2049"/>
      <c r="G24" s="2049"/>
      <c r="H24" s="2049"/>
      <c r="I24" s="2049"/>
      <c r="J24" s="2049"/>
      <c r="K24" s="2049"/>
      <c r="L24" s="899"/>
      <c r="M24" s="899"/>
      <c r="N24" s="1999"/>
    </row>
    <row r="25" spans="1:14" x14ac:dyDescent="0.25">
      <c r="A25" s="2047" t="s">
        <v>2151</v>
      </c>
      <c r="B25" s="2048"/>
      <c r="C25" s="2049"/>
      <c r="D25" s="2049"/>
      <c r="E25" s="2049"/>
      <c r="F25" s="2049"/>
      <c r="G25" s="2049"/>
      <c r="H25" s="2049"/>
      <c r="I25" s="2049"/>
      <c r="J25" s="2049"/>
      <c r="K25" s="2049"/>
      <c r="L25" s="899"/>
      <c r="M25" s="899"/>
      <c r="N25" s="1999"/>
    </row>
    <row r="26" spans="1:14" x14ac:dyDescent="0.25">
      <c r="A26" s="2050"/>
      <c r="B26" s="2045"/>
      <c r="C26" s="899"/>
      <c r="D26" s="899"/>
      <c r="E26" s="899"/>
      <c r="F26" s="899"/>
      <c r="G26" s="899"/>
      <c r="H26" s="899"/>
      <c r="I26" s="899"/>
      <c r="J26" s="899"/>
      <c r="K26" s="899"/>
      <c r="L26" s="899"/>
      <c r="M26" s="899"/>
      <c r="N26" s="1999"/>
    </row>
    <row r="27" spans="1:14" x14ac:dyDescent="0.25">
      <c r="A27" s="1997"/>
      <c r="B27" s="2045"/>
      <c r="C27" s="2528"/>
      <c r="D27" s="2528"/>
      <c r="E27" s="2051"/>
      <c r="F27" s="2513"/>
      <c r="G27" s="2513"/>
      <c r="H27" s="2513"/>
      <c r="I27" s="899"/>
      <c r="J27" s="899"/>
      <c r="K27" s="899"/>
      <c r="L27" s="899"/>
      <c r="M27" s="899"/>
      <c r="N27" s="1999"/>
    </row>
    <row r="28" spans="1:14" x14ac:dyDescent="0.25">
      <c r="A28" s="1997"/>
      <c r="B28" s="2045"/>
      <c r="C28" s="2052" t="s">
        <v>1026</v>
      </c>
      <c r="D28" s="2053"/>
      <c r="E28" s="2054"/>
      <c r="F28" s="2529" t="s">
        <v>1495</v>
      </c>
      <c r="G28" s="2529"/>
      <c r="H28" s="2529"/>
      <c r="I28" s="899"/>
      <c r="J28" s="899"/>
      <c r="K28" s="899"/>
      <c r="L28" s="899"/>
      <c r="M28" s="899"/>
      <c r="N28" s="1999"/>
    </row>
    <row r="29" spans="1:14" x14ac:dyDescent="0.25">
      <c r="A29" s="1997"/>
      <c r="B29" s="2045"/>
      <c r="C29" s="2530"/>
      <c r="D29" s="2530"/>
      <c r="E29" s="898"/>
      <c r="F29" s="2530"/>
      <c r="G29" s="2530"/>
      <c r="H29" s="2530"/>
      <c r="I29" s="899"/>
      <c r="J29" s="899"/>
      <c r="K29" s="899"/>
      <c r="L29" s="899"/>
      <c r="M29" s="899"/>
      <c r="N29" s="1999"/>
    </row>
    <row r="30" spans="1:14" x14ac:dyDescent="0.25">
      <c r="A30" s="1997"/>
      <c r="B30" s="2045"/>
      <c r="C30" s="2055" t="s">
        <v>1547</v>
      </c>
      <c r="D30" s="899"/>
      <c r="E30" s="2056"/>
      <c r="F30" s="2531" t="s">
        <v>1496</v>
      </c>
      <c r="G30" s="2531"/>
      <c r="H30" s="2531"/>
      <c r="I30" s="899"/>
      <c r="J30" s="899"/>
      <c r="K30" s="899"/>
      <c r="L30" s="899"/>
      <c r="M30" s="899"/>
      <c r="N30" s="1999"/>
    </row>
    <row r="31" spans="1:14" x14ac:dyDescent="0.25">
      <c r="A31" s="1997"/>
      <c r="B31" s="2045"/>
      <c r="C31" s="2057"/>
      <c r="D31" s="899"/>
      <c r="E31" s="2041"/>
      <c r="F31" s="2042"/>
      <c r="G31" s="2042"/>
      <c r="H31" s="2042"/>
      <c r="I31" s="899"/>
      <c r="J31" s="899"/>
      <c r="K31" s="899"/>
      <c r="L31" s="899"/>
      <c r="M31" s="899"/>
      <c r="N31" s="1999"/>
    </row>
    <row r="32" spans="1:14" x14ac:dyDescent="0.25">
      <c r="A32" s="1997"/>
      <c r="B32" s="2058" t="s">
        <v>1027</v>
      </c>
      <c r="C32" s="899"/>
      <c r="D32" s="899"/>
      <c r="E32" s="899"/>
      <c r="F32" s="899"/>
      <c r="G32" s="899"/>
      <c r="H32" s="899"/>
      <c r="I32" s="899"/>
      <c r="J32" s="899"/>
      <c r="K32" s="899"/>
      <c r="L32" s="899"/>
      <c r="M32" s="899"/>
      <c r="N32" s="1999"/>
    </row>
    <row r="33" spans="1:14" x14ac:dyDescent="0.25">
      <c r="A33" s="1997"/>
      <c r="B33" s="2059"/>
      <c r="C33" s="899"/>
      <c r="D33" s="899"/>
      <c r="E33" s="899"/>
      <c r="F33" s="899"/>
      <c r="G33" s="899"/>
      <c r="H33" s="899"/>
      <c r="I33" s="899"/>
      <c r="J33" s="899"/>
      <c r="K33" s="899"/>
      <c r="L33" s="899"/>
      <c r="M33" s="899"/>
      <c r="N33" s="1999"/>
    </row>
    <row r="34" spans="1:14" x14ac:dyDescent="0.25">
      <c r="A34" s="1997"/>
      <c r="B34" s="2060"/>
      <c r="C34" s="2532" t="s">
        <v>2152</v>
      </c>
      <c r="D34" s="2532"/>
      <c r="E34" s="2532"/>
      <c r="F34" s="2532"/>
      <c r="G34" s="2532"/>
      <c r="H34" s="2532"/>
      <c r="I34" s="2532"/>
      <c r="J34" s="2532"/>
      <c r="K34" s="2061"/>
      <c r="L34" s="899"/>
      <c r="M34" s="899"/>
      <c r="N34" s="1999"/>
    </row>
    <row r="35" spans="1:14" x14ac:dyDescent="0.25">
      <c r="A35" s="1997"/>
      <c r="B35" s="899"/>
      <c r="C35" s="2532"/>
      <c r="D35" s="2532"/>
      <c r="E35" s="2532"/>
      <c r="F35" s="2532"/>
      <c r="G35" s="2532"/>
      <c r="H35" s="2532"/>
      <c r="I35" s="2532"/>
      <c r="J35" s="2532"/>
      <c r="K35" s="2061"/>
      <c r="L35" s="899"/>
      <c r="M35" s="899"/>
      <c r="N35" s="1999"/>
    </row>
    <row r="36" spans="1:14" x14ac:dyDescent="0.25">
      <c r="A36" s="1997"/>
      <c r="B36" s="899"/>
      <c r="C36" s="2062"/>
      <c r="D36" s="899"/>
      <c r="E36" s="899"/>
      <c r="F36" s="899"/>
      <c r="G36" s="899"/>
      <c r="H36" s="899"/>
      <c r="I36" s="899"/>
      <c r="J36" s="899"/>
      <c r="K36" s="899"/>
      <c r="L36" s="899"/>
      <c r="M36" s="899"/>
      <c r="N36" s="1999"/>
    </row>
    <row r="37" spans="1:14" x14ac:dyDescent="0.25">
      <c r="A37" s="1997"/>
      <c r="B37" s="2060"/>
      <c r="C37" s="2532" t="s">
        <v>2153</v>
      </c>
      <c r="D37" s="2532"/>
      <c r="E37" s="2532"/>
      <c r="F37" s="2532"/>
      <c r="G37" s="2532"/>
      <c r="H37" s="2532"/>
      <c r="I37" s="2532"/>
      <c r="J37" s="2532"/>
      <c r="K37" s="2061"/>
      <c r="L37" s="887"/>
      <c r="M37" s="899"/>
      <c r="N37" s="1999"/>
    </row>
    <row r="38" spans="1:14" x14ac:dyDescent="0.25">
      <c r="A38" s="1997"/>
      <c r="B38" s="899"/>
      <c r="C38" s="2532"/>
      <c r="D38" s="2532"/>
      <c r="E38" s="2532"/>
      <c r="F38" s="2532"/>
      <c r="G38" s="2532"/>
      <c r="H38" s="2532"/>
      <c r="I38" s="2532"/>
      <c r="J38" s="2532"/>
      <c r="K38" s="2061"/>
      <c r="L38" s="887"/>
      <c r="M38" s="899"/>
      <c r="N38" s="1999"/>
    </row>
    <row r="39" spans="1:14" x14ac:dyDescent="0.25">
      <c r="A39" s="1997"/>
      <c r="B39" s="899"/>
      <c r="C39" s="2062"/>
      <c r="D39" s="899"/>
      <c r="E39" s="2063"/>
      <c r="F39" s="2064"/>
      <c r="G39" s="2064"/>
      <c r="H39" s="2063"/>
      <c r="I39" s="899"/>
      <c r="J39" s="899"/>
      <c r="K39" s="899"/>
      <c r="L39" s="899"/>
      <c r="M39" s="899"/>
      <c r="N39" s="1999"/>
    </row>
    <row r="40" spans="1:14" x14ac:dyDescent="0.25">
      <c r="A40" s="1997"/>
      <c r="B40" s="2060"/>
      <c r="C40" s="2533" t="s">
        <v>2154</v>
      </c>
      <c r="D40" s="2534"/>
      <c r="E40" s="2534"/>
      <c r="F40" s="2534"/>
      <c r="G40" s="2534"/>
      <c r="H40" s="2534"/>
      <c r="I40" s="2534"/>
      <c r="J40" s="2534"/>
      <c r="K40" s="2065"/>
      <c r="L40" s="899"/>
      <c r="M40" s="899"/>
      <c r="N40" s="1999"/>
    </row>
    <row r="41" spans="1:14" x14ac:dyDescent="0.25">
      <c r="A41" s="1997"/>
      <c r="B41" s="899"/>
      <c r="C41" s="891"/>
      <c r="D41" s="891"/>
      <c r="E41" s="891"/>
      <c r="F41" s="891"/>
      <c r="G41" s="891"/>
      <c r="H41" s="891"/>
      <c r="I41" s="891"/>
      <c r="J41" s="891"/>
      <c r="K41" s="891"/>
      <c r="L41" s="899"/>
      <c r="M41" s="899"/>
      <c r="N41" s="1999"/>
    </row>
    <row r="42" spans="1:14" ht="15.75" thickBot="1" x14ac:dyDescent="0.3">
      <c r="A42" s="2066"/>
      <c r="B42" s="2067"/>
      <c r="C42" s="2067"/>
      <c r="D42" s="2067"/>
      <c r="E42" s="2067"/>
      <c r="F42" s="2067"/>
      <c r="G42" s="2067"/>
      <c r="H42" s="2067"/>
      <c r="I42" s="2067"/>
      <c r="J42" s="2067"/>
      <c r="K42" s="2067"/>
      <c r="L42" s="2067"/>
      <c r="M42" s="2067"/>
      <c r="N42" s="2068"/>
    </row>
    <row r="43" spans="1:14" ht="27" thickBot="1" x14ac:dyDescent="0.45">
      <c r="A43" s="2535" t="s">
        <v>2155</v>
      </c>
      <c r="B43" s="2536"/>
      <c r="C43" s="2536"/>
      <c r="D43" s="2536"/>
      <c r="E43" s="2536"/>
      <c r="F43" s="2536"/>
      <c r="G43" s="2536"/>
      <c r="H43" s="2536"/>
      <c r="I43" s="2536"/>
      <c r="J43" s="2536"/>
      <c r="K43" s="2536"/>
      <c r="L43" s="2536"/>
      <c r="M43" s="2536"/>
      <c r="N43" s="2537"/>
    </row>
    <row r="44" spans="1:14" x14ac:dyDescent="0.25">
      <c r="A44" s="2069"/>
      <c r="B44" s="2070"/>
      <c r="C44" s="2070"/>
      <c r="D44" s="2070"/>
      <c r="E44" s="2070"/>
      <c r="F44" s="2070"/>
      <c r="G44" s="2070"/>
      <c r="H44" s="2070"/>
      <c r="I44" s="2070"/>
      <c r="J44" s="2070"/>
      <c r="K44" s="2070"/>
      <c r="L44" s="2070"/>
      <c r="M44" s="2070"/>
      <c r="N44" s="2071"/>
    </row>
    <row r="45" spans="1:14" x14ac:dyDescent="0.25">
      <c r="A45" s="2069" t="s">
        <v>2156</v>
      </c>
      <c r="B45" s="2070"/>
      <c r="C45" s="2070"/>
      <c r="D45" s="2070"/>
      <c r="E45" s="2070"/>
      <c r="F45" s="2070"/>
      <c r="G45" s="2070"/>
      <c r="H45" s="2070"/>
      <c r="I45" s="2070"/>
      <c r="J45" s="2070"/>
      <c r="K45" s="2070"/>
      <c r="L45" s="2070"/>
      <c r="M45" s="2070"/>
      <c r="N45" s="2071"/>
    </row>
    <row r="46" spans="1:14" x14ac:dyDescent="0.25">
      <c r="A46" s="2538" t="s">
        <v>2157</v>
      </c>
      <c r="B46" s="2539"/>
      <c r="C46" s="2539"/>
      <c r="D46" s="2539"/>
      <c r="E46" s="2539"/>
      <c r="F46" s="2539"/>
      <c r="G46" s="2539"/>
      <c r="H46" s="2539"/>
      <c r="I46" s="2539"/>
      <c r="J46" s="2539"/>
      <c r="K46" s="2539"/>
      <c r="L46" s="2539"/>
      <c r="M46" s="2539"/>
      <c r="N46" s="2540"/>
    </row>
    <row r="47" spans="1:14" x14ac:dyDescent="0.25">
      <c r="A47" s="2538"/>
      <c r="B47" s="2539"/>
      <c r="C47" s="2539"/>
      <c r="D47" s="2539"/>
      <c r="E47" s="2539"/>
      <c r="F47" s="2539"/>
      <c r="G47" s="2539"/>
      <c r="H47" s="2539"/>
      <c r="I47" s="2539"/>
      <c r="J47" s="2539"/>
      <c r="K47" s="2539"/>
      <c r="L47" s="2539"/>
      <c r="M47" s="2539"/>
      <c r="N47" s="2540"/>
    </row>
    <row r="48" spans="1:14" x14ac:dyDescent="0.25">
      <c r="A48" s="2072"/>
      <c r="B48" s="2070"/>
      <c r="C48" s="2070"/>
      <c r="D48" s="2073"/>
      <c r="E48" s="2073"/>
      <c r="F48" s="2073"/>
      <c r="G48" s="2073"/>
      <c r="H48" s="2073"/>
      <c r="I48" s="2073"/>
      <c r="J48" s="2073"/>
      <c r="K48" s="2073"/>
      <c r="L48" s="2073"/>
      <c r="M48" s="2073"/>
      <c r="N48" s="2074"/>
    </row>
    <row r="49" spans="1:14" ht="15.75" x14ac:dyDescent="0.25">
      <c r="A49" s="2075" t="s">
        <v>2158</v>
      </c>
      <c r="B49" s="2076"/>
      <c r="C49" s="2076"/>
      <c r="D49" s="2077"/>
      <c r="E49" s="2077"/>
      <c r="F49" s="2077"/>
      <c r="G49" s="2077"/>
      <c r="H49" s="2077"/>
      <c r="I49" s="2077"/>
      <c r="J49" s="2077"/>
      <c r="K49" s="2077"/>
      <c r="L49" s="2077"/>
      <c r="M49" s="2077"/>
      <c r="N49" s="2078"/>
    </row>
    <row r="50" spans="1:14" x14ac:dyDescent="0.25">
      <c r="A50" s="2075" t="s">
        <v>2159</v>
      </c>
      <c r="B50" s="2070"/>
      <c r="C50" s="2070"/>
      <c r="D50" s="2070"/>
      <c r="E50" s="2070"/>
      <c r="F50" s="2070"/>
      <c r="G50" s="2070"/>
      <c r="H50" s="2070"/>
      <c r="I50" s="2070"/>
      <c r="J50" s="2070"/>
      <c r="K50" s="2070"/>
      <c r="L50" s="2070"/>
      <c r="M50" s="2070"/>
      <c r="N50" s="2071"/>
    </row>
    <row r="51" spans="1:14" x14ac:dyDescent="0.25">
      <c r="A51" s="2069"/>
      <c r="B51" s="2070"/>
      <c r="C51" s="2070"/>
      <c r="D51" s="2070"/>
      <c r="E51" s="2070"/>
      <c r="F51" s="2070"/>
      <c r="G51" s="2070"/>
      <c r="H51" s="2070"/>
      <c r="I51" s="2070"/>
      <c r="J51" s="2070"/>
      <c r="K51" s="2070"/>
      <c r="L51" s="2070"/>
      <c r="M51" s="2070"/>
      <c r="N51" s="2071"/>
    </row>
    <row r="52" spans="1:14" x14ac:dyDescent="0.25">
      <c r="A52" s="2069"/>
      <c r="B52" s="2070"/>
      <c r="C52" s="2070"/>
      <c r="D52" s="2070"/>
      <c r="E52" s="2070"/>
      <c r="F52" s="2070"/>
      <c r="G52" s="2070"/>
      <c r="H52" s="2070"/>
      <c r="I52" s="2070"/>
      <c r="J52" s="2070"/>
      <c r="K52" s="2002" t="s">
        <v>1021</v>
      </c>
      <c r="L52" s="2526" t="str">
        <f>J6</f>
        <v>Canton Union SD 66</v>
      </c>
      <c r="M52" s="2526"/>
      <c r="N52" s="2527"/>
    </row>
    <row r="53" spans="1:14" x14ac:dyDescent="0.25">
      <c r="A53" s="2069"/>
      <c r="B53" s="2070"/>
      <c r="C53" s="2070"/>
      <c r="D53" s="2070"/>
      <c r="E53" s="2070"/>
      <c r="F53" s="2070"/>
      <c r="G53" s="2070"/>
      <c r="H53" s="2070"/>
      <c r="I53" s="2070"/>
      <c r="J53" s="2070"/>
      <c r="K53" s="2002" t="s">
        <v>369</v>
      </c>
      <c r="L53" s="2543">
        <f>J7</f>
        <v>26029066025</v>
      </c>
      <c r="M53" s="2543"/>
      <c r="N53" s="2544"/>
    </row>
    <row r="54" spans="1:14" ht="15.75" thickBot="1" x14ac:dyDescent="0.3">
      <c r="A54" s="2069"/>
      <c r="B54" s="2070"/>
      <c r="C54" s="2070"/>
      <c r="D54" s="2070"/>
      <c r="E54" s="2070"/>
      <c r="F54" s="2070"/>
      <c r="G54" s="2070"/>
      <c r="H54" s="2070"/>
      <c r="I54" s="2070"/>
      <c r="J54" s="2070"/>
      <c r="K54" s="2070"/>
      <c r="L54" s="2070"/>
      <c r="M54" s="2070"/>
      <c r="N54" s="2071"/>
    </row>
    <row r="55" spans="1:14" x14ac:dyDescent="0.25">
      <c r="A55" s="2545"/>
      <c r="B55" s="2546"/>
      <c r="C55" s="2546"/>
      <c r="D55" s="2079"/>
      <c r="E55" s="2079"/>
      <c r="F55" s="2079"/>
      <c r="G55" s="2547" t="s">
        <v>2160</v>
      </c>
      <c r="H55" s="2547"/>
      <c r="I55" s="2547"/>
      <c r="J55" s="2547"/>
      <c r="K55" s="2547"/>
      <c r="L55" s="2547"/>
      <c r="M55" s="2547"/>
      <c r="N55" s="2548"/>
    </row>
    <row r="56" spans="1:14" ht="64.5" x14ac:dyDescent="0.25">
      <c r="A56" s="2549" t="s">
        <v>2161</v>
      </c>
      <c r="B56" s="2550"/>
      <c r="C56" s="2551"/>
      <c r="D56" s="2080" t="s">
        <v>2162</v>
      </c>
      <c r="E56" s="2080" t="s">
        <v>2163</v>
      </c>
      <c r="F56" s="2081"/>
      <c r="G56" s="2080" t="s">
        <v>2164</v>
      </c>
      <c r="H56" s="2080" t="s">
        <v>2165</v>
      </c>
      <c r="I56" s="2080" t="s">
        <v>2166</v>
      </c>
      <c r="J56" s="2080" t="s">
        <v>2167</v>
      </c>
      <c r="K56" s="2080" t="s">
        <v>2168</v>
      </c>
      <c r="L56" s="2080" t="s">
        <v>2169</v>
      </c>
      <c r="M56" s="2080" t="s">
        <v>2170</v>
      </c>
      <c r="N56" s="2082" t="s">
        <v>2171</v>
      </c>
    </row>
    <row r="57" spans="1:14" ht="24" customHeight="1" x14ac:dyDescent="0.25">
      <c r="A57" s="2552" t="s">
        <v>296</v>
      </c>
      <c r="B57" s="2553"/>
      <c r="C57" s="2553"/>
      <c r="D57" s="2083">
        <v>2361</v>
      </c>
      <c r="E57" s="2084">
        <f>+'Expenditures 15-22'!K319</f>
        <v>0</v>
      </c>
      <c r="F57" s="2085"/>
      <c r="G57" s="2086"/>
      <c r="H57" s="2087"/>
      <c r="I57" s="2087"/>
      <c r="J57" s="2087"/>
      <c r="K57" s="2087"/>
      <c r="L57" s="2087"/>
      <c r="M57" s="2087"/>
      <c r="N57" s="2088">
        <f>IF((SUM(G57:M57))=E57,SUM(G57:M57),"Column N does not agree with Column E")</f>
        <v>0</v>
      </c>
    </row>
    <row r="58" spans="1:14" ht="24.75" customHeight="1" x14ac:dyDescent="0.25">
      <c r="A58" s="2554" t="s">
        <v>2172</v>
      </c>
      <c r="B58" s="2555"/>
      <c r="C58" s="2555"/>
      <c r="D58" s="2089">
        <v>2362</v>
      </c>
      <c r="E58" s="2090">
        <f>+'Expenditures 15-22'!K320</f>
        <v>247367</v>
      </c>
      <c r="F58" s="2085"/>
      <c r="G58" s="2091">
        <v>247367</v>
      </c>
      <c r="H58" s="2092"/>
      <c r="I58" s="2092"/>
      <c r="J58" s="2092"/>
      <c r="K58" s="2092"/>
      <c r="L58" s="2092"/>
      <c r="M58" s="2092"/>
      <c r="N58" s="2088">
        <f>IF((SUM(G58:M58))=E58,SUM(G58:M58),"Column N does not agree with Column E")</f>
        <v>247367</v>
      </c>
    </row>
    <row r="59" spans="1:14" ht="24.75" customHeight="1" x14ac:dyDescent="0.25">
      <c r="A59" s="2541" t="s">
        <v>297</v>
      </c>
      <c r="B59" s="2542"/>
      <c r="C59" s="2542"/>
      <c r="D59" s="2089">
        <v>2363</v>
      </c>
      <c r="E59" s="2090">
        <f>+'Expenditures 15-22'!K321</f>
        <v>1676</v>
      </c>
      <c r="F59" s="2085"/>
      <c r="G59" s="2091">
        <v>1676</v>
      </c>
      <c r="H59" s="2092"/>
      <c r="I59" s="2092"/>
      <c r="J59" s="2092"/>
      <c r="K59" s="2092"/>
      <c r="L59" s="2092"/>
      <c r="M59" s="2092"/>
      <c r="N59" s="2088">
        <f t="shared" ref="N59:N67" si="4">IF((SUM(G59:M59))=E59,SUM(G59:M59),"Column N does not agree with Column E")</f>
        <v>1676</v>
      </c>
    </row>
    <row r="60" spans="1:14" ht="24.75" customHeight="1" x14ac:dyDescent="0.25">
      <c r="A60" s="2541" t="s">
        <v>236</v>
      </c>
      <c r="B60" s="2542"/>
      <c r="C60" s="2542"/>
      <c r="D60" s="2089">
        <v>2364</v>
      </c>
      <c r="E60" s="2090">
        <f>+'Expenditures 15-22'!K322</f>
        <v>165372</v>
      </c>
      <c r="F60" s="2085"/>
      <c r="G60" s="2091">
        <v>165372</v>
      </c>
      <c r="H60" s="2092"/>
      <c r="I60" s="2092"/>
      <c r="J60" s="2092"/>
      <c r="K60" s="2092"/>
      <c r="L60" s="2092"/>
      <c r="M60" s="2092"/>
      <c r="N60" s="2088">
        <f t="shared" si="4"/>
        <v>165372</v>
      </c>
    </row>
    <row r="61" spans="1:14" ht="24.75" customHeight="1" x14ac:dyDescent="0.25">
      <c r="A61" s="2541" t="s">
        <v>697</v>
      </c>
      <c r="B61" s="2542"/>
      <c r="C61" s="2542"/>
      <c r="D61" s="2089">
        <v>2365</v>
      </c>
      <c r="E61" s="2090">
        <f>+'Expenditures 15-22'!K323</f>
        <v>77416</v>
      </c>
      <c r="F61" s="2085"/>
      <c r="G61" s="2091">
        <v>77416</v>
      </c>
      <c r="H61" s="2092"/>
      <c r="I61" s="2092"/>
      <c r="J61" s="2092"/>
      <c r="K61" s="2092"/>
      <c r="L61" s="2092"/>
      <c r="M61" s="2092"/>
      <c r="N61" s="2088">
        <f t="shared" si="4"/>
        <v>77416</v>
      </c>
    </row>
    <row r="62" spans="1:14" ht="24.75" customHeight="1" x14ac:dyDescent="0.25">
      <c r="A62" s="2541" t="s">
        <v>237</v>
      </c>
      <c r="B62" s="2542"/>
      <c r="C62" s="2542"/>
      <c r="D62" s="2089">
        <v>2366</v>
      </c>
      <c r="E62" s="2090">
        <f>+'Expenditures 15-22'!K325</f>
        <v>349794</v>
      </c>
      <c r="F62" s="2085"/>
      <c r="G62" s="2091"/>
      <c r="H62" s="2092"/>
      <c r="I62" s="2092"/>
      <c r="J62" s="2092"/>
      <c r="K62" s="2092"/>
      <c r="L62" s="2092"/>
      <c r="M62" s="2092">
        <v>349794</v>
      </c>
      <c r="N62" s="2088">
        <f t="shared" si="4"/>
        <v>349794</v>
      </c>
    </row>
    <row r="63" spans="1:14" ht="24.75" customHeight="1" x14ac:dyDescent="0.25">
      <c r="A63" s="2554" t="s">
        <v>1022</v>
      </c>
      <c r="B63" s="2555"/>
      <c r="C63" s="2555"/>
      <c r="D63" s="2089">
        <v>2367</v>
      </c>
      <c r="E63" s="2090">
        <f>+'Expenditures 15-22'!K324</f>
        <v>0</v>
      </c>
      <c r="F63" s="2085"/>
      <c r="G63" s="2091"/>
      <c r="H63" s="2092"/>
      <c r="I63" s="2092"/>
      <c r="J63" s="2092"/>
      <c r="K63" s="2092"/>
      <c r="L63" s="2092"/>
      <c r="M63" s="2092"/>
      <c r="N63" s="2088">
        <f t="shared" si="4"/>
        <v>0</v>
      </c>
    </row>
    <row r="64" spans="1:14" ht="24.75" customHeight="1" x14ac:dyDescent="0.25">
      <c r="A64" s="2541" t="s">
        <v>1023</v>
      </c>
      <c r="B64" s="2542"/>
      <c r="C64" s="2542"/>
      <c r="D64" s="2089">
        <v>2368</v>
      </c>
      <c r="E64" s="2090">
        <f>+'Expenditures 15-22'!K326</f>
        <v>0</v>
      </c>
      <c r="F64" s="2085"/>
      <c r="G64" s="2091"/>
      <c r="H64" s="2092"/>
      <c r="I64" s="2092"/>
      <c r="J64" s="2092"/>
      <c r="K64" s="2092"/>
      <c r="L64" s="2092"/>
      <c r="M64" s="2092"/>
      <c r="N64" s="2088">
        <f t="shared" si="4"/>
        <v>0</v>
      </c>
    </row>
    <row r="65" spans="1:14" ht="24" customHeight="1" x14ac:dyDescent="0.25">
      <c r="A65" s="2541" t="s">
        <v>965</v>
      </c>
      <c r="B65" s="2542"/>
      <c r="C65" s="2542"/>
      <c r="D65" s="2089">
        <v>2369</v>
      </c>
      <c r="E65" s="2090">
        <f>+'Expenditures 15-22'!K327</f>
        <v>143089</v>
      </c>
      <c r="F65" s="2085"/>
      <c r="G65" s="2091">
        <v>143089</v>
      </c>
      <c r="H65" s="2092"/>
      <c r="I65" s="2092"/>
      <c r="J65" s="2092"/>
      <c r="K65" s="2092"/>
      <c r="L65" s="2092"/>
      <c r="M65" s="2092"/>
      <c r="N65" s="2088">
        <f t="shared" si="4"/>
        <v>143089</v>
      </c>
    </row>
    <row r="66" spans="1:14" ht="24.75" customHeight="1" x14ac:dyDescent="0.25">
      <c r="A66" s="2541" t="s">
        <v>469</v>
      </c>
      <c r="B66" s="2542"/>
      <c r="C66" s="2542"/>
      <c r="D66" s="2089">
        <v>2371</v>
      </c>
      <c r="E66" s="2090">
        <f>+'Expenditures 15-22'!K328</f>
        <v>0</v>
      </c>
      <c r="F66" s="2085"/>
      <c r="G66" s="2091"/>
      <c r="H66" s="2092"/>
      <c r="I66" s="2092"/>
      <c r="J66" s="2092"/>
      <c r="K66" s="2092"/>
      <c r="L66" s="2092"/>
      <c r="M66" s="2092"/>
      <c r="N66" s="2088">
        <f t="shared" si="4"/>
        <v>0</v>
      </c>
    </row>
    <row r="67" spans="1:14" ht="24.75" customHeight="1" x14ac:dyDescent="0.25">
      <c r="A67" s="2560" t="s">
        <v>2173</v>
      </c>
      <c r="B67" s="2561"/>
      <c r="C67" s="2561"/>
      <c r="D67" s="2093">
        <v>2372</v>
      </c>
      <c r="E67" s="2094">
        <f>+'Expenditures 15-22'!K329</f>
        <v>0</v>
      </c>
      <c r="F67" s="2085"/>
      <c r="G67" s="2095"/>
      <c r="H67" s="2096"/>
      <c r="I67" s="2096"/>
      <c r="J67" s="2096"/>
      <c r="K67" s="2096"/>
      <c r="L67" s="2096"/>
      <c r="M67" s="2096"/>
      <c r="N67" s="2088">
        <f t="shared" si="4"/>
        <v>0</v>
      </c>
    </row>
    <row r="68" spans="1:14" x14ac:dyDescent="0.25">
      <c r="A68" s="2562" t="s">
        <v>1153</v>
      </c>
      <c r="B68" s="2563"/>
      <c r="C68" s="2563"/>
      <c r="D68" s="2079"/>
      <c r="E68" s="2097">
        <f>SUM(E57:E67)</f>
        <v>984714</v>
      </c>
      <c r="F68" s="2098"/>
      <c r="G68" s="2097">
        <f t="shared" ref="G68:N68" si="5">SUM(G57:G67)</f>
        <v>634920</v>
      </c>
      <c r="H68" s="2097">
        <f t="shared" si="5"/>
        <v>0</v>
      </c>
      <c r="I68" s="2097">
        <f t="shared" si="5"/>
        <v>0</v>
      </c>
      <c r="J68" s="2097">
        <f t="shared" si="5"/>
        <v>0</v>
      </c>
      <c r="K68" s="2097">
        <f t="shared" si="5"/>
        <v>0</v>
      </c>
      <c r="L68" s="2097">
        <f t="shared" si="5"/>
        <v>0</v>
      </c>
      <c r="M68" s="2097">
        <f t="shared" si="5"/>
        <v>349794</v>
      </c>
      <c r="N68" s="2099">
        <f t="shared" si="5"/>
        <v>984714</v>
      </c>
    </row>
    <row r="69" spans="1:14" x14ac:dyDescent="0.25">
      <c r="A69" s="2100"/>
      <c r="B69" s="2101"/>
      <c r="C69" s="2101"/>
      <c r="D69" s="2101"/>
      <c r="E69" s="2101"/>
      <c r="F69" s="2101"/>
      <c r="G69" s="2101"/>
      <c r="H69" s="2102" t="s">
        <v>2174</v>
      </c>
      <c r="I69" s="2101"/>
      <c r="J69" s="2101"/>
      <c r="K69" s="2101"/>
      <c r="L69" s="2102" t="s">
        <v>2175</v>
      </c>
      <c r="M69" s="2101"/>
      <c r="N69" s="2103"/>
    </row>
    <row r="70" spans="1:14" ht="46.5" customHeight="1" x14ac:dyDescent="0.25">
      <c r="A70" s="2104" t="s">
        <v>2176</v>
      </c>
      <c r="B70" s="2101"/>
      <c r="C70" s="2101"/>
      <c r="D70" s="2101"/>
      <c r="E70" s="2101"/>
      <c r="F70" s="2101"/>
      <c r="G70" s="2101"/>
      <c r="H70" s="2556" t="s">
        <v>2177</v>
      </c>
      <c r="I70" s="2556"/>
      <c r="J70" s="2556"/>
      <c r="K70" s="2101"/>
      <c r="L70" s="2556" t="s">
        <v>2178</v>
      </c>
      <c r="M70" s="2556"/>
      <c r="N70" s="2564"/>
    </row>
    <row r="71" spans="1:14" ht="42.75" customHeight="1" x14ac:dyDescent="0.25">
      <c r="A71" s="2100"/>
      <c r="B71" s="2101"/>
      <c r="C71" s="2101"/>
      <c r="D71" s="2101"/>
      <c r="E71" s="2101"/>
      <c r="F71" s="2101"/>
      <c r="G71" s="2101"/>
      <c r="H71" s="2556" t="s">
        <v>2179</v>
      </c>
      <c r="I71" s="2556"/>
      <c r="J71" s="2556"/>
      <c r="K71" s="2101"/>
      <c r="L71" s="2557" t="s">
        <v>2180</v>
      </c>
      <c r="M71" s="2557"/>
      <c r="N71" s="2558"/>
    </row>
    <row r="72" spans="1:14" ht="52.5" customHeight="1" thickBot="1" x14ac:dyDescent="0.3">
      <c r="A72" s="2105"/>
      <c r="B72" s="2106"/>
      <c r="C72" s="2106"/>
      <c r="D72" s="2106"/>
      <c r="E72" s="2106"/>
      <c r="F72" s="2106"/>
      <c r="G72" s="2106"/>
      <c r="H72" s="2559" t="s">
        <v>2181</v>
      </c>
      <c r="I72" s="2559"/>
      <c r="J72" s="2559"/>
      <c r="K72" s="2106"/>
      <c r="L72" s="2106"/>
      <c r="M72" s="2106"/>
      <c r="N72" s="2107"/>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3B901791-832D-4370-A923-4671B0DBBF18}"/>
    <dataValidation allowBlank="1" showInputMessage="1" showErrorMessage="1" prompt="Link cell K328 from &quot;Expenditures 15-22&quot; tab" sqref="E66" xr:uid="{55A0F3C7-0013-4BA9-A3CE-49308FB64E20}"/>
    <dataValidation allowBlank="1" showInputMessage="1" showErrorMessage="1" prompt="Link cell K327 from &quot;Expenditures 15-22&quot; tab" sqref="E65" xr:uid="{FD643797-C6FF-42AF-837A-9103CA2E477D}"/>
    <dataValidation allowBlank="1" showInputMessage="1" showErrorMessage="1" prompt="Link cell K326 from &quot;Expenditures 15-22&quot; tab" sqref="E64" xr:uid="{37713720-0E65-4944-87F4-D17600ACD9F6}"/>
    <dataValidation allowBlank="1" showInputMessage="1" showErrorMessage="1" prompt="Link cell K325 from &quot;Expenditures 15-22&quot; tab" sqref="E63" xr:uid="{3FBFDAE0-5618-4C17-9DF3-33C00F5CCAF6}"/>
    <dataValidation allowBlank="1" showInputMessage="1" showErrorMessage="1" prompt="Link cell K324 from &quot;Expenditures 15-22&quot; tab" sqref="E62" xr:uid="{2F602075-73B3-43AE-BFD7-4288000A3545}"/>
    <dataValidation allowBlank="1" showInputMessage="1" showErrorMessage="1" prompt="Link cell K323 from &quot;Expenditures 15-22&quot; tab" sqref="E61" xr:uid="{73333740-4BF5-43EC-9E93-AFBF7AB8622B}"/>
    <dataValidation allowBlank="1" showInputMessage="1" showErrorMessage="1" prompt="Link cell K322 from &quot;Expenditures 15-22&quot; tab" sqref="E60" xr:uid="{577B75D5-91B3-43BE-BE62-832A1DCF27D6}"/>
    <dataValidation allowBlank="1" showInputMessage="1" showErrorMessage="1" prompt="Link cell K321 from &quot;Expenditures 15-22&quot; tab" sqref="E59" xr:uid="{E8EACEF2-7435-4E09-AFC3-3B1E1386DF50}"/>
    <dataValidation allowBlank="1" showInputMessage="1" showErrorMessage="1" prompt="Link cell K320 from &quot;Expenditures 15-22&quot; tab" sqref="E58" xr:uid="{C3B8098C-82A6-4C3B-B363-AEB29FCDD50F}"/>
    <dataValidation allowBlank="1" showInputMessage="1" showErrorMessage="1" prompt="Link cell K319 from &quot;Expenditures 15-22&quot; tab" sqref="E57" xr:uid="{1A9F09B3-E5D3-4B89-8D2F-6C874587FDDB}"/>
    <dataValidation allowBlank="1" showInputMessage="1" showErrorMessage="1" prompt="Link cell K122 from &quot;Expenditures 15-22&quot; tab" sqref="F15" xr:uid="{A5D35EF2-9553-49D4-941E-9C10AE5665A3}"/>
    <dataValidation allowBlank="1" showInputMessage="1" showErrorMessage="1" prompt="Link cell K67 from &quot;Expenditures 15-22&quot; tab" sqref="E17" xr:uid="{0D1C5A3C-72A8-4416-8B38-DBAC54A2F16D}"/>
    <dataValidation allowBlank="1" showInputMessage="1" showErrorMessage="1" prompt="Link cell K64 from &quot;Expenditures 15-22&quot; tab" sqref="E16" xr:uid="{74E3CC64-DD4C-4B1F-98F6-42FC591CD7C1}"/>
    <dataValidation allowBlank="1" showInputMessage="1" showErrorMessage="1" prompt="Link cell K59 from &quot;Expenditures 15-22&quot; tab" sqref="E15" xr:uid="{3BCB27D0-D70C-4B78-A796-BB3A4C9F24D2}"/>
    <dataValidation allowBlank="1" showInputMessage="1" showErrorMessage="1" prompt="Link cell K56 from &quot;Expenditures 15-22&quot; tab" sqref="E14" xr:uid="{B52EBDB5-B707-42A1-9AF4-C15D87487B42}"/>
    <dataValidation allowBlank="1" showInputMessage="1" showErrorMessage="1" prompt="Link cell K51 from &quot;Expenditures 15-22&quot; tab" sqref="E13" xr:uid="{CDC28129-EA1C-43D3-A456-BDA1D2BFEDF3}"/>
    <dataValidation allowBlank="1" showInputMessage="1" showErrorMessage="1" prompt="Link cell K50 from &quot;Expenditures 15-22&quot; tab " sqref="E12" xr:uid="{BBD8C575-A43E-4E98-8D6E-E084A1850B07}"/>
    <dataValidation allowBlank="1" showInputMessage="1" showErrorMessage="1" prompt="Link cell A13 from &quot;Cover&quot; tab" sqref="J7:L7" xr:uid="{BFA60CEF-51AE-490A-9B6C-65BF8C714C9A}"/>
    <dataValidation allowBlank="1" showInputMessage="1" showErrorMessage="1" prompt="Link cell A17 from &quot;Cover&quot; tab" sqref="J6:L6" xr:uid="{257D7F4A-6F5A-4E79-918E-5B5DDBB41C48}"/>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4" t="s">
        <v>1058</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686</v>
      </c>
      <c r="B40" s="2221"/>
      <c r="C40" s="2221"/>
      <c r="D40" s="2221"/>
      <c r="E40" s="2221"/>
    </row>
    <row r="41" spans="1:5" x14ac:dyDescent="0.2">
      <c r="A41" s="2222" t="s">
        <v>1594</v>
      </c>
      <c r="B41" s="2222"/>
      <c r="C41" s="2222"/>
      <c r="D41" s="2222"/>
      <c r="E41" s="2222"/>
    </row>
    <row r="42" spans="1:5" ht="12.75" customHeight="1" x14ac:dyDescent="0.2">
      <c r="A42" s="2223" t="s">
        <v>1015</v>
      </c>
      <c r="B42" s="2223"/>
      <c r="C42" s="2223"/>
      <c r="D42" s="2223"/>
      <c r="E42" s="222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8"/>
  <sheetViews>
    <sheetView showGridLines="0" zoomScale="11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2046</v>
      </c>
    </row>
    <row r="6" spans="1:2" x14ac:dyDescent="0.2">
      <c r="A6" s="892">
        <v>2</v>
      </c>
      <c r="B6" s="307" t="s">
        <v>2182</v>
      </c>
    </row>
    <row r="7" spans="1:2" x14ac:dyDescent="0.2">
      <c r="A7" s="892">
        <v>3</v>
      </c>
      <c r="B7" s="307" t="s">
        <v>2183</v>
      </c>
    </row>
    <row r="8" spans="1:2" x14ac:dyDescent="0.2">
      <c r="A8" s="892">
        <v>4</v>
      </c>
      <c r="B8" s="307" t="s">
        <v>2186</v>
      </c>
    </row>
    <row r="9" spans="1:2" x14ac:dyDescent="0.2">
      <c r="A9" s="892">
        <v>5</v>
      </c>
      <c r="B9" s="307" t="s">
        <v>2184</v>
      </c>
    </row>
    <row r="10" spans="1:2" x14ac:dyDescent="0.2">
      <c r="A10" s="892">
        <v>6</v>
      </c>
      <c r="B10" s="307" t="s">
        <v>2185</v>
      </c>
    </row>
    <row r="11" spans="1:2" x14ac:dyDescent="0.2">
      <c r="A11" s="892">
        <v>7</v>
      </c>
      <c r="B11" s="307" t="s">
        <v>2076</v>
      </c>
    </row>
    <row r="12" spans="1:2" x14ac:dyDescent="0.2">
      <c r="A12" s="892">
        <v>8</v>
      </c>
      <c r="B12" s="307" t="s">
        <v>2047</v>
      </c>
    </row>
    <row r="13" spans="1:2" x14ac:dyDescent="0.2">
      <c r="A13" s="892">
        <v>9</v>
      </c>
      <c r="B13" s="307" t="s">
        <v>2048</v>
      </c>
    </row>
    <row r="14" spans="1:2" x14ac:dyDescent="0.2">
      <c r="A14" s="892">
        <v>10</v>
      </c>
      <c r="B14" s="307" t="s">
        <v>2049</v>
      </c>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1" x14ac:dyDescent="0.2">
      <c r="A49" s="893"/>
    </row>
    <row r="50" spans="1:1" x14ac:dyDescent="0.2">
      <c r="A50" s="893"/>
    </row>
    <row r="51" spans="1:1" x14ac:dyDescent="0.2">
      <c r="A51" s="893"/>
    </row>
    <row r="52" spans="1:1" x14ac:dyDescent="0.2">
      <c r="A52" s="893"/>
    </row>
    <row r="53" spans="1:1" x14ac:dyDescent="0.2">
      <c r="A53" s="893"/>
    </row>
    <row r="54" spans="1:1" x14ac:dyDescent="0.2">
      <c r="A54" s="893"/>
    </row>
    <row r="55" spans="1:1" x14ac:dyDescent="0.2">
      <c r="A55" s="893"/>
    </row>
    <row r="56" spans="1:1" x14ac:dyDescent="0.2">
      <c r="A56" s="893"/>
    </row>
    <row r="57" spans="1:1" x14ac:dyDescent="0.2">
      <c r="A57" s="893"/>
    </row>
    <row r="58" spans="1:1" x14ac:dyDescent="0.2">
      <c r="A58" s="893"/>
    </row>
    <row r="59" spans="1:1" x14ac:dyDescent="0.2">
      <c r="A59" s="893"/>
    </row>
    <row r="60" spans="1:1" x14ac:dyDescent="0.2">
      <c r="A60" s="893"/>
    </row>
    <row r="61" spans="1:1" x14ac:dyDescent="0.2">
      <c r="A61" s="893"/>
    </row>
    <row r="62" spans="1:1" x14ac:dyDescent="0.2">
      <c r="A62" s="893"/>
    </row>
    <row r="63" spans="1:1" x14ac:dyDescent="0.2">
      <c r="A63" s="893"/>
    </row>
    <row r="64" spans="1:1" x14ac:dyDescent="0.2">
      <c r="A64" s="893"/>
    </row>
    <row r="65" spans="1:2" x14ac:dyDescent="0.2">
      <c r="A65" s="893"/>
    </row>
    <row r="66" spans="1:2" x14ac:dyDescent="0.2">
      <c r="A66" s="893"/>
    </row>
    <row r="67" spans="1:2" x14ac:dyDescent="0.2">
      <c r="A67" s="893"/>
      <c r="B67" s="253" t="str">
        <f>COVER!A17</f>
        <v>Canton Union SD 66</v>
      </c>
    </row>
    <row r="68" spans="1:2" x14ac:dyDescent="0.2">
      <c r="B68" s="894">
        <f>COVER!A13</f>
        <v>26029066025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65" t="s">
        <v>1668</v>
      </c>
      <c r="B18" s="25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6" t="s">
        <v>1672</v>
      </c>
      <c r="B1" s="2567"/>
      <c r="C1" s="2567"/>
      <c r="D1" s="2567"/>
      <c r="E1" s="2567"/>
      <c r="F1" s="2568"/>
    </row>
    <row r="2" spans="1:8" ht="45" customHeight="1" x14ac:dyDescent="0.2">
      <c r="A2" s="25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7"/>
      <c r="C2" s="2577"/>
      <c r="D2" s="2577"/>
      <c r="E2" s="2577"/>
      <c r="F2" s="2578"/>
      <c r="G2" s="898"/>
      <c r="H2" s="898"/>
    </row>
    <row r="3" spans="1:8" ht="57" customHeight="1" x14ac:dyDescent="0.2">
      <c r="A3" s="2579" t="s">
        <v>1972</v>
      </c>
      <c r="B3" s="2580"/>
      <c r="C3" s="2580"/>
      <c r="D3" s="2580"/>
      <c r="E3" s="2580"/>
      <c r="F3" s="2581"/>
      <c r="G3" s="898"/>
      <c r="H3" s="898"/>
    </row>
    <row r="4" spans="1:8" ht="14.25" customHeight="1" x14ac:dyDescent="0.2">
      <c r="A4" s="25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6"/>
      <c r="C4" s="2586"/>
      <c r="D4" s="2586"/>
      <c r="E4" s="2586"/>
      <c r="F4" s="2587"/>
      <c r="G4" s="898"/>
      <c r="H4" s="898"/>
    </row>
    <row r="5" spans="1:8" ht="14.25" customHeight="1" x14ac:dyDescent="0.2">
      <c r="A5" s="25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9"/>
      <c r="C5" s="2589"/>
      <c r="D5" s="2589"/>
      <c r="E5" s="2589"/>
      <c r="F5" s="2590"/>
      <c r="G5" s="898"/>
      <c r="H5" s="898"/>
    </row>
    <row r="6" spans="1:8" s="899" customFormat="1" ht="41.25" customHeight="1" x14ac:dyDescent="0.2">
      <c r="A6" s="2582" t="s">
        <v>1673</v>
      </c>
      <c r="B6" s="2583"/>
      <c r="C6" s="2583"/>
      <c r="D6" s="2583"/>
      <c r="E6" s="2583"/>
      <c r="F6" s="2584"/>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20181526</v>
      </c>
      <c r="C8" s="1871">
        <f>'Acct Summary 7-8'!D8</f>
        <v>2034798</v>
      </c>
      <c r="D8" s="1871">
        <f>'Acct Summary 7-8'!F8</f>
        <v>1210265</v>
      </c>
      <c r="E8" s="1871">
        <f>'Acct Summary 7-8'!I8</f>
        <v>119238</v>
      </c>
      <c r="F8" s="1871">
        <f>SUM(B8:E8)</f>
        <v>23545827</v>
      </c>
    </row>
    <row r="9" spans="1:8" s="903" customFormat="1" ht="14.25" customHeight="1" thickBot="1" x14ac:dyDescent="0.25">
      <c r="A9" s="902" t="s">
        <v>1355</v>
      </c>
      <c r="B9" s="1872">
        <f>'Acct Summary 7-8'!C17</f>
        <v>18968458</v>
      </c>
      <c r="C9" s="1872">
        <f>'Acct Summary 7-8'!D17</f>
        <v>1810508</v>
      </c>
      <c r="D9" s="1872">
        <f>'Acct Summary 7-8'!F17</f>
        <v>1380575</v>
      </c>
      <c r="E9" s="1871"/>
      <c r="F9" s="1871">
        <f>SUM(B9:E9)</f>
        <v>22159541</v>
      </c>
    </row>
    <row r="10" spans="1:8" s="903" customFormat="1" ht="14.25" thickTop="1" thickBot="1" x14ac:dyDescent="0.25">
      <c r="A10" s="904" t="s">
        <v>1356</v>
      </c>
      <c r="B10" s="1873">
        <f>(B8-B9)</f>
        <v>1213068</v>
      </c>
      <c r="C10" s="1873">
        <f>(C8-C9)</f>
        <v>224290</v>
      </c>
      <c r="D10" s="1873">
        <f>(D8-D9)</f>
        <v>-170310</v>
      </c>
      <c r="E10" s="1872">
        <f>(E8-E9)</f>
        <v>119238</v>
      </c>
      <c r="F10" s="1874">
        <f>SUM(F8-F9)</f>
        <v>1386286</v>
      </c>
    </row>
    <row r="11" spans="1:8" s="903" customFormat="1" ht="14.25" thickTop="1" thickBot="1" x14ac:dyDescent="0.25">
      <c r="A11" s="905" t="s">
        <v>1903</v>
      </c>
      <c r="B11" s="1875">
        <f>'Acct Summary 7-8'!C81</f>
        <v>10254626</v>
      </c>
      <c r="C11" s="1875">
        <f>'Acct Summary 7-8'!D81</f>
        <v>454272</v>
      </c>
      <c r="D11" s="1875">
        <f>'Acct Summary 7-8'!F81</f>
        <v>508468</v>
      </c>
      <c r="E11" s="1875">
        <f>'Acct Summary 7-8'!I81</f>
        <v>1464462</v>
      </c>
      <c r="F11" s="1876">
        <f>SUM(B11:E11)</f>
        <v>12681828</v>
      </c>
    </row>
    <row r="12" spans="1:8" ht="16.5" customHeight="1" thickTop="1" x14ac:dyDescent="0.2">
      <c r="A12" s="906"/>
      <c r="B12" s="907"/>
      <c r="C12" s="2570" t="str">
        <f>IF(AND(F10&lt;0,F11&gt;=0,ABS(F10*3)&gt;ABS(F11)),A16,IF(AND(F10&lt;0,F11&gt;0,ABS(F10*3)&lt;=ABS(F11)),A17,IF(AND(F10&lt;0,F11&lt;0),A16,IF(F11=0,A19,A18))))</f>
        <v>Balanced - no deficit reduction plan is required.</v>
      </c>
      <c r="D12" s="2571"/>
      <c r="E12" s="2571"/>
      <c r="F12" s="2572"/>
    </row>
    <row r="13" spans="1:8" ht="19.5" customHeight="1" x14ac:dyDescent="0.2">
      <c r="A13" s="908"/>
      <c r="B13" s="909"/>
      <c r="C13" s="2570"/>
      <c r="D13" s="2571"/>
      <c r="E13" s="2571"/>
      <c r="F13" s="2572"/>
      <c r="H13" s="898"/>
    </row>
    <row r="14" spans="1:8" ht="19.5" customHeight="1" x14ac:dyDescent="0.2">
      <c r="A14" s="908"/>
      <c r="B14" s="909"/>
      <c r="C14" s="2570"/>
      <c r="D14" s="2571"/>
      <c r="E14" s="2571"/>
      <c r="F14" s="2572"/>
      <c r="H14" s="898"/>
    </row>
    <row r="15" spans="1:8" ht="17.25" customHeight="1" x14ac:dyDescent="0.2">
      <c r="A15" s="908"/>
      <c r="B15" s="909"/>
      <c r="C15" s="2573"/>
      <c r="D15" s="2574"/>
      <c r="E15" s="2574"/>
      <c r="F15" s="2575"/>
      <c r="H15" s="898"/>
    </row>
    <row r="16" spans="1:8" s="288" customFormat="1" ht="51.75" hidden="1" customHeight="1" x14ac:dyDescent="0.2">
      <c r="A16" s="2569" t="s">
        <v>1669</v>
      </c>
      <c r="B16" s="2569"/>
      <c r="C16" s="2569"/>
      <c r="D16" s="2569"/>
      <c r="E16" s="2569"/>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1" t="s">
        <v>660</v>
      </c>
      <c r="B3" s="2592"/>
      <c r="C3" s="2592"/>
      <c r="D3" s="2593"/>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2" t="s">
        <v>1490</v>
      </c>
      <c r="D7" s="2603"/>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4" t="s">
        <v>1001</v>
      </c>
      <c r="B15" s="2595"/>
      <c r="C15" s="2595"/>
      <c r="D15" s="2596"/>
    </row>
    <row r="16" spans="1:4" s="542" customFormat="1" ht="24" customHeight="1" x14ac:dyDescent="0.2">
      <c r="A16" s="2597" t="s">
        <v>658</v>
      </c>
      <c r="B16" s="2598"/>
      <c r="C16" s="2598"/>
      <c r="D16" s="2599"/>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6" t="s">
        <v>311</v>
      </c>
      <c r="D21" s="2607"/>
    </row>
    <row r="22" spans="1:10" ht="12.75" x14ac:dyDescent="0.2">
      <c r="A22" s="963"/>
      <c r="B22" s="964">
        <v>2</v>
      </c>
      <c r="C22" s="2604" t="s">
        <v>1510</v>
      </c>
      <c r="D22" s="2605"/>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8" t="s">
        <v>533</v>
      </c>
      <c r="D43" s="2609"/>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0" t="s">
        <v>779</v>
      </c>
      <c r="D56" s="2601"/>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00" t="s">
        <v>1677</v>
      </c>
      <c r="D70" s="2601"/>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3" t="s">
        <v>1978</v>
      </c>
    </row>
    <row r="2" spans="1:7" ht="15.75" x14ac:dyDescent="0.25">
      <c r="A2" t="s">
        <v>260</v>
      </c>
      <c r="B2" s="135">
        <f>COVER!A13</f>
        <v>26029066025</v>
      </c>
      <c r="E2" s="1592">
        <v>2020</v>
      </c>
      <c r="F2" s="1592">
        <v>1</v>
      </c>
      <c r="G2" s="1962">
        <v>101000300</v>
      </c>
    </row>
    <row r="3" spans="1:7" ht="15" x14ac:dyDescent="0.25">
      <c r="A3" t="s">
        <v>950</v>
      </c>
      <c r="B3" s="135" t="str">
        <f>COVER!A15</f>
        <v>Fulton</v>
      </c>
      <c r="E3" s="1888" t="s">
        <v>1971</v>
      </c>
      <c r="F3" s="1888" t="s">
        <v>1970</v>
      </c>
      <c r="G3" s="1962">
        <v>101000400</v>
      </c>
    </row>
    <row r="4" spans="1:7" ht="15" x14ac:dyDescent="0.25">
      <c r="A4" t="s">
        <v>1000</v>
      </c>
      <c r="B4" s="135" t="str">
        <f>COVER!A17</f>
        <v>Canton Union SD 66</v>
      </c>
      <c r="E4" s="1886">
        <v>44119</v>
      </c>
      <c r="F4" s="1887">
        <v>44151</v>
      </c>
      <c r="G4" s="1962">
        <v>101000600</v>
      </c>
    </row>
    <row r="5" spans="1:7" ht="15" x14ac:dyDescent="0.25">
      <c r="A5" t="s">
        <v>699</v>
      </c>
      <c r="B5" s="135" t="str">
        <f>COVER!A38</f>
        <v>Rolf Sivertsen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1</v>
      </c>
      <c r="G18" s="1962">
        <v>102200300</v>
      </c>
    </row>
    <row r="19" spans="1:7" ht="15" x14ac:dyDescent="0.25">
      <c r="A19" t="s">
        <v>880</v>
      </c>
      <c r="B19" s="135" t="str">
        <f>COVER!T25</f>
        <v>tmack@mackcpas.com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4932004</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10254626</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8873519</v>
      </c>
      <c r="D92" s="2" t="str">
        <f t="shared" si="0"/>
        <v>Error?</v>
      </c>
      <c r="G92" s="1962">
        <v>102640600</v>
      </c>
    </row>
    <row r="93" spans="1:7" ht="15" x14ac:dyDescent="0.25">
      <c r="A93" s="5">
        <v>32</v>
      </c>
      <c r="B93" s="1890">
        <f>'Assets-Liab 5-6'!C41</f>
        <v>10254626</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454272</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454272</v>
      </c>
      <c r="D123" s="2" t="str">
        <f t="shared" si="0"/>
        <v>Error?</v>
      </c>
      <c r="G123" s="1962">
        <v>203000400</v>
      </c>
    </row>
    <row r="124" spans="1:7" ht="15" x14ac:dyDescent="0.25">
      <c r="A124" s="5">
        <v>63</v>
      </c>
      <c r="B124" s="1890">
        <f>'Assets-Liab 5-6'!D41</f>
        <v>454272</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109548</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109548</v>
      </c>
      <c r="D140" s="2" t="str">
        <f t="shared" si="1"/>
        <v>Error?</v>
      </c>
    </row>
    <row r="141" spans="1:7" x14ac:dyDescent="0.2">
      <c r="A141" s="5">
        <v>80</v>
      </c>
      <c r="B141" s="1890">
        <f>'Assets-Liab 5-6'!E41</f>
        <v>109548</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508468</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508468</v>
      </c>
      <c r="D170" s="2" t="str">
        <f t="shared" si="1"/>
        <v>Error?</v>
      </c>
    </row>
    <row r="171" spans="1:4" x14ac:dyDescent="0.2">
      <c r="A171" s="5">
        <v>110</v>
      </c>
      <c r="B171" s="1890">
        <f>'Assets-Liab 5-6'!F41</f>
        <v>508468</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585330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267966</v>
      </c>
      <c r="D189" s="2" t="str">
        <f t="shared" si="1"/>
        <v>Error?</v>
      </c>
    </row>
    <row r="190" spans="1:4" x14ac:dyDescent="0.2">
      <c r="A190" s="5">
        <v>129</v>
      </c>
      <c r="B190" s="1890">
        <f>'Assets-Liab 5-6'!G41</f>
        <v>585330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1319291</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453210</v>
      </c>
      <c r="D212" s="2" t="str">
        <f t="shared" si="2"/>
        <v>Error?</v>
      </c>
    </row>
    <row r="213" spans="1:4" x14ac:dyDescent="0.2">
      <c r="A213" s="12">
        <v>152</v>
      </c>
      <c r="B213" s="1890">
        <f>'Assets-Liab 5-6'!H41</f>
        <v>1319291</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253690</v>
      </c>
      <c r="D273" s="2" t="str">
        <f t="shared" si="3"/>
        <v>Error?</v>
      </c>
    </row>
    <row r="274" spans="1:4" x14ac:dyDescent="0.2">
      <c r="A274" s="5">
        <v>213</v>
      </c>
      <c r="B274" s="1890">
        <f>'Assets-Liab 5-6'!M17</f>
        <v>26753798</v>
      </c>
      <c r="D274" s="2" t="str">
        <f t="shared" si="3"/>
        <v>Error?</v>
      </c>
    </row>
    <row r="275" spans="1:4" x14ac:dyDescent="0.2">
      <c r="A275" s="5">
        <v>214</v>
      </c>
      <c r="B275" s="1890">
        <f>'Assets-Liab 5-6'!M18</f>
        <v>7267229</v>
      </c>
      <c r="D275" s="2" t="str">
        <f t="shared" si="3"/>
        <v>Error?</v>
      </c>
    </row>
    <row r="276" spans="1:4" x14ac:dyDescent="0.2">
      <c r="A276" s="5">
        <v>215</v>
      </c>
      <c r="B276" s="1890">
        <f>'Assets-Liab 5-6'!M19</f>
        <v>5924220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40198937</v>
      </c>
      <c r="C279" s="2" t="s">
        <v>569</v>
      </c>
      <c r="D279" s="2" t="str">
        <f t="shared" si="3"/>
        <v>Error?</v>
      </c>
    </row>
    <row r="280" spans="1:4" x14ac:dyDescent="0.2">
      <c r="A280" s="5">
        <v>219</v>
      </c>
      <c r="B280" s="1890">
        <f>'Assets-Liab 5-6'!M40</f>
        <v>40198937</v>
      </c>
      <c r="D280" s="2" t="str">
        <f t="shared" si="3"/>
        <v>Error?</v>
      </c>
    </row>
    <row r="281" spans="1:4" x14ac:dyDescent="0.2">
      <c r="A281" s="5">
        <v>220</v>
      </c>
      <c r="B281" s="1890">
        <f>'Assets-Liab 5-6'!M41</f>
        <v>40198937</v>
      </c>
      <c r="C281" s="2" t="s">
        <v>569</v>
      </c>
      <c r="D281" s="2" t="str">
        <f t="shared" si="3"/>
        <v>Error?</v>
      </c>
    </row>
    <row r="282" spans="1:4" x14ac:dyDescent="0.2">
      <c r="A282" s="5">
        <v>221</v>
      </c>
      <c r="B282" s="1890">
        <f>'Assets-Liab 5-6'!N21</f>
        <v>109548</v>
      </c>
      <c r="D282" s="2" t="str">
        <f t="shared" si="3"/>
        <v>Error?</v>
      </c>
    </row>
    <row r="283" spans="1:4" x14ac:dyDescent="0.2">
      <c r="A283" s="5">
        <v>222</v>
      </c>
      <c r="B283" s="1890">
        <f>'Assets-Liab 5-6'!N22</f>
        <v>6615452</v>
      </c>
      <c r="D283" s="2" t="str">
        <f t="shared" si="3"/>
        <v>Error?</v>
      </c>
    </row>
    <row r="284" spans="1:4" x14ac:dyDescent="0.2">
      <c r="A284" s="5">
        <v>223</v>
      </c>
      <c r="B284" s="1890">
        <f>'Assets-Liab 5-6'!N23</f>
        <v>6725000</v>
      </c>
      <c r="C284" s="2" t="s">
        <v>569</v>
      </c>
      <c r="D284" s="2" t="str">
        <f t="shared" si="3"/>
        <v>Error?</v>
      </c>
    </row>
    <row r="285" spans="1:4" x14ac:dyDescent="0.2">
      <c r="A285" s="5">
        <v>224</v>
      </c>
      <c r="B285" s="1890">
        <f>'Assets-Liab 5-6'!N36</f>
        <v>6725000</v>
      </c>
      <c r="D285" s="2" t="str">
        <f t="shared" si="3"/>
        <v>Error?</v>
      </c>
    </row>
    <row r="286" spans="1:4" x14ac:dyDescent="0.2">
      <c r="A286" s="10">
        <v>225</v>
      </c>
      <c r="B286" s="1890"/>
      <c r="D286" s="2" t="str">
        <f t="shared" si="3"/>
        <v>OK</v>
      </c>
    </row>
    <row r="287" spans="1:4" x14ac:dyDescent="0.2">
      <c r="A287" s="5">
        <v>226</v>
      </c>
      <c r="B287" s="1890">
        <f>'Assets-Liab 5-6'!N37</f>
        <v>6725000</v>
      </c>
      <c r="C287" s="2" t="s">
        <v>569</v>
      </c>
      <c r="D287" s="2" t="str">
        <f t="shared" si="3"/>
        <v>Error?</v>
      </c>
    </row>
    <row r="288" spans="1:4" x14ac:dyDescent="0.2">
      <c r="A288" s="5">
        <v>227</v>
      </c>
      <c r="B288" s="1890">
        <f>'Assets-Liab 5-6'!N41</f>
        <v>6725000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6114407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276485</v>
      </c>
      <c r="D717" s="2" t="str">
        <f t="shared" si="10"/>
        <v>Error?</v>
      </c>
    </row>
    <row r="718" spans="1:4" x14ac:dyDescent="0.2">
      <c r="A718" s="5">
        <v>657</v>
      </c>
      <c r="B718" s="1890">
        <f>'Expenditures 15-22'!C14</f>
        <v>349572</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10605994</v>
      </c>
      <c r="C720" s="2" t="s">
        <v>569</v>
      </c>
      <c r="D720" s="2" t="str">
        <f t="shared" si="10"/>
        <v>Error?</v>
      </c>
    </row>
    <row r="721" spans="1:4" x14ac:dyDescent="0.2">
      <c r="A721" s="5">
        <v>660</v>
      </c>
      <c r="B721" s="1890">
        <f>'Expenditures 15-22'!C36</f>
        <v>132341</v>
      </c>
      <c r="D721" s="2" t="str">
        <f t="shared" si="10"/>
        <v>Error?</v>
      </c>
    </row>
    <row r="722" spans="1:4" x14ac:dyDescent="0.2">
      <c r="A722" s="5">
        <v>661</v>
      </c>
      <c r="B722" s="1890">
        <f>'Expenditures 15-22'!C37</f>
        <v>323885</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165262</v>
      </c>
      <c r="D724" s="2" t="str">
        <f t="shared" si="10"/>
        <v>Error?</v>
      </c>
    </row>
    <row r="725" spans="1:4" x14ac:dyDescent="0.2">
      <c r="A725" s="5">
        <v>664</v>
      </c>
      <c r="B725" s="1890">
        <f>'Expenditures 15-22'!C40</f>
        <v>234601</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856089</v>
      </c>
      <c r="C727" s="2" t="s">
        <v>569</v>
      </c>
      <c r="D727" s="2" t="str">
        <f t="shared" si="10"/>
        <v>Error?</v>
      </c>
    </row>
    <row r="728" spans="1:4" x14ac:dyDescent="0.2">
      <c r="A728" s="5">
        <v>667</v>
      </c>
      <c r="B728" s="1890">
        <f>'Expenditures 15-22'!C44</f>
        <v>147999</v>
      </c>
      <c r="D728" s="2" t="str">
        <f t="shared" si="10"/>
        <v>Error?</v>
      </c>
    </row>
    <row r="729" spans="1:4" x14ac:dyDescent="0.2">
      <c r="A729" s="5">
        <v>668</v>
      </c>
      <c r="B729" s="1890">
        <f>'Expenditures 15-22'!C45</f>
        <v>442221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590220</v>
      </c>
      <c r="C731" s="2" t="s">
        <v>569</v>
      </c>
      <c r="D731" s="2" t="str">
        <f t="shared" si="10"/>
        <v>Error?</v>
      </c>
    </row>
    <row r="732" spans="1:4" x14ac:dyDescent="0.2">
      <c r="A732" s="5">
        <v>671</v>
      </c>
      <c r="B732" s="1890">
        <f>'Expenditures 15-22'!C49</f>
        <v>2776</v>
      </c>
      <c r="D732" s="2" t="str">
        <f t="shared" si="10"/>
        <v>Error?</v>
      </c>
    </row>
    <row r="733" spans="1:4" x14ac:dyDescent="0.2">
      <c r="A733" s="5">
        <v>672</v>
      </c>
      <c r="B733" s="1890">
        <f>'Expenditures 15-22'!C50</f>
        <v>163423</v>
      </c>
      <c r="D733" s="2" t="str">
        <f t="shared" si="10"/>
        <v>Error?</v>
      </c>
    </row>
    <row r="734" spans="1:4" x14ac:dyDescent="0.2">
      <c r="A734" s="5">
        <v>673</v>
      </c>
      <c r="B734" s="1890">
        <f>'Expenditures 15-22'!C53</f>
        <v>166199</v>
      </c>
      <c r="C734" s="2" t="s">
        <v>569</v>
      </c>
      <c r="D734" s="2" t="str">
        <f t="shared" si="10"/>
        <v>Error?</v>
      </c>
    </row>
    <row r="735" spans="1:4" x14ac:dyDescent="0.2">
      <c r="A735" s="5">
        <v>674</v>
      </c>
      <c r="B735" s="1890">
        <f>'Expenditures 15-22'!C55</f>
        <v>787782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787782</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171946</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16024</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187970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2588260</v>
      </c>
      <c r="C755" s="2" t="s">
        <v>569</v>
      </c>
      <c r="D755" s="2" t="str">
        <f t="shared" si="10"/>
        <v>Error?</v>
      </c>
    </row>
    <row r="756" spans="1:4" x14ac:dyDescent="0.2">
      <c r="A756" s="5">
        <v>695</v>
      </c>
      <c r="B756" s="1890">
        <f>'Expenditures 15-22'!C75</f>
        <v>4510</v>
      </c>
      <c r="D756" s="2" t="str">
        <f t="shared" si="10"/>
        <v>Error?</v>
      </c>
    </row>
    <row r="757" spans="1:4" x14ac:dyDescent="0.2">
      <c r="A757" s="5">
        <v>696</v>
      </c>
      <c r="B757" s="1890">
        <f>'Expenditures 15-22'!C114</f>
        <v>13198764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1020342</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61890</v>
      </c>
      <c r="D775" s="2" t="str">
        <f t="shared" si="11"/>
        <v>Error?</v>
      </c>
    </row>
    <row r="776" spans="1:4" x14ac:dyDescent="0.2">
      <c r="A776" s="5">
        <v>715</v>
      </c>
      <c r="B776" s="1890">
        <f>'Expenditures 15-22'!D14</f>
        <v>22330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1838313</v>
      </c>
      <c r="C778" s="2" t="s">
        <v>569</v>
      </c>
      <c r="D778" s="2" t="str">
        <f t="shared" si="11"/>
        <v>Error?</v>
      </c>
    </row>
    <row r="779" spans="1:4" x14ac:dyDescent="0.2">
      <c r="A779" s="5">
        <v>718</v>
      </c>
      <c r="B779" s="1890">
        <f>'Expenditures 15-22'!D36</f>
        <v>15855</v>
      </c>
      <c r="D779" s="2" t="str">
        <f t="shared" si="11"/>
        <v>Error?</v>
      </c>
    </row>
    <row r="780" spans="1:4" x14ac:dyDescent="0.2">
      <c r="A780" s="5">
        <v>719</v>
      </c>
      <c r="B780" s="1890">
        <f>'Expenditures 15-22'!D37</f>
        <v>23812</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10090</v>
      </c>
      <c r="D782" s="2" t="str">
        <f t="shared" si="11"/>
        <v>Error?</v>
      </c>
    </row>
    <row r="783" spans="1:4" x14ac:dyDescent="0.2">
      <c r="A783" s="5">
        <v>722</v>
      </c>
      <c r="B783" s="1890">
        <f>'Expenditures 15-22'!D40</f>
        <v>30559</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80316</v>
      </c>
      <c r="C785" s="2" t="s">
        <v>569</v>
      </c>
      <c r="D785" s="2" t="str">
        <f t="shared" si="11"/>
        <v>Error?</v>
      </c>
    </row>
    <row r="786" spans="1:4" x14ac:dyDescent="0.2">
      <c r="A786" s="5">
        <v>725</v>
      </c>
      <c r="B786" s="1890">
        <f>'Expenditures 15-22'!D44</f>
        <v>38997</v>
      </c>
      <c r="D786" s="2" t="str">
        <f t="shared" si="11"/>
        <v>Error?</v>
      </c>
    </row>
    <row r="787" spans="1:4" x14ac:dyDescent="0.2">
      <c r="A787" s="5">
        <v>726</v>
      </c>
      <c r="B787" s="1890">
        <f>'Expenditures 15-22'!D45</f>
        <v>57028</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96025</v>
      </c>
      <c r="C789" s="2" t="s">
        <v>569</v>
      </c>
      <c r="D789" s="2" t="str">
        <f t="shared" si="11"/>
        <v>Error?</v>
      </c>
    </row>
    <row r="790" spans="1:4" x14ac:dyDescent="0.2">
      <c r="A790" s="5">
        <v>729</v>
      </c>
      <c r="B790" s="1890">
        <f>'Expenditures 15-22'!D49</f>
        <v>39766</v>
      </c>
      <c r="D790" s="2" t="str">
        <f t="shared" si="11"/>
        <v>Error?</v>
      </c>
    </row>
    <row r="791" spans="1:4" x14ac:dyDescent="0.2">
      <c r="A791" s="5">
        <v>730</v>
      </c>
      <c r="B791" s="1890">
        <f>'Expenditures 15-22'!D50</f>
        <v>34913</v>
      </c>
      <c r="D791" s="2" t="str">
        <f t="shared" si="11"/>
        <v>Error?</v>
      </c>
    </row>
    <row r="792" spans="1:4" x14ac:dyDescent="0.2">
      <c r="A792" s="5">
        <v>731</v>
      </c>
      <c r="B792" s="1890">
        <f>'Expenditures 15-22'!D53</f>
        <v>74679</v>
      </c>
      <c r="C792" s="2" t="s">
        <v>569</v>
      </c>
      <c r="D792" s="2" t="str">
        <f t="shared" si="11"/>
        <v>Error?</v>
      </c>
    </row>
    <row r="793" spans="1:4" x14ac:dyDescent="0.2">
      <c r="A793" s="5">
        <v>732</v>
      </c>
      <c r="B793" s="1890">
        <f>'Expenditures 15-22'!D55</f>
        <v>157716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157716</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27493</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822</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28315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437051</v>
      </c>
      <c r="C813" s="2" t="s">
        <v>569</v>
      </c>
      <c r="D813" s="2" t="str">
        <f t="shared" si="11"/>
        <v>Error?</v>
      </c>
    </row>
    <row r="814" spans="1:4" x14ac:dyDescent="0.2">
      <c r="A814" s="5">
        <v>753</v>
      </c>
      <c r="B814" s="1890">
        <f>'Expenditures 15-22'!D75</f>
        <v>289</v>
      </c>
      <c r="D814" s="2" t="str">
        <f t="shared" si="11"/>
        <v>Error?</v>
      </c>
    </row>
    <row r="815" spans="1:4" x14ac:dyDescent="0.2">
      <c r="A815" s="5">
        <v>754</v>
      </c>
      <c r="B815" s="1890">
        <f>'Expenditures 15-22'!D114</f>
        <v>2275653</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189203</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248</v>
      </c>
      <c r="D833" s="2" t="str">
        <f t="shared" si="12"/>
        <v>Error?</v>
      </c>
    </row>
    <row r="834" spans="1:4" x14ac:dyDescent="0.2">
      <c r="A834" s="5">
        <v>773</v>
      </c>
      <c r="B834" s="1890">
        <f>'Expenditures 15-22'!E14</f>
        <v>83140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530755</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247</v>
      </c>
      <c r="D838" s="2" t="str">
        <f t="shared" si="12"/>
        <v>Error?</v>
      </c>
    </row>
    <row r="839" spans="1:4" x14ac:dyDescent="0.2">
      <c r="A839" s="5">
        <v>778</v>
      </c>
      <c r="B839" s="1890">
        <f>'Expenditures 15-22'!E38</f>
        <v>9834</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10081</v>
      </c>
      <c r="C843" s="2" t="s">
        <v>569</v>
      </c>
      <c r="D843" s="2" t="str">
        <f t="shared" si="12"/>
        <v>Error?</v>
      </c>
    </row>
    <row r="844" spans="1:4" x14ac:dyDescent="0.2">
      <c r="A844" s="5">
        <v>783</v>
      </c>
      <c r="B844" s="1890">
        <f>'Expenditures 15-22'!E44</f>
        <v>110044</v>
      </c>
      <c r="D844" s="2" t="str">
        <f t="shared" si="12"/>
        <v>Error?</v>
      </c>
    </row>
    <row r="845" spans="1:4" x14ac:dyDescent="0.2">
      <c r="A845" s="5">
        <v>784</v>
      </c>
      <c r="B845" s="1890">
        <f>'Expenditures 15-22'!E45</f>
        <v>16296</v>
      </c>
      <c r="D845" s="2" t="str">
        <f t="shared" si="12"/>
        <v>Error?</v>
      </c>
    </row>
    <row r="846" spans="1:4" x14ac:dyDescent="0.2">
      <c r="A846" s="5">
        <v>785</v>
      </c>
      <c r="B846" s="1890">
        <f>'Expenditures 15-22'!E46</f>
        <v>8096</v>
      </c>
      <c r="D846" s="2" t="str">
        <f t="shared" si="12"/>
        <v>Error?</v>
      </c>
    </row>
    <row r="847" spans="1:4" x14ac:dyDescent="0.2">
      <c r="A847" s="5">
        <v>786</v>
      </c>
      <c r="B847" s="1890">
        <f>'Expenditures 15-22'!E47</f>
        <v>134436</v>
      </c>
      <c r="C847" s="2" t="s">
        <v>569</v>
      </c>
      <c r="D847" s="2" t="str">
        <f t="shared" si="12"/>
        <v>Error?</v>
      </c>
    </row>
    <row r="848" spans="1:4" x14ac:dyDescent="0.2">
      <c r="A848" s="5">
        <v>787</v>
      </c>
      <c r="B848" s="1890">
        <f>'Expenditures 15-22'!E49</f>
        <v>49252</v>
      </c>
      <c r="D848" s="2" t="str">
        <f t="shared" si="12"/>
        <v>Error?</v>
      </c>
    </row>
    <row r="849" spans="1:4" x14ac:dyDescent="0.2">
      <c r="A849" s="5">
        <v>788</v>
      </c>
      <c r="B849" s="1890">
        <f>'Expenditures 15-22'!E50</f>
        <v>8223</v>
      </c>
      <c r="D849" s="2" t="str">
        <f t="shared" si="12"/>
        <v>Error?</v>
      </c>
    </row>
    <row r="850" spans="1:4" x14ac:dyDescent="0.2">
      <c r="A850" s="5">
        <v>789</v>
      </c>
      <c r="B850" s="1890">
        <f>'Expenditures 15-22'!E53</f>
        <v>57475</v>
      </c>
      <c r="C850" s="2" t="s">
        <v>569</v>
      </c>
      <c r="D850" s="2" t="str">
        <f t="shared" si="12"/>
        <v>Error?</v>
      </c>
    </row>
    <row r="851" spans="1:4" x14ac:dyDescent="0.2">
      <c r="A851" s="5">
        <v>790</v>
      </c>
      <c r="B851" s="1890">
        <f>'Expenditures 15-22'!E55</f>
        <v>890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890</v>
      </c>
      <c r="C853" s="2" t="s">
        <v>569</v>
      </c>
      <c r="D853" s="2" t="str">
        <f t="shared" si="12"/>
        <v>Error?</v>
      </c>
    </row>
    <row r="854" spans="1:4" x14ac:dyDescent="0.2">
      <c r="A854" s="5">
        <v>793</v>
      </c>
      <c r="B854" s="1890">
        <f>'Expenditures 15-22'!E59</f>
        <v>38491</v>
      </c>
      <c r="D854" s="2" t="str">
        <f t="shared" si="12"/>
        <v>Error?</v>
      </c>
    </row>
    <row r="855" spans="1:4" x14ac:dyDescent="0.2">
      <c r="A855" s="5">
        <v>794</v>
      </c>
      <c r="B855" s="1890">
        <f>'Expenditures 15-22'!E60</f>
        <v>3461</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40144</v>
      </c>
      <c r="D857" s="2" t="str">
        <f t="shared" si="12"/>
        <v>Error?</v>
      </c>
    </row>
    <row r="858" spans="1:4" x14ac:dyDescent="0.2">
      <c r="A858" s="5">
        <v>797</v>
      </c>
      <c r="B858" s="1890">
        <f>'Expenditures 15-22'!E63</f>
        <v>663258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745354</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948236</v>
      </c>
      <c r="C871" s="2" t="s">
        <v>569</v>
      </c>
      <c r="D871" s="2" t="str">
        <f t="shared" si="12"/>
        <v>Error?</v>
      </c>
    </row>
    <row r="872" spans="1:4" x14ac:dyDescent="0.2">
      <c r="A872" s="5">
        <v>811</v>
      </c>
      <c r="B872" s="1890">
        <f>'Expenditures 15-22'!E75</f>
        <v>727</v>
      </c>
      <c r="D872" s="2" t="str">
        <f t="shared" si="12"/>
        <v>Error?</v>
      </c>
    </row>
    <row r="873" spans="1:4" x14ac:dyDescent="0.2">
      <c r="A873" s="5">
        <v>812</v>
      </c>
      <c r="B873" s="1890">
        <f>'Expenditures 15-22'!E114</f>
        <v>1614443</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317515</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52064</v>
      </c>
      <c r="D891" s="2" t="str">
        <f t="shared" si="12"/>
        <v>Error?</v>
      </c>
    </row>
    <row r="892" spans="1:4" x14ac:dyDescent="0.2">
      <c r="A892" s="5">
        <v>831</v>
      </c>
      <c r="B892" s="1890">
        <f>'Expenditures 15-22'!F14</f>
        <v>29766</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511605</v>
      </c>
      <c r="C894" s="2" t="s">
        <v>569</v>
      </c>
      <c r="D894" s="2" t="str">
        <f t="shared" si="12"/>
        <v>Error?</v>
      </c>
    </row>
    <row r="895" spans="1:4" x14ac:dyDescent="0.2">
      <c r="A895" s="5">
        <v>834</v>
      </c>
      <c r="B895" s="1890">
        <f>'Expenditures 15-22'!F36</f>
        <v>577</v>
      </c>
      <c r="D895" s="2" t="str">
        <f t="shared" ref="D895:D958" si="13">IF(ISBLANK(B895),"OK",IF(A895-B895=0,"OK","Error?"))</f>
        <v>Error?</v>
      </c>
    </row>
    <row r="896" spans="1:4" x14ac:dyDescent="0.2">
      <c r="A896" s="5">
        <v>835</v>
      </c>
      <c r="B896" s="1890">
        <f>'Expenditures 15-22'!F37</f>
        <v>389</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1941</v>
      </c>
      <c r="D898" s="2" t="str">
        <f t="shared" si="13"/>
        <v>Error?</v>
      </c>
    </row>
    <row r="899" spans="1:4" x14ac:dyDescent="0.2">
      <c r="A899" s="5">
        <v>838</v>
      </c>
      <c r="B899" s="1890">
        <f>'Expenditures 15-22'!F40</f>
        <v>1985</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4892</v>
      </c>
      <c r="C901" s="2" t="s">
        <v>569</v>
      </c>
      <c r="D901" s="2" t="str">
        <f t="shared" si="13"/>
        <v>Error?</v>
      </c>
    </row>
    <row r="902" spans="1:4" x14ac:dyDescent="0.2">
      <c r="A902" s="5">
        <v>841</v>
      </c>
      <c r="B902" s="1890">
        <f>'Expenditures 15-22'!F44</f>
        <v>6118</v>
      </c>
      <c r="D902" s="2" t="str">
        <f t="shared" si="13"/>
        <v>Error?</v>
      </c>
    </row>
    <row r="903" spans="1:4" x14ac:dyDescent="0.2">
      <c r="A903" s="5">
        <v>842</v>
      </c>
      <c r="B903" s="1890">
        <f>'Expenditures 15-22'!F45</f>
        <v>55552</v>
      </c>
      <c r="D903" s="2" t="str">
        <f t="shared" si="13"/>
        <v>Error?</v>
      </c>
    </row>
    <row r="904" spans="1:4" x14ac:dyDescent="0.2">
      <c r="A904" s="5">
        <v>843</v>
      </c>
      <c r="B904" s="1890">
        <f>'Expenditures 15-22'!F46</f>
        <v>1178</v>
      </c>
      <c r="D904" s="2" t="str">
        <f t="shared" si="13"/>
        <v>Error?</v>
      </c>
    </row>
    <row r="905" spans="1:4" x14ac:dyDescent="0.2">
      <c r="A905" s="5">
        <v>844</v>
      </c>
      <c r="B905" s="1890">
        <f>'Expenditures 15-22'!F47</f>
        <v>62848</v>
      </c>
      <c r="C905" s="2" t="s">
        <v>569</v>
      </c>
      <c r="D905" s="2" t="str">
        <f t="shared" si="13"/>
        <v>Error?</v>
      </c>
    </row>
    <row r="906" spans="1:4" x14ac:dyDescent="0.2">
      <c r="A906" s="5">
        <v>845</v>
      </c>
      <c r="B906" s="1890">
        <f>'Expenditures 15-22'!F49</f>
        <v>20677</v>
      </c>
      <c r="D906" s="2" t="str">
        <f t="shared" si="13"/>
        <v>Error?</v>
      </c>
    </row>
    <row r="907" spans="1:4" x14ac:dyDescent="0.2">
      <c r="A907" s="5">
        <v>846</v>
      </c>
      <c r="B907" s="1890">
        <f>'Expenditures 15-22'!F50</f>
        <v>4474</v>
      </c>
      <c r="D907" s="2" t="str">
        <f t="shared" si="13"/>
        <v>Error?</v>
      </c>
    </row>
    <row r="908" spans="1:4" x14ac:dyDescent="0.2">
      <c r="A908" s="5">
        <v>847</v>
      </c>
      <c r="B908" s="1890">
        <f>'Expenditures 15-22'!F53</f>
        <v>25151</v>
      </c>
      <c r="C908" s="2" t="s">
        <v>569</v>
      </c>
      <c r="D908" s="2" t="str">
        <f t="shared" si="13"/>
        <v>Error?</v>
      </c>
    </row>
    <row r="909" spans="1:4" x14ac:dyDescent="0.2">
      <c r="A909" s="5">
        <v>848</v>
      </c>
      <c r="B909" s="1890">
        <f>'Expenditures 15-22'!F55</f>
        <v>712</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712</v>
      </c>
      <c r="C911" s="2" t="s">
        <v>569</v>
      </c>
      <c r="D911" s="2" t="str">
        <f t="shared" si="13"/>
        <v>Error?</v>
      </c>
    </row>
    <row r="912" spans="1:4" x14ac:dyDescent="0.2">
      <c r="A912" s="5">
        <v>851</v>
      </c>
      <c r="B912" s="1890">
        <f>'Expenditures 15-22'!F59</f>
        <v>904</v>
      </c>
      <c r="D912" s="2" t="str">
        <f t="shared" si="13"/>
        <v>Error?</v>
      </c>
    </row>
    <row r="913" spans="1:4" x14ac:dyDescent="0.2">
      <c r="A913" s="5">
        <v>852</v>
      </c>
      <c r="B913" s="1890">
        <f>'Expenditures 15-22'!F60</f>
        <v>263</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13527</v>
      </c>
      <c r="D915" s="2" t="str">
        <f t="shared" si="13"/>
        <v>Error?</v>
      </c>
    </row>
    <row r="916" spans="1:4" x14ac:dyDescent="0.2">
      <c r="A916" s="5">
        <v>855</v>
      </c>
      <c r="B916" s="1890">
        <f>'Expenditures 15-22'!F63</f>
        <v>4533</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19227</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112830</v>
      </c>
      <c r="C929" s="2" t="s">
        <v>569</v>
      </c>
      <c r="D929" s="2" t="str">
        <f t="shared" si="13"/>
        <v>Error?</v>
      </c>
    </row>
    <row r="930" spans="1:4" x14ac:dyDescent="0.2">
      <c r="A930" s="5">
        <v>869</v>
      </c>
      <c r="B930" s="1890">
        <f>'Expenditures 15-22'!F75</f>
        <v>4860</v>
      </c>
      <c r="D930" s="2" t="str">
        <f t="shared" si="13"/>
        <v>Error?</v>
      </c>
    </row>
    <row r="931" spans="1:4" x14ac:dyDescent="0.2">
      <c r="A931" s="5">
        <v>870</v>
      </c>
      <c r="B931" s="1890">
        <f>'Expenditures 15-22'!F114</f>
        <v>629295</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43506</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13420</v>
      </c>
      <c r="D949" s="2" t="str">
        <f t="shared" si="13"/>
        <v>Error?</v>
      </c>
    </row>
    <row r="950" spans="1:4" x14ac:dyDescent="0.2">
      <c r="A950" s="5">
        <v>889</v>
      </c>
      <c r="B950" s="1890">
        <f>'Expenditures 15-22'!G14</f>
        <v>46690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126966</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93821</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93821</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3566</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3566</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97387</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224353</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1423</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6896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212231</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2852</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2852</v>
      </c>
      <c r="C1021" s="2" t="s">
        <v>569</v>
      </c>
      <c r="D1021" s="2" t="str">
        <f t="shared" si="14"/>
        <v>Error?</v>
      </c>
    </row>
    <row r="1022" spans="1:4" x14ac:dyDescent="0.2">
      <c r="A1022" s="5">
        <v>961</v>
      </c>
      <c r="B1022" s="1890">
        <f>'Expenditures 15-22'!H49</f>
        <v>14503</v>
      </c>
      <c r="D1022" s="2" t="str">
        <f t="shared" si="14"/>
        <v>Error?</v>
      </c>
    </row>
    <row r="1023" spans="1:4" x14ac:dyDescent="0.2">
      <c r="A1023" s="5">
        <v>962</v>
      </c>
      <c r="B1023" s="1890">
        <f>'Expenditures 15-22'!H50</f>
        <v>473</v>
      </c>
      <c r="D1023" s="2" t="str">
        <f t="shared" ref="D1023:D1086" si="15">IF(ISBLANK(B1023),"OK",IF(A1023-B1023=0,"OK","Error?"))</f>
        <v>Error?</v>
      </c>
    </row>
    <row r="1024" spans="1:4" x14ac:dyDescent="0.2">
      <c r="A1024" s="5">
        <v>963</v>
      </c>
      <c r="B1024" s="1890">
        <f>'Expenditures 15-22'!H53</f>
        <v>14976</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650</v>
      </c>
      <c r="D1028" s="2" t="str">
        <f t="shared" si="15"/>
        <v>Error?</v>
      </c>
    </row>
    <row r="1029" spans="1:4" x14ac:dyDescent="0.2">
      <c r="A1029" s="5">
        <v>968</v>
      </c>
      <c r="B1029" s="1890">
        <f>'Expenditures 15-22'!H60</f>
        <v>340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990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18818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794901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1025950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7686396</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404107</v>
      </c>
      <c r="C1105" s="2" t="s">
        <v>569</v>
      </c>
      <c r="D1105" s="2" t="str">
        <f t="shared" si="16"/>
        <v>Error?</v>
      </c>
    </row>
    <row r="1106" spans="1:4" x14ac:dyDescent="0.2">
      <c r="A1106" s="5">
        <v>1045</v>
      </c>
      <c r="B1106" s="1890">
        <f>'Expenditures 15-22'!K14</f>
        <v>538394</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13825864</v>
      </c>
      <c r="C1108" s="2" t="s">
        <v>569</v>
      </c>
      <c r="D1108" s="2" t="str">
        <f t="shared" si="16"/>
        <v>Error?</v>
      </c>
    </row>
    <row r="1109" spans="1:4" x14ac:dyDescent="0.2">
      <c r="A1109" s="5">
        <v>1048</v>
      </c>
      <c r="B1109" s="1890">
        <f>'Expenditures 15-22'!K36</f>
        <v>148773</v>
      </c>
      <c r="C1109" s="2" t="s">
        <v>569</v>
      </c>
      <c r="D1109" s="2" t="str">
        <f t="shared" si="16"/>
        <v>Error?</v>
      </c>
    </row>
    <row r="1110" spans="1:4" x14ac:dyDescent="0.2">
      <c r="A1110" s="5">
        <v>1049</v>
      </c>
      <c r="B1110" s="1890">
        <f>'Expenditures 15-22'!K37</f>
        <v>348333</v>
      </c>
      <c r="C1110" s="2" t="s">
        <v>569</v>
      </c>
      <c r="D1110" s="2" t="str">
        <f t="shared" si="16"/>
        <v>Error?</v>
      </c>
    </row>
    <row r="1111" spans="1:4" x14ac:dyDescent="0.2">
      <c r="A1111" s="5">
        <v>1050</v>
      </c>
      <c r="B1111" s="1890">
        <f>'Expenditures 15-22'!K38</f>
        <v>9834</v>
      </c>
      <c r="C1111" s="2" t="s">
        <v>569</v>
      </c>
      <c r="D1111" s="2" t="str">
        <f t="shared" si="16"/>
        <v>Error?</v>
      </c>
    </row>
    <row r="1112" spans="1:4" x14ac:dyDescent="0.2">
      <c r="A1112" s="5">
        <v>1051</v>
      </c>
      <c r="B1112" s="1890">
        <f>'Expenditures 15-22'!K39</f>
        <v>177293</v>
      </c>
      <c r="C1112" s="2" t="s">
        <v>569</v>
      </c>
      <c r="D1112" s="2" t="str">
        <f t="shared" si="16"/>
        <v>Error?</v>
      </c>
    </row>
    <row r="1113" spans="1:4" x14ac:dyDescent="0.2">
      <c r="A1113" s="5">
        <v>1052</v>
      </c>
      <c r="B1113" s="1890">
        <f>'Expenditures 15-22'!K40</f>
        <v>267145</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951378</v>
      </c>
      <c r="C1115" s="2" t="s">
        <v>569</v>
      </c>
      <c r="D1115" s="2" t="str">
        <f t="shared" si="16"/>
        <v>Error?</v>
      </c>
    </row>
    <row r="1116" spans="1:4" x14ac:dyDescent="0.2">
      <c r="A1116" s="5">
        <v>1055</v>
      </c>
      <c r="B1116" s="1890">
        <f>'Expenditures 15-22'!K44</f>
        <v>303158</v>
      </c>
      <c r="C1116" s="2" t="s">
        <v>569</v>
      </c>
      <c r="D1116" s="2" t="str">
        <f t="shared" si="16"/>
        <v>Error?</v>
      </c>
    </row>
    <row r="1117" spans="1:4" x14ac:dyDescent="0.2">
      <c r="A1117" s="5">
        <v>1056</v>
      </c>
      <c r="B1117" s="1890">
        <f>'Expenditures 15-22'!K45</f>
        <v>667770</v>
      </c>
      <c r="C1117" s="2" t="s">
        <v>569</v>
      </c>
      <c r="D1117" s="2" t="str">
        <f t="shared" si="16"/>
        <v>Error?</v>
      </c>
    </row>
    <row r="1118" spans="1:4" x14ac:dyDescent="0.2">
      <c r="A1118" s="5">
        <v>1057</v>
      </c>
      <c r="B1118" s="1890">
        <f>'Expenditures 15-22'!K46</f>
        <v>9274</v>
      </c>
      <c r="C1118" s="2" t="s">
        <v>569</v>
      </c>
      <c r="D1118" s="2" t="str">
        <f t="shared" si="16"/>
        <v>Error?</v>
      </c>
    </row>
    <row r="1119" spans="1:4" x14ac:dyDescent="0.2">
      <c r="A1119" s="5">
        <v>1058</v>
      </c>
      <c r="B1119" s="1890">
        <f>'Expenditures 15-22'!K47</f>
        <v>980202</v>
      </c>
      <c r="C1119" s="2" t="s">
        <v>569</v>
      </c>
      <c r="D1119" s="2" t="str">
        <f t="shared" si="16"/>
        <v>Error?</v>
      </c>
    </row>
    <row r="1120" spans="1:4" x14ac:dyDescent="0.2">
      <c r="A1120" s="5">
        <v>1059</v>
      </c>
      <c r="B1120" s="1890">
        <f>'Expenditures 15-22'!K49</f>
        <v>126974</v>
      </c>
      <c r="C1120" s="2" t="s">
        <v>569</v>
      </c>
      <c r="D1120" s="2" t="str">
        <f t="shared" si="16"/>
        <v>Error?</v>
      </c>
    </row>
    <row r="1121" spans="1:4" x14ac:dyDescent="0.2">
      <c r="A1121" s="5">
        <v>1060</v>
      </c>
      <c r="B1121" s="1890">
        <f>'Expenditures 15-22'!K50</f>
        <v>211506</v>
      </c>
      <c r="C1121" s="2" t="s">
        <v>569</v>
      </c>
      <c r="D1121" s="2" t="str">
        <f t="shared" si="16"/>
        <v>Error?</v>
      </c>
    </row>
    <row r="1122" spans="1:4" x14ac:dyDescent="0.2">
      <c r="A1122" s="5">
        <v>1061</v>
      </c>
      <c r="B1122" s="1890">
        <f>'Expenditures 15-22'!K53</f>
        <v>338480</v>
      </c>
      <c r="C1122" s="2" t="s">
        <v>569</v>
      </c>
      <c r="D1122" s="2" t="str">
        <f t="shared" si="16"/>
        <v>Error?</v>
      </c>
    </row>
    <row r="1123" spans="1:4" x14ac:dyDescent="0.2">
      <c r="A1123" s="5">
        <v>1062</v>
      </c>
      <c r="B1123" s="1890">
        <f>'Expenditures 15-22'!K55</f>
        <v>947100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947100</v>
      </c>
      <c r="C1125" s="2" t="s">
        <v>569</v>
      </c>
      <c r="D1125" s="2" t="str">
        <f t="shared" si="16"/>
        <v>Error?</v>
      </c>
    </row>
    <row r="1126" spans="1:4" x14ac:dyDescent="0.2">
      <c r="A1126" s="5">
        <v>1065</v>
      </c>
      <c r="B1126" s="1890">
        <f>'Expenditures 15-22'!K59</f>
        <v>40045</v>
      </c>
      <c r="C1126" s="2" t="s">
        <v>569</v>
      </c>
      <c r="D1126" s="2" t="str">
        <f t="shared" si="16"/>
        <v>Error?</v>
      </c>
    </row>
    <row r="1127" spans="1:4" x14ac:dyDescent="0.2">
      <c r="A1127" s="5">
        <v>1066</v>
      </c>
      <c r="B1127" s="1890">
        <f>'Expenditures 15-22'!K60</f>
        <v>203503</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53671</v>
      </c>
      <c r="C1129" s="2" t="s">
        <v>569</v>
      </c>
      <c r="D1129" s="2" t="str">
        <f t="shared" si="16"/>
        <v>Error?</v>
      </c>
    </row>
    <row r="1130" spans="1:4" x14ac:dyDescent="0.2">
      <c r="A1130" s="5">
        <v>1069</v>
      </c>
      <c r="B1130" s="1890">
        <f>'Expenditures 15-22'!K63</f>
        <v>688203</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985422</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4202582</v>
      </c>
      <c r="C1143" s="2" t="s">
        <v>569</v>
      </c>
      <c r="D1143" s="2" t="str">
        <f t="shared" si="16"/>
        <v>Error?</v>
      </c>
    </row>
    <row r="1144" spans="1:4" x14ac:dyDescent="0.2">
      <c r="A1144" s="5">
        <v>1083</v>
      </c>
      <c r="B1144" s="1890">
        <f>'Expenditures 15-22'!K75</f>
        <v>10386</v>
      </c>
      <c r="C1144" s="2" t="s">
        <v>569</v>
      </c>
      <c r="D1144" s="2" t="str">
        <f t="shared" si="16"/>
        <v>Error?</v>
      </c>
    </row>
    <row r="1145" spans="1:4" x14ac:dyDescent="0.2">
      <c r="A1145" s="5">
        <v>1084</v>
      </c>
      <c r="B1145" s="1890">
        <f>'Expenditures 15-22'!K102</f>
        <v>929626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18968458</v>
      </c>
      <c r="C1152" s="2" t="s">
        <v>569</v>
      </c>
      <c r="D1152" s="2" t="str">
        <f t="shared" si="17"/>
        <v>Error?</v>
      </c>
    </row>
    <row r="1153" spans="1:4" x14ac:dyDescent="0.2">
      <c r="A1153" s="5">
        <v>1092</v>
      </c>
      <c r="B1153" s="1890">
        <f>'Expenditures 15-22'!K115</f>
        <v>1213068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850339</v>
      </c>
      <c r="D1221" s="2" t="str">
        <f t="shared" si="18"/>
        <v>Error?</v>
      </c>
    </row>
    <row r="1222" spans="1:4" x14ac:dyDescent="0.2">
      <c r="A1222" s="10">
        <v>1161</v>
      </c>
      <c r="B1222" s="1890"/>
      <c r="D1222" s="2" t="str">
        <f t="shared" si="18"/>
        <v>OK</v>
      </c>
    </row>
    <row r="1223" spans="1:4" x14ac:dyDescent="0.2">
      <c r="A1223" s="5">
        <v>1162</v>
      </c>
      <c r="B1223" s="1890">
        <f>'Expenditures 15-22'!C127</f>
        <v>850339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850339</v>
      </c>
      <c r="C1225" s="2" t="s">
        <v>569</v>
      </c>
      <c r="D1225" s="2" t="str">
        <f t="shared" si="18"/>
        <v>Error?</v>
      </c>
    </row>
    <row r="1226" spans="1:4" x14ac:dyDescent="0.2">
      <c r="A1226" s="5">
        <v>1165</v>
      </c>
      <c r="B1226" s="1890">
        <f>'Expenditures 15-22'!C151</f>
        <v>850339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124456</v>
      </c>
      <c r="D1229" s="2" t="str">
        <f t="shared" si="18"/>
        <v>Error?</v>
      </c>
    </row>
    <row r="1230" spans="1:4" x14ac:dyDescent="0.2">
      <c r="A1230" s="10">
        <v>1169</v>
      </c>
      <c r="B1230" s="1890"/>
      <c r="D1230" s="2" t="str">
        <f t="shared" si="18"/>
        <v>OK</v>
      </c>
    </row>
    <row r="1231" spans="1:4" x14ac:dyDescent="0.2">
      <c r="A1231" s="5">
        <v>1170</v>
      </c>
      <c r="B1231" s="1890">
        <f>'Expenditures 15-22'!D127</f>
        <v>124456</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124456</v>
      </c>
      <c r="C1233" s="2" t="s">
        <v>569</v>
      </c>
      <c r="D1233" s="2" t="str">
        <f t="shared" si="18"/>
        <v>Error?</v>
      </c>
    </row>
    <row r="1234" spans="1:4" x14ac:dyDescent="0.2">
      <c r="A1234" s="5">
        <v>1173</v>
      </c>
      <c r="B1234" s="1890">
        <f>'Expenditures 15-22'!D151</f>
        <v>124456</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224683</v>
      </c>
      <c r="D1237" s="2" t="str">
        <f t="shared" si="18"/>
        <v>Error?</v>
      </c>
    </row>
    <row r="1238" spans="1:4" x14ac:dyDescent="0.2">
      <c r="A1238" s="10">
        <v>1177</v>
      </c>
      <c r="B1238" s="1890"/>
      <c r="D1238" s="2" t="str">
        <f t="shared" si="18"/>
        <v>OK</v>
      </c>
    </row>
    <row r="1239" spans="1:4" x14ac:dyDescent="0.2">
      <c r="A1239" s="5">
        <v>1178</v>
      </c>
      <c r="B1239" s="1890">
        <f>'Expenditures 15-22'!E127</f>
        <v>224683</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224683</v>
      </c>
      <c r="C1241" s="2" t="s">
        <v>569</v>
      </c>
      <c r="D1241" s="2" t="str">
        <f t="shared" si="18"/>
        <v>Error?</v>
      </c>
    </row>
    <row r="1242" spans="1:4" x14ac:dyDescent="0.2">
      <c r="A1242" s="5">
        <v>1181</v>
      </c>
      <c r="B1242" s="1890">
        <f>'Expenditures 15-22'!E151</f>
        <v>224683</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559851</v>
      </c>
      <c r="D1245" s="2" t="str">
        <f t="shared" si="18"/>
        <v>Error?</v>
      </c>
    </row>
    <row r="1246" spans="1:4" x14ac:dyDescent="0.2">
      <c r="A1246" s="10">
        <v>1185</v>
      </c>
      <c r="B1246" s="1890"/>
      <c r="D1246" s="2" t="str">
        <f t="shared" si="18"/>
        <v>OK</v>
      </c>
    </row>
    <row r="1247" spans="1:4" x14ac:dyDescent="0.2">
      <c r="A1247" s="5">
        <v>1186</v>
      </c>
      <c r="B1247" s="1890">
        <f>'Expenditures 15-22'!F127</f>
        <v>559851</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559851</v>
      </c>
      <c r="C1249" s="2" t="s">
        <v>569</v>
      </c>
      <c r="D1249" s="2" t="str">
        <f t="shared" si="18"/>
        <v>Error?</v>
      </c>
    </row>
    <row r="1250" spans="1:4" x14ac:dyDescent="0.2">
      <c r="A1250" s="5">
        <v>1189</v>
      </c>
      <c r="B1250" s="1890">
        <f>'Expenditures 15-22'!F151</f>
        <v>559851</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51179</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51179</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51179</v>
      </c>
      <c r="C1258" s="2" t="s">
        <v>569</v>
      </c>
      <c r="D1258" s="2" t="str">
        <f t="shared" si="18"/>
        <v>Error?</v>
      </c>
    </row>
    <row r="1259" spans="1:4" x14ac:dyDescent="0.2">
      <c r="A1259" s="5">
        <v>1198</v>
      </c>
      <c r="B1259" s="1890">
        <f>'Expenditures 15-22'!G151</f>
        <v>51179</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1810508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1810508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1810508</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1810508</v>
      </c>
      <c r="C1288" s="2" t="s">
        <v>569</v>
      </c>
      <c r="D1288" s="2" t="str">
        <f t="shared" si="19"/>
        <v>Error?</v>
      </c>
    </row>
    <row r="1289" spans="1:4" x14ac:dyDescent="0.2">
      <c r="A1289" s="5">
        <v>1228</v>
      </c>
      <c r="B1289" s="1890">
        <f>'Expenditures 15-22'!K152</f>
        <v>224290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185614</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919194</v>
      </c>
      <c r="D1315" s="2" t="str">
        <f t="shared" si="19"/>
        <v>Error?</v>
      </c>
    </row>
    <row r="1316" spans="1:4" x14ac:dyDescent="0.2">
      <c r="A1316" s="5">
        <v>1255</v>
      </c>
      <c r="B1316" s="1890">
        <f>'Expenditures 15-22'!H171</f>
        <v>500</v>
      </c>
      <c r="D1316" s="2" t="str">
        <f t="shared" si="19"/>
        <v>Error?</v>
      </c>
    </row>
    <row r="1317" spans="1:4" x14ac:dyDescent="0.2">
      <c r="A1317" s="5">
        <v>1256</v>
      </c>
      <c r="B1317" s="1890">
        <f>'Expenditures 15-22'!H172</f>
        <v>1105308</v>
      </c>
      <c r="C1317" s="2" t="s">
        <v>569</v>
      </c>
      <c r="D1317" s="2" t="str">
        <f t="shared" si="19"/>
        <v>Error?</v>
      </c>
    </row>
    <row r="1318" spans="1:4" x14ac:dyDescent="0.2">
      <c r="A1318" s="5">
        <v>1257</v>
      </c>
      <c r="B1318" s="1890">
        <f>'Expenditures 15-22'!H174</f>
        <v>1105308</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185614</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919194</v>
      </c>
      <c r="C1329" s="2" t="s">
        <v>569</v>
      </c>
      <c r="D1329" s="2" t="str">
        <f t="shared" si="19"/>
        <v>Error?</v>
      </c>
    </row>
    <row r="1330" spans="1:4" x14ac:dyDescent="0.2">
      <c r="A1330" s="5">
        <v>1269</v>
      </c>
      <c r="B1330" s="1890">
        <f>'Expenditures 15-22'!K171</f>
        <v>500</v>
      </c>
      <c r="C1330" s="2" t="s">
        <v>569</v>
      </c>
      <c r="D1330" s="2" t="str">
        <f t="shared" si="19"/>
        <v>Error?</v>
      </c>
    </row>
    <row r="1331" spans="1:4" x14ac:dyDescent="0.2">
      <c r="A1331" s="5">
        <v>1270</v>
      </c>
      <c r="B1331" s="1890">
        <f>'Expenditures 15-22'!K172</f>
        <v>1105308</v>
      </c>
      <c r="C1331" s="2" t="s">
        <v>569</v>
      </c>
      <c r="D1331" s="2" t="str">
        <f t="shared" si="19"/>
        <v>Error?</v>
      </c>
    </row>
    <row r="1332" spans="1:4" x14ac:dyDescent="0.2">
      <c r="A1332" s="5">
        <v>1271</v>
      </c>
      <c r="B1332" s="1890">
        <f>'Expenditures 15-22'!K174</f>
        <v>1105308</v>
      </c>
      <c r="C1332" s="2" t="s">
        <v>569</v>
      </c>
      <c r="D1332" s="2" t="str">
        <f t="shared" si="19"/>
        <v>Error?</v>
      </c>
    </row>
    <row r="1333" spans="1:4" x14ac:dyDescent="0.2">
      <c r="A1333" s="5">
        <v>1272</v>
      </c>
      <c r="B1333" s="1890">
        <f>'Expenditures 15-22'!K175</f>
        <v>-3903</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736754</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736754</v>
      </c>
      <c r="C1339" s="2" t="s">
        <v>569</v>
      </c>
      <c r="D1339" s="2" t="str">
        <f t="shared" si="19"/>
        <v>Error?</v>
      </c>
    </row>
    <row r="1340" spans="1:4" x14ac:dyDescent="0.2">
      <c r="A1340" s="5">
        <v>1279</v>
      </c>
      <c r="B1340" s="1890">
        <f>'Expenditures 15-22'!C210</f>
        <v>736754</v>
      </c>
      <c r="C1340" s="2" t="s">
        <v>569</v>
      </c>
      <c r="D1340" s="2" t="str">
        <f t="shared" si="19"/>
        <v>Error?</v>
      </c>
    </row>
    <row r="1341" spans="1:4" x14ac:dyDescent="0.2">
      <c r="A1341" s="5">
        <v>1280</v>
      </c>
      <c r="B1341" s="1890">
        <f>'Expenditures 15-22'!D182</f>
        <v>87521</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87521</v>
      </c>
      <c r="C1345" s="2" t="s">
        <v>569</v>
      </c>
      <c r="D1345" s="2" t="str">
        <f t="shared" si="20"/>
        <v>Error?</v>
      </c>
    </row>
    <row r="1346" spans="1:4" x14ac:dyDescent="0.2">
      <c r="A1346" s="5">
        <v>1285</v>
      </c>
      <c r="B1346" s="1890">
        <f>'Expenditures 15-22'!D210</f>
        <v>87521</v>
      </c>
      <c r="C1346" s="2" t="s">
        <v>569</v>
      </c>
      <c r="D1346" s="2" t="str">
        <f t="shared" si="20"/>
        <v>Error?</v>
      </c>
    </row>
    <row r="1347" spans="1:4" x14ac:dyDescent="0.2">
      <c r="A1347" s="5">
        <v>1286</v>
      </c>
      <c r="B1347" s="1890">
        <f>'Expenditures 15-22'!E182</f>
        <v>184639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184639</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184639</v>
      </c>
      <c r="C1353" s="2" t="s">
        <v>569</v>
      </c>
      <c r="D1353" s="2" t="str">
        <f t="shared" si="20"/>
        <v>Error?</v>
      </c>
    </row>
    <row r="1354" spans="1:4" x14ac:dyDescent="0.2">
      <c r="A1354" s="5">
        <v>1293</v>
      </c>
      <c r="B1354" s="1890">
        <f>'Expenditures 15-22'!F182</f>
        <v>164847</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164847</v>
      </c>
      <c r="C1358" s="2" t="s">
        <v>569</v>
      </c>
      <c r="D1358" s="2" t="str">
        <f t="shared" si="20"/>
        <v>Error?</v>
      </c>
    </row>
    <row r="1359" spans="1:4" x14ac:dyDescent="0.2">
      <c r="A1359" s="5">
        <v>1298</v>
      </c>
      <c r="B1359" s="1890">
        <f>'Expenditures 15-22'!F210</f>
        <v>164847</v>
      </c>
      <c r="C1359" s="2" t="s">
        <v>569</v>
      </c>
      <c r="D1359" s="2" t="str">
        <f t="shared" si="20"/>
        <v>Error?</v>
      </c>
    </row>
    <row r="1360" spans="1:4" x14ac:dyDescent="0.2">
      <c r="A1360" s="5">
        <v>1299</v>
      </c>
      <c r="B1360" s="1890">
        <f>'Expenditures 15-22'!G182</f>
        <v>206814</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206814</v>
      </c>
      <c r="C1364" s="2" t="s">
        <v>569</v>
      </c>
      <c r="D1364" s="2" t="str">
        <f t="shared" si="20"/>
        <v>Error?</v>
      </c>
    </row>
    <row r="1365" spans="1:4" x14ac:dyDescent="0.2">
      <c r="A1365" s="5">
        <v>1304</v>
      </c>
      <c r="B1365" s="1890">
        <f>'Expenditures 15-22'!G210</f>
        <v>206814</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1380575</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1380575</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1380575</v>
      </c>
      <c r="C1388" s="2" t="s">
        <v>569</v>
      </c>
      <c r="D1388" s="2" t="str">
        <f t="shared" si="20"/>
        <v>Error?</v>
      </c>
    </row>
    <row r="1389" spans="1:4" x14ac:dyDescent="0.2">
      <c r="A1389" s="5">
        <v>1328</v>
      </c>
      <c r="B1389" s="1890">
        <f>'Expenditures 15-22'!K211</f>
        <v>-170310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3678</v>
      </c>
      <c r="D1407" s="2" t="str">
        <f t="shared" ref="D1407:D1470" si="21">IF(ISBLANK(B1407),"OK",IF(A1407-B1407=0,"OK","Error?"))</f>
        <v>Error?</v>
      </c>
    </row>
    <row r="1408" spans="1:4" x14ac:dyDescent="0.2">
      <c r="A1408" s="5">
        <v>1347</v>
      </c>
      <c r="B1408" s="1890">
        <f>'Expenditures 15-22'!D223</f>
        <v>15687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446820</v>
      </c>
      <c r="C1410" s="2" t="s">
        <v>569</v>
      </c>
      <c r="D1410" s="2" t="str">
        <f t="shared" si="21"/>
        <v>Error?</v>
      </c>
    </row>
    <row r="1411" spans="1:4" x14ac:dyDescent="0.2">
      <c r="A1411" s="5">
        <v>1350</v>
      </c>
      <c r="B1411" s="1890">
        <f>'Expenditures 15-22'!D232</f>
        <v>1624</v>
      </c>
      <c r="D1411" s="2" t="str">
        <f t="shared" si="21"/>
        <v>Error?</v>
      </c>
    </row>
    <row r="1412" spans="1:4" x14ac:dyDescent="0.2">
      <c r="A1412" s="5">
        <v>1351</v>
      </c>
      <c r="B1412" s="1890">
        <f>'Expenditures 15-22'!D233</f>
        <v>16750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8486</v>
      </c>
      <c r="D1414" s="2" t="str">
        <f t="shared" si="21"/>
        <v>Error?</v>
      </c>
    </row>
    <row r="1415" spans="1:4" x14ac:dyDescent="0.2">
      <c r="A1415" s="5">
        <v>1354</v>
      </c>
      <c r="B1415" s="1890">
        <f>'Expenditures 15-22'!D236</f>
        <v>3233</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30093</v>
      </c>
      <c r="C1417" s="2" t="s">
        <v>569</v>
      </c>
      <c r="D1417" s="2" t="str">
        <f t="shared" si="21"/>
        <v>Error?</v>
      </c>
    </row>
    <row r="1418" spans="1:4" x14ac:dyDescent="0.2">
      <c r="A1418" s="5">
        <v>1357</v>
      </c>
      <c r="B1418" s="1890">
        <f>'Expenditures 15-22'!D240</f>
        <v>3502</v>
      </c>
      <c r="D1418" s="2" t="str">
        <f t="shared" si="21"/>
        <v>Error?</v>
      </c>
    </row>
    <row r="1419" spans="1:4" x14ac:dyDescent="0.2">
      <c r="A1419" s="5">
        <v>1358</v>
      </c>
      <c r="B1419" s="1890">
        <f>'Expenditures 15-22'!D241</f>
        <v>55941</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59443</v>
      </c>
      <c r="C1421" s="2" t="s">
        <v>569</v>
      </c>
      <c r="D1421" s="2" t="str">
        <f t="shared" si="21"/>
        <v>Error?</v>
      </c>
    </row>
    <row r="1422" spans="1:4" x14ac:dyDescent="0.2">
      <c r="A1422" s="5">
        <v>1361</v>
      </c>
      <c r="B1422" s="1890">
        <f>'Expenditures 15-22'!D245</f>
        <v>309</v>
      </c>
      <c r="D1422" s="2" t="str">
        <f t="shared" si="21"/>
        <v>Error?</v>
      </c>
    </row>
    <row r="1423" spans="1:4" x14ac:dyDescent="0.2">
      <c r="A1423" s="5">
        <v>1362</v>
      </c>
      <c r="B1423" s="1890">
        <f>'Expenditures 15-22'!D246</f>
        <v>8602</v>
      </c>
      <c r="D1423" s="2" t="str">
        <f t="shared" si="21"/>
        <v>Error?</v>
      </c>
    </row>
    <row r="1424" spans="1:4" x14ac:dyDescent="0.2">
      <c r="A1424" s="5">
        <v>1363</v>
      </c>
      <c r="B1424" s="1890">
        <f>'Expenditures 15-22'!D257</f>
        <v>20778</v>
      </c>
      <c r="C1424" s="2" t="s">
        <v>569</v>
      </c>
      <c r="D1424" s="2" t="str">
        <f t="shared" si="21"/>
        <v>Error?</v>
      </c>
    </row>
    <row r="1425" spans="1:4" x14ac:dyDescent="0.2">
      <c r="A1425" s="5">
        <v>1364</v>
      </c>
      <c r="B1425" s="1890">
        <f>'Expenditures 15-22'!D259</f>
        <v>50473</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50473</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16331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137849</v>
      </c>
      <c r="D1431" s="2" t="str">
        <f t="shared" si="21"/>
        <v>Error?</v>
      </c>
    </row>
    <row r="1432" spans="1:4" x14ac:dyDescent="0.2">
      <c r="A1432" s="5">
        <v>1371</v>
      </c>
      <c r="B1432" s="1890">
        <f>'Expenditures 15-22'!D267</f>
        <v>115658</v>
      </c>
      <c r="D1432" s="2" t="str">
        <f t="shared" si="21"/>
        <v>Error?</v>
      </c>
    </row>
    <row r="1433" spans="1:4" x14ac:dyDescent="0.2">
      <c r="A1433" s="5">
        <v>1372</v>
      </c>
      <c r="B1433" s="1890">
        <f>'Expenditures 15-22'!D268</f>
        <v>2586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272424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433211</v>
      </c>
      <c r="C1446" s="2" t="s">
        <v>569</v>
      </c>
      <c r="D1446" s="2" t="str">
        <f t="shared" si="21"/>
        <v>Error?</v>
      </c>
    </row>
    <row r="1447" spans="1:4" x14ac:dyDescent="0.2">
      <c r="A1447" s="5">
        <v>1386</v>
      </c>
      <c r="B1447" s="1890">
        <f>'Expenditures 15-22'!D280</f>
        <v>86</v>
      </c>
      <c r="D1447" s="2" t="str">
        <f t="shared" si="21"/>
        <v>Error?</v>
      </c>
    </row>
    <row r="1448" spans="1:4" x14ac:dyDescent="0.2">
      <c r="A1448" s="5">
        <v>1387</v>
      </c>
      <c r="B1448" s="1890">
        <f>'Expenditures 15-22'!D295</f>
        <v>880117</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3678</v>
      </c>
      <c r="C1471" s="2" t="s">
        <v>569</v>
      </c>
      <c r="D1471" s="2" t="str">
        <f t="shared" ref="D1471:D1534" si="22">IF(ISBLANK(B1471),"OK",IF(A1471-B1471=0,"OK","Error?"))</f>
        <v>Error?</v>
      </c>
    </row>
    <row r="1472" spans="1:4" x14ac:dyDescent="0.2">
      <c r="A1472" s="5">
        <v>1411</v>
      </c>
      <c r="B1472" s="1890">
        <f>'Expenditures 15-22'!K223</f>
        <v>15687</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446820</v>
      </c>
      <c r="C1474" s="2" t="s">
        <v>569</v>
      </c>
      <c r="D1474" s="2" t="str">
        <f t="shared" si="22"/>
        <v>Error?</v>
      </c>
    </row>
    <row r="1475" spans="1:4" x14ac:dyDescent="0.2">
      <c r="A1475" s="5">
        <v>1414</v>
      </c>
      <c r="B1475" s="1890">
        <f>'Expenditures 15-22'!K232</f>
        <v>1624</v>
      </c>
      <c r="C1475" s="2" t="s">
        <v>569</v>
      </c>
      <c r="D1475" s="2" t="str">
        <f t="shared" si="22"/>
        <v>Error?</v>
      </c>
    </row>
    <row r="1476" spans="1:4" x14ac:dyDescent="0.2">
      <c r="A1476" s="5">
        <v>1415</v>
      </c>
      <c r="B1476" s="1890">
        <f>'Expenditures 15-22'!K233</f>
        <v>16750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8486</v>
      </c>
      <c r="C1478" s="2" t="s">
        <v>569</v>
      </c>
      <c r="D1478" s="2" t="str">
        <f t="shared" si="22"/>
        <v>Error?</v>
      </c>
    </row>
    <row r="1479" spans="1:4" x14ac:dyDescent="0.2">
      <c r="A1479" s="5">
        <v>1418</v>
      </c>
      <c r="B1479" s="1890">
        <f>'Expenditures 15-22'!K236</f>
        <v>3233</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30093</v>
      </c>
      <c r="C1481" s="2" t="s">
        <v>569</v>
      </c>
      <c r="D1481" s="2" t="str">
        <f t="shared" si="22"/>
        <v>Error?</v>
      </c>
    </row>
    <row r="1482" spans="1:4" x14ac:dyDescent="0.2">
      <c r="A1482" s="5">
        <v>1421</v>
      </c>
      <c r="B1482" s="1890">
        <f>'Expenditures 15-22'!K240</f>
        <v>3502</v>
      </c>
      <c r="C1482" s="2" t="s">
        <v>569</v>
      </c>
      <c r="D1482" s="2" t="str">
        <f t="shared" si="22"/>
        <v>Error?</v>
      </c>
    </row>
    <row r="1483" spans="1:4" x14ac:dyDescent="0.2">
      <c r="A1483" s="5">
        <v>1422</v>
      </c>
      <c r="B1483" s="1890">
        <f>'Expenditures 15-22'!K241</f>
        <v>55941</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59443</v>
      </c>
      <c r="C1485" s="2" t="s">
        <v>569</v>
      </c>
      <c r="D1485" s="2" t="str">
        <f t="shared" si="22"/>
        <v>Error?</v>
      </c>
    </row>
    <row r="1486" spans="1:4" x14ac:dyDescent="0.2">
      <c r="A1486" s="5">
        <v>1425</v>
      </c>
      <c r="B1486" s="1890">
        <f>'Expenditures 15-22'!K245</f>
        <v>309</v>
      </c>
      <c r="C1486" s="2" t="s">
        <v>569</v>
      </c>
      <c r="D1486" s="2" t="str">
        <f t="shared" si="22"/>
        <v>Error?</v>
      </c>
    </row>
    <row r="1487" spans="1:4" x14ac:dyDescent="0.2">
      <c r="A1487" s="5">
        <v>1426</v>
      </c>
      <c r="B1487" s="1890">
        <f>'Expenditures 15-22'!K246</f>
        <v>8602</v>
      </c>
      <c r="C1487" s="2" t="s">
        <v>569</v>
      </c>
      <c r="D1487" s="2" t="str">
        <f t="shared" si="22"/>
        <v>Error?</v>
      </c>
    </row>
    <row r="1488" spans="1:4" x14ac:dyDescent="0.2">
      <c r="A1488" s="5">
        <v>1427</v>
      </c>
      <c r="B1488" s="1890">
        <f>'Expenditures 15-22'!K257</f>
        <v>20778</v>
      </c>
      <c r="C1488" s="2" t="s">
        <v>569</v>
      </c>
      <c r="D1488" s="2" t="str">
        <f t="shared" si="22"/>
        <v>Error?</v>
      </c>
    </row>
    <row r="1489" spans="1:4" x14ac:dyDescent="0.2">
      <c r="A1489" s="5">
        <v>1428</v>
      </c>
      <c r="B1489" s="1890">
        <f>'Expenditures 15-22'!K259</f>
        <v>50473</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50473</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16331</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137849</v>
      </c>
      <c r="C1495" s="2" t="s">
        <v>569</v>
      </c>
      <c r="D1495" s="2" t="str">
        <f t="shared" si="22"/>
        <v>Error?</v>
      </c>
    </row>
    <row r="1496" spans="1:4" x14ac:dyDescent="0.2">
      <c r="A1496" s="5">
        <v>1435</v>
      </c>
      <c r="B1496" s="1890">
        <f>'Expenditures 15-22'!K267</f>
        <v>115658</v>
      </c>
      <c r="C1496" s="2" t="s">
        <v>569</v>
      </c>
      <c r="D1496" s="2" t="str">
        <f t="shared" si="22"/>
        <v>Error?</v>
      </c>
    </row>
    <row r="1497" spans="1:4" x14ac:dyDescent="0.2">
      <c r="A1497" s="5">
        <v>1436</v>
      </c>
      <c r="B1497" s="1890">
        <f>'Expenditures 15-22'!K268</f>
        <v>2586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272424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433211</v>
      </c>
      <c r="C1510" s="2" t="s">
        <v>569</v>
      </c>
      <c r="D1510" s="2" t="str">
        <f t="shared" si="22"/>
        <v>Error?</v>
      </c>
    </row>
    <row r="1511" spans="1:4" x14ac:dyDescent="0.2">
      <c r="A1511" s="5">
        <v>1450</v>
      </c>
      <c r="B1511" s="1890">
        <f>'Expenditures 15-22'!K280</f>
        <v>86</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880117</v>
      </c>
      <c r="C1517" s="2" t="s">
        <v>569</v>
      </c>
      <c r="D1517" s="2" t="str">
        <f t="shared" si="22"/>
        <v>Error?</v>
      </c>
    </row>
    <row r="1518" spans="1:4" x14ac:dyDescent="0.2">
      <c r="A1518" s="5">
        <v>1457</v>
      </c>
      <c r="B1518" s="1890">
        <f>'Expenditures 15-22'!K296</f>
        <v>218980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555486</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555486</v>
      </c>
      <c r="C1535" s="2" t="s">
        <v>569</v>
      </c>
      <c r="D1535" s="2" t="str">
        <f t="shared" ref="D1535:D1598" si="23">IF(ISBLANK(B1535),"OK",IF(A1535-B1535=0,"OK","Error?"))</f>
        <v>Error?</v>
      </c>
    </row>
    <row r="1536" spans="1:4" x14ac:dyDescent="0.2">
      <c r="A1536" s="5">
        <v>1475</v>
      </c>
      <c r="B1536" s="1890">
        <f>'Expenditures 15-22'!E312</f>
        <v>555486</v>
      </c>
      <c r="C1536" s="2" t="s">
        <v>569</v>
      </c>
      <c r="D1536" s="2" t="str">
        <f t="shared" si="23"/>
        <v>Error?</v>
      </c>
    </row>
    <row r="1537" spans="1:4" x14ac:dyDescent="0.2">
      <c r="A1537" s="5">
        <v>1476</v>
      </c>
      <c r="B1537" s="1890">
        <f>'Expenditures 15-22'!F301</f>
        <v>16765</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16765</v>
      </c>
      <c r="C1541" s="2" t="s">
        <v>569</v>
      </c>
      <c r="D1541" s="2" t="str">
        <f t="shared" si="23"/>
        <v>Error?</v>
      </c>
    </row>
    <row r="1542" spans="1:4" x14ac:dyDescent="0.2">
      <c r="A1542" s="5">
        <v>1481</v>
      </c>
      <c r="B1542" s="1890">
        <f>'Expenditures 15-22'!F312</f>
        <v>16765</v>
      </c>
      <c r="C1542" s="2" t="s">
        <v>569</v>
      </c>
      <c r="D1542" s="2" t="str">
        <f t="shared" si="23"/>
        <v>Error?</v>
      </c>
    </row>
    <row r="1543" spans="1:4" x14ac:dyDescent="0.2">
      <c r="A1543" s="5">
        <v>1482</v>
      </c>
      <c r="B1543" s="1890">
        <f>'Expenditures 15-22'!G301</f>
        <v>27071</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27071</v>
      </c>
      <c r="C1547" s="2" t="s">
        <v>569</v>
      </c>
      <c r="D1547" s="2" t="str">
        <f t="shared" si="23"/>
        <v>Error?</v>
      </c>
    </row>
    <row r="1548" spans="1:4" x14ac:dyDescent="0.2">
      <c r="A1548" s="5">
        <v>1487</v>
      </c>
      <c r="B1548" s="1890">
        <f>'Expenditures 15-22'!G312</f>
        <v>27071</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599322</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599322</v>
      </c>
      <c r="C1559" s="2" t="s">
        <v>569</v>
      </c>
      <c r="D1559" s="2" t="str">
        <f t="shared" si="23"/>
        <v>Error?</v>
      </c>
    </row>
    <row r="1560" spans="1:4" x14ac:dyDescent="0.2">
      <c r="A1560" s="5">
        <v>1499</v>
      </c>
      <c r="B1560" s="1890">
        <f>'Expenditures 15-22'!K312</f>
        <v>599322</v>
      </c>
      <c r="C1560" s="2" t="s">
        <v>569</v>
      </c>
      <c r="D1560" s="2" t="str">
        <f t="shared" si="23"/>
        <v>Error?</v>
      </c>
    </row>
    <row r="1561" spans="1:4" x14ac:dyDescent="0.2">
      <c r="A1561" s="5">
        <v>1500</v>
      </c>
      <c r="B1561" s="1890">
        <f>'Expenditures 15-22'!K313</f>
        <v>120961</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9041558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10254626</v>
      </c>
      <c r="C1630" s="2" t="s">
        <v>569</v>
      </c>
      <c r="D1630" s="2" t="str">
        <f t="shared" si="24"/>
        <v>Error?</v>
      </c>
    </row>
    <row r="1631" spans="1:4" x14ac:dyDescent="0.2">
      <c r="A1631" s="5">
        <v>1570</v>
      </c>
      <c r="B1631" s="1890">
        <f>'Acct Summary 7-8'!D79</f>
        <v>229982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454272</v>
      </c>
      <c r="C1644" s="2" t="s">
        <v>569</v>
      </c>
      <c r="D1644" s="2" t="str">
        <f t="shared" si="24"/>
        <v>Error?</v>
      </c>
    </row>
    <row r="1645" spans="1:4" x14ac:dyDescent="0.2">
      <c r="A1645" s="5">
        <v>1584</v>
      </c>
      <c r="B1645" s="1890">
        <f>'Acct Summary 7-8'!E79</f>
        <v>113451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109548</v>
      </c>
      <c r="C1658" s="2" t="s">
        <v>569</v>
      </c>
      <c r="D1658" s="2" t="str">
        <f t="shared" si="24"/>
        <v>Error?</v>
      </c>
    </row>
    <row r="1659" spans="1:4" x14ac:dyDescent="0.2">
      <c r="A1659" s="5">
        <v>1598</v>
      </c>
      <c r="B1659" s="1890">
        <f>'Acct Summary 7-8'!F79</f>
        <v>678778</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508468</v>
      </c>
      <c r="C1672" s="2" t="s">
        <v>569</v>
      </c>
      <c r="D1672" s="2" t="str">
        <f t="shared" si="25"/>
        <v>Error?</v>
      </c>
    </row>
    <row r="1673" spans="1:4" x14ac:dyDescent="0.2">
      <c r="A1673" s="5">
        <v>1612</v>
      </c>
      <c r="B1673" s="1890">
        <f>'Acct Summary 7-8'!G79</f>
        <v>366350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585330</v>
      </c>
      <c r="C1686" s="2" t="s">
        <v>569</v>
      </c>
      <c r="D1686" s="2" t="str">
        <f t="shared" si="25"/>
        <v>Error?</v>
      </c>
    </row>
    <row r="1687" spans="1:4" x14ac:dyDescent="0.2">
      <c r="A1687" s="5">
        <v>1626</v>
      </c>
      <c r="B1687" s="1890">
        <f>'Acct Summary 7-8'!H79</f>
        <v>1198330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1319291</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3923938</v>
      </c>
      <c r="C1744" s="2" t="s">
        <v>569</v>
      </c>
      <c r="D1744" s="2" t="str">
        <f t="shared" si="26"/>
        <v>Error?</v>
      </c>
    </row>
    <row r="1745" spans="1:5" x14ac:dyDescent="0.2">
      <c r="A1745" s="5">
        <v>1684</v>
      </c>
      <c r="B1745" s="1890">
        <f>'Tax Sched 23'!B5</f>
        <v>1066286</v>
      </c>
      <c r="C1745" s="2" t="s">
        <v>569</v>
      </c>
      <c r="D1745" s="2" t="str">
        <f t="shared" si="26"/>
        <v>Error?</v>
      </c>
    </row>
    <row r="1746" spans="1:5" x14ac:dyDescent="0.2">
      <c r="A1746" s="5">
        <v>1685</v>
      </c>
      <c r="B1746" s="1890">
        <f>'Tax Sched 23'!B6</f>
        <v>789263</v>
      </c>
      <c r="C1746" s="2" t="s">
        <v>569</v>
      </c>
      <c r="D1746" s="2" t="str">
        <f t="shared" si="26"/>
        <v>Error?</v>
      </c>
    </row>
    <row r="1747" spans="1:5" x14ac:dyDescent="0.2">
      <c r="A1747" s="5">
        <v>1686</v>
      </c>
      <c r="B1747" s="1890">
        <f>'Tax Sched 23'!B7</f>
        <v>426509</v>
      </c>
      <c r="C1747" s="2" t="s">
        <v>569</v>
      </c>
      <c r="D1747" s="2" t="str">
        <f t="shared" si="26"/>
        <v>Error?</v>
      </c>
    </row>
    <row r="1748" spans="1:5" x14ac:dyDescent="0.2">
      <c r="A1748" s="5">
        <v>1687</v>
      </c>
      <c r="B1748" s="1890">
        <f>'Tax Sched 23'!B8</f>
        <v>427365</v>
      </c>
      <c r="C1748" s="2" t="s">
        <v>569</v>
      </c>
      <c r="D1748" s="2" t="str">
        <f t="shared" si="26"/>
        <v>Error?</v>
      </c>
    </row>
    <row r="1749" spans="1:5" x14ac:dyDescent="0.2">
      <c r="A1749" s="5">
        <v>1688</v>
      </c>
      <c r="B1749" s="1890">
        <f>'Tax Sched 23'!B10</f>
        <v>106625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1085693</v>
      </c>
      <c r="C1752" s="2" t="s">
        <v>569</v>
      </c>
      <c r="D1752" s="2" t="str">
        <f t="shared" si="26"/>
        <v>Error?</v>
      </c>
    </row>
    <row r="1753" spans="1:5" x14ac:dyDescent="0.2">
      <c r="A1753" s="5">
        <v>1692</v>
      </c>
      <c r="B1753" s="1890">
        <f>'Tax Sched 23'!B12</f>
        <v>106625</v>
      </c>
      <c r="C1753" s="2" t="s">
        <v>569</v>
      </c>
      <c r="D1753" s="2" t="str">
        <f t="shared" si="26"/>
        <v>Error?</v>
      </c>
    </row>
    <row r="1754" spans="1:5" x14ac:dyDescent="0.2">
      <c r="A1754" s="5">
        <v>1693</v>
      </c>
      <c r="B1754" s="1890">
        <f>'Tax Sched 23'!B14</f>
        <v>85302</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8556713</v>
      </c>
      <c r="C1759" s="2" t="s">
        <v>569</v>
      </c>
      <c r="D1759" s="2" t="str">
        <f t="shared" si="26"/>
        <v>Error?</v>
      </c>
    </row>
    <row r="1760" spans="1:5" x14ac:dyDescent="0.2">
      <c r="A1760" s="5">
        <v>1699</v>
      </c>
      <c r="B1760" s="1890">
        <f>'Tax Sched 23'!D4</f>
        <v>3923938</v>
      </c>
      <c r="C1760" s="2" t="s">
        <v>569</v>
      </c>
      <c r="D1760" s="2" t="str">
        <f t="shared" si="26"/>
        <v>Error?</v>
      </c>
    </row>
    <row r="1761" spans="1:7" x14ac:dyDescent="0.2">
      <c r="A1761" s="5">
        <v>1700</v>
      </c>
      <c r="B1761" s="1890">
        <f>'Tax Sched 23'!D5</f>
        <v>1066286</v>
      </c>
      <c r="C1761" s="2" t="s">
        <v>569</v>
      </c>
      <c r="D1761" s="2" t="str">
        <f t="shared" si="26"/>
        <v>Error?</v>
      </c>
    </row>
    <row r="1762" spans="1:7" s="8" customFormat="1" x14ac:dyDescent="0.2">
      <c r="A1762" s="5">
        <v>1701</v>
      </c>
      <c r="B1762" s="1890">
        <f>'Tax Sched 23'!D6</f>
        <v>789263</v>
      </c>
      <c r="C1762" s="2" t="s">
        <v>569</v>
      </c>
      <c r="D1762" s="2" t="str">
        <f t="shared" si="26"/>
        <v>Error?</v>
      </c>
      <c r="E1762" s="9"/>
      <c r="G1762"/>
    </row>
    <row r="1763" spans="1:7" x14ac:dyDescent="0.2">
      <c r="A1763" s="5">
        <v>1702</v>
      </c>
      <c r="B1763" s="1890">
        <f>'Tax Sched 23'!D7</f>
        <v>426509</v>
      </c>
      <c r="C1763" s="2" t="s">
        <v>569</v>
      </c>
      <c r="D1763" s="2" t="str">
        <f t="shared" si="26"/>
        <v>Error?</v>
      </c>
    </row>
    <row r="1764" spans="1:7" x14ac:dyDescent="0.2">
      <c r="A1764" s="5">
        <v>1703</v>
      </c>
      <c r="B1764" s="1890">
        <f>'Tax Sched 23'!D8</f>
        <v>427365</v>
      </c>
      <c r="C1764" s="2" t="s">
        <v>569</v>
      </c>
      <c r="D1764" s="2" t="str">
        <f t="shared" si="26"/>
        <v>Error?</v>
      </c>
    </row>
    <row r="1765" spans="1:7" x14ac:dyDescent="0.2">
      <c r="A1765" s="5">
        <v>1704</v>
      </c>
      <c r="B1765" s="1890">
        <f>'Tax Sched 23'!D10</f>
        <v>106625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1085693</v>
      </c>
      <c r="C1768" s="2" t="s">
        <v>569</v>
      </c>
      <c r="D1768" s="2" t="str">
        <f t="shared" si="26"/>
        <v>Error?</v>
      </c>
    </row>
    <row r="1769" spans="1:7" x14ac:dyDescent="0.2">
      <c r="A1769" s="5">
        <v>1708</v>
      </c>
      <c r="B1769" s="1890">
        <f>'Tax Sched 23'!D12</f>
        <v>106625</v>
      </c>
      <c r="C1769" s="2" t="s">
        <v>569</v>
      </c>
      <c r="D1769" s="2" t="str">
        <f t="shared" si="26"/>
        <v>Error?</v>
      </c>
    </row>
    <row r="1770" spans="1:7" x14ac:dyDescent="0.2">
      <c r="A1770" s="5">
        <v>1709</v>
      </c>
      <c r="B1770" s="1890">
        <f>'Tax Sched 23'!D14</f>
        <v>85302</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8556713</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4092485</v>
      </c>
      <c r="C1792" s="2" t="s">
        <v>569</v>
      </c>
      <c r="D1792" s="2" t="str">
        <f t="shared" si="27"/>
        <v>Error?</v>
      </c>
    </row>
    <row r="1793" spans="1:4" x14ac:dyDescent="0.2">
      <c r="A1793" s="5">
        <v>1732</v>
      </c>
      <c r="B1793" s="1890">
        <f>'Tax Sched 23'!F5</f>
        <v>1112088</v>
      </c>
      <c r="C1793" s="2" t="s">
        <v>569</v>
      </c>
      <c r="D1793" s="2" t="str">
        <f t="shared" si="27"/>
        <v>Error?</v>
      </c>
    </row>
    <row r="1794" spans="1:4" x14ac:dyDescent="0.2">
      <c r="A1794" s="5">
        <v>1733</v>
      </c>
      <c r="B1794" s="1890">
        <f>'Tax Sched 23'!F6</f>
        <v>792919</v>
      </c>
      <c r="C1794" s="2" t="s">
        <v>569</v>
      </c>
      <c r="D1794" s="2" t="str">
        <f t="shared" si="27"/>
        <v>Error?</v>
      </c>
    </row>
    <row r="1795" spans="1:4" x14ac:dyDescent="0.2">
      <c r="A1795" s="5">
        <v>1734</v>
      </c>
      <c r="B1795" s="1890">
        <f>'Tax Sched 23'!F7</f>
        <v>444835</v>
      </c>
      <c r="C1795" s="2" t="s">
        <v>569</v>
      </c>
      <c r="D1795" s="2" t="str">
        <f t="shared" si="27"/>
        <v>Error?</v>
      </c>
    </row>
    <row r="1796" spans="1:4" x14ac:dyDescent="0.2">
      <c r="A1796" s="5">
        <v>1735</v>
      </c>
      <c r="B1796" s="1890">
        <f>'Tax Sched 23'!F8</f>
        <v>430156</v>
      </c>
      <c r="C1796" s="2" t="s">
        <v>569</v>
      </c>
      <c r="D1796" s="2" t="str">
        <f t="shared" si="27"/>
        <v>Error?</v>
      </c>
    </row>
    <row r="1797" spans="1:4" x14ac:dyDescent="0.2">
      <c r="A1797" s="5">
        <v>1736</v>
      </c>
      <c r="B1797" s="1890">
        <f>'Tax Sched 23'!F10</f>
        <v>111209</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1300031</v>
      </c>
      <c r="C1800" s="2" t="s">
        <v>569</v>
      </c>
      <c r="D1800" s="2" t="str">
        <f t="shared" si="27"/>
        <v>Error?</v>
      </c>
    </row>
    <row r="1801" spans="1:4" x14ac:dyDescent="0.2">
      <c r="A1801" s="5">
        <v>1740</v>
      </c>
      <c r="B1801" s="1890">
        <f>'Tax Sched 23'!F12</f>
        <v>111209</v>
      </c>
      <c r="C1801" s="2" t="s">
        <v>569</v>
      </c>
      <c r="D1801" s="2" t="str">
        <f t="shared" si="27"/>
        <v>Error?</v>
      </c>
    </row>
    <row r="1802" spans="1:4" x14ac:dyDescent="0.2">
      <c r="A1802" s="5">
        <v>1741</v>
      </c>
      <c r="B1802" s="1890">
        <f>'Tax Sched 23'!F14</f>
        <v>88967</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9019258</v>
      </c>
      <c r="C1807" s="2" t="s">
        <v>569</v>
      </c>
      <c r="D1807" s="2" t="str">
        <f t="shared" si="27"/>
        <v>Error?</v>
      </c>
    </row>
    <row r="1808" spans="1:4" x14ac:dyDescent="0.2">
      <c r="A1808" s="5">
        <v>1747</v>
      </c>
      <c r="B1808" s="1890">
        <f>'Tax Sched 23'!E4</f>
        <v>4092485</v>
      </c>
      <c r="D1808" s="2" t="str">
        <f t="shared" si="27"/>
        <v>Error?</v>
      </c>
    </row>
    <row r="1809" spans="1:4" x14ac:dyDescent="0.2">
      <c r="A1809" s="5">
        <v>1748</v>
      </c>
      <c r="B1809" s="1890">
        <f>'Tax Sched 23'!E5</f>
        <v>1112088</v>
      </c>
      <c r="D1809" s="2" t="str">
        <f t="shared" si="27"/>
        <v>Error?</v>
      </c>
    </row>
    <row r="1810" spans="1:4" x14ac:dyDescent="0.2">
      <c r="A1810" s="5">
        <v>1749</v>
      </c>
      <c r="B1810" s="1890">
        <f>'Tax Sched 23'!E6</f>
        <v>792919</v>
      </c>
      <c r="D1810" s="2" t="str">
        <f t="shared" si="27"/>
        <v>Error?</v>
      </c>
    </row>
    <row r="1811" spans="1:4" x14ac:dyDescent="0.2">
      <c r="A1811" s="5">
        <v>1750</v>
      </c>
      <c r="B1811" s="1890">
        <f>'Tax Sched 23'!E7</f>
        <v>444835</v>
      </c>
      <c r="D1811" s="2" t="str">
        <f t="shared" si="27"/>
        <v>Error?</v>
      </c>
    </row>
    <row r="1812" spans="1:4" x14ac:dyDescent="0.2">
      <c r="A1812" s="5">
        <v>1751</v>
      </c>
      <c r="B1812" s="1890">
        <f>'Tax Sched 23'!E8</f>
        <v>430156</v>
      </c>
      <c r="D1812" s="2" t="str">
        <f t="shared" si="27"/>
        <v>Error?</v>
      </c>
    </row>
    <row r="1813" spans="1:4" x14ac:dyDescent="0.2">
      <c r="A1813" s="5">
        <v>1752</v>
      </c>
      <c r="B1813" s="1890">
        <f>'Tax Sched 23'!E10</f>
        <v>111209</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1300031</v>
      </c>
      <c r="D1816" s="2" t="str">
        <f t="shared" si="27"/>
        <v>Error?</v>
      </c>
    </row>
    <row r="1817" spans="1:4" x14ac:dyDescent="0.2">
      <c r="A1817" s="5">
        <v>1756</v>
      </c>
      <c r="B1817" s="1890">
        <f>'Tax Sched 23'!E12</f>
        <v>111209</v>
      </c>
      <c r="D1817" s="2" t="str">
        <f t="shared" si="27"/>
        <v>Error?</v>
      </c>
    </row>
    <row r="1818" spans="1:4" x14ac:dyDescent="0.2">
      <c r="A1818" s="5">
        <v>1757</v>
      </c>
      <c r="B1818" s="1890">
        <f>'Tax Sched 23'!E14</f>
        <v>88967</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9019258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7644194</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85302</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85302</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85302</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253690</v>
      </c>
      <c r="D2008" s="2" t="str">
        <f t="shared" si="30"/>
        <v>Error?</v>
      </c>
    </row>
    <row r="2009" spans="1:4" x14ac:dyDescent="0.2">
      <c r="A2009" s="5">
        <v>1948</v>
      </c>
      <c r="B2009" s="1890">
        <f>'Cap Outlay Deprec 26'!C8</f>
        <v>25705526</v>
      </c>
      <c r="D2009" s="2" t="str">
        <f t="shared" si="30"/>
        <v>Error?</v>
      </c>
    </row>
    <row r="2010" spans="1:4" x14ac:dyDescent="0.2">
      <c r="A2010" s="5">
        <v>1949</v>
      </c>
      <c r="B2010" s="1890">
        <f>'Cap Outlay Deprec 26'!C10</f>
        <v>7267229</v>
      </c>
      <c r="D2010" s="2" t="str">
        <f t="shared" si="30"/>
        <v>Error?</v>
      </c>
    </row>
    <row r="2011" spans="1:4" x14ac:dyDescent="0.2">
      <c r="A2011" s="5">
        <v>1950</v>
      </c>
      <c r="B2011" s="1890">
        <f>'Cap Outlay Deprec 26'!C12</f>
        <v>2853900</v>
      </c>
      <c r="D2011" s="2" t="str">
        <f t="shared" si="30"/>
        <v>Error?</v>
      </c>
    </row>
    <row r="2012" spans="1:4" x14ac:dyDescent="0.2">
      <c r="A2012" s="5">
        <v>1951</v>
      </c>
      <c r="B2012" s="1890">
        <f>'Cap Outlay Deprec 26'!C13</f>
        <v>2798519</v>
      </c>
      <c r="D2012" s="2" t="str">
        <f t="shared" si="30"/>
        <v>Error?</v>
      </c>
    </row>
    <row r="2013" spans="1:4" x14ac:dyDescent="0.2">
      <c r="A2013" s="5">
        <v>1952</v>
      </c>
      <c r="B2013" s="1890">
        <f>'Cap Outlay Deprec 26'!C16</f>
        <v>39476447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1048272</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256158</v>
      </c>
      <c r="D2018" s="2" t="str">
        <f t="shared" si="30"/>
        <v>Error?</v>
      </c>
    </row>
    <row r="2019" spans="1:4" x14ac:dyDescent="0.2">
      <c r="A2019" s="5">
        <v>1958</v>
      </c>
      <c r="B2019" s="1890">
        <f>'Cap Outlay Deprec 26'!D16</f>
        <v>1304430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581940</v>
      </c>
      <c r="C2025" s="2" t="s">
        <v>569</v>
      </c>
      <c r="D2025" s="2" t="str">
        <f t="shared" si="30"/>
        <v>Error?</v>
      </c>
    </row>
    <row r="2026" spans="1:4" x14ac:dyDescent="0.2">
      <c r="A2026" s="5">
        <v>1965</v>
      </c>
      <c r="B2026" s="1890">
        <f>'Cap Outlay Deprec 26'!F5</f>
        <v>253690</v>
      </c>
      <c r="C2026" s="2" t="s">
        <v>569</v>
      </c>
      <c r="D2026" s="2" t="str">
        <f t="shared" si="30"/>
        <v>Error?</v>
      </c>
    </row>
    <row r="2027" spans="1:4" x14ac:dyDescent="0.2">
      <c r="A2027" s="5">
        <v>1966</v>
      </c>
      <c r="B2027" s="1890">
        <f>'Cap Outlay Deprec 26'!F8</f>
        <v>26753798</v>
      </c>
      <c r="C2027" s="2" t="s">
        <v>569</v>
      </c>
      <c r="D2027" s="2" t="str">
        <f t="shared" si="30"/>
        <v>Error?</v>
      </c>
    </row>
    <row r="2028" spans="1:4" x14ac:dyDescent="0.2">
      <c r="A2028" s="5">
        <v>1967</v>
      </c>
      <c r="B2028" s="1890">
        <f>'Cap Outlay Deprec 26'!F10</f>
        <v>7267229</v>
      </c>
      <c r="C2028" s="2" t="s">
        <v>569</v>
      </c>
      <c r="D2028" s="2" t="str">
        <f t="shared" si="30"/>
        <v>Error?</v>
      </c>
    </row>
    <row r="2029" spans="1:4" x14ac:dyDescent="0.2">
      <c r="A2029" s="5">
        <v>1968</v>
      </c>
      <c r="B2029" s="1890">
        <f>'Cap Outlay Deprec 26'!F12</f>
        <v>2853900</v>
      </c>
      <c r="C2029" s="2" t="s">
        <v>569</v>
      </c>
      <c r="D2029" s="2" t="str">
        <f t="shared" si="30"/>
        <v>Error?</v>
      </c>
    </row>
    <row r="2030" spans="1:4" x14ac:dyDescent="0.2">
      <c r="A2030" s="5">
        <v>1969</v>
      </c>
      <c r="B2030" s="1890">
        <f>'Cap Outlay Deprec 26'!F13</f>
        <v>3054677</v>
      </c>
      <c r="C2030" s="2" t="s">
        <v>569</v>
      </c>
      <c r="D2030" s="2" t="str">
        <f t="shared" si="30"/>
        <v>Error?</v>
      </c>
    </row>
    <row r="2031" spans="1:4" x14ac:dyDescent="0.2">
      <c r="A2031" s="5">
        <v>1970</v>
      </c>
      <c r="B2031" s="1890">
        <f>'Cap Outlay Deprec 26'!F16</f>
        <v>40198937</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14334141</v>
      </c>
      <c r="D2033" s="2" t="str">
        <f t="shared" si="30"/>
        <v>Error?</v>
      </c>
    </row>
    <row r="2034" spans="1:4" x14ac:dyDescent="0.2">
      <c r="A2034" s="5">
        <v>1973</v>
      </c>
      <c r="B2034" s="1890">
        <f>'Cap Outlay Deprec 26'!H10</f>
        <v>3248200</v>
      </c>
      <c r="D2034" s="2" t="str">
        <f t="shared" si="30"/>
        <v>Error?</v>
      </c>
    </row>
    <row r="2035" spans="1:4" x14ac:dyDescent="0.2">
      <c r="A2035" s="5">
        <v>1974</v>
      </c>
      <c r="B2035" s="1890">
        <f>'Cap Outlay Deprec 26'!H12</f>
        <v>2081900</v>
      </c>
      <c r="D2035" s="2" t="str">
        <f t="shared" si="30"/>
        <v>Error?</v>
      </c>
    </row>
    <row r="2036" spans="1:4" x14ac:dyDescent="0.2">
      <c r="A2036" s="5">
        <v>1975</v>
      </c>
      <c r="B2036" s="1890">
        <f>'Cap Outlay Deprec 26'!H13</f>
        <v>2453295</v>
      </c>
      <c r="D2036" s="2" t="str">
        <f t="shared" si="30"/>
        <v>Error?</v>
      </c>
    </row>
    <row r="2037" spans="1:4" x14ac:dyDescent="0.2">
      <c r="A2037" s="5">
        <v>1976</v>
      </c>
      <c r="B2037" s="1890">
        <f>'Cap Outlay Deprec 26'!H16</f>
        <v>22131579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349319</v>
      </c>
      <c r="D2039" s="2" t="str">
        <f t="shared" si="30"/>
        <v>Error?</v>
      </c>
    </row>
    <row r="2040" spans="1:4" x14ac:dyDescent="0.2">
      <c r="A2040" s="5">
        <v>1979</v>
      </c>
      <c r="B2040" s="1890">
        <f>'Cap Outlay Deprec 26'!I10</f>
        <v>313878</v>
      </c>
      <c r="D2040" s="2" t="str">
        <f t="shared" si="30"/>
        <v>Error?</v>
      </c>
    </row>
    <row r="2041" spans="1:4" x14ac:dyDescent="0.2">
      <c r="A2041" s="5">
        <v>1980</v>
      </c>
      <c r="B2041" s="1890">
        <f>'Cap Outlay Deprec 26'!I12</f>
        <v>184959</v>
      </c>
      <c r="D2041" s="2" t="str">
        <f t="shared" si="30"/>
        <v>Error?</v>
      </c>
    </row>
    <row r="2042" spans="1:4" x14ac:dyDescent="0.2">
      <c r="A2042" s="5">
        <v>1981</v>
      </c>
      <c r="B2042" s="1890">
        <f>'Cap Outlay Deprec 26'!I13</f>
        <v>188642</v>
      </c>
      <c r="D2042" s="2" t="str">
        <f t="shared" si="30"/>
        <v>Error?</v>
      </c>
    </row>
    <row r="2043" spans="1:4" x14ac:dyDescent="0.2">
      <c r="A2043" s="5">
        <v>1982</v>
      </c>
      <c r="B2043" s="1890">
        <f>'Cap Outlay Deprec 26'!I16</f>
        <v>1038397</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14683460</v>
      </c>
      <c r="C2051" s="2" t="s">
        <v>569</v>
      </c>
      <c r="D2051" s="2" t="str">
        <f t="shared" si="31"/>
        <v>Error?</v>
      </c>
    </row>
    <row r="2052" spans="1:4" x14ac:dyDescent="0.2">
      <c r="A2052" s="5">
        <v>1991</v>
      </c>
      <c r="B2052" s="1890">
        <f>'Cap Outlay Deprec 26'!K10</f>
        <v>3562078</v>
      </c>
      <c r="C2052" s="2" t="s">
        <v>569</v>
      </c>
      <c r="D2052" s="2" t="str">
        <f t="shared" si="31"/>
        <v>Error?</v>
      </c>
    </row>
    <row r="2053" spans="1:4" x14ac:dyDescent="0.2">
      <c r="A2053" s="5">
        <v>1992</v>
      </c>
      <c r="B2053" s="1890">
        <f>'Cap Outlay Deprec 26'!K12</f>
        <v>2266859</v>
      </c>
      <c r="C2053" s="2" t="s">
        <v>569</v>
      </c>
      <c r="D2053" s="2" t="str">
        <f t="shared" si="31"/>
        <v>Error?</v>
      </c>
    </row>
    <row r="2054" spans="1:4" x14ac:dyDescent="0.2">
      <c r="A2054" s="5">
        <v>1993</v>
      </c>
      <c r="B2054" s="1890">
        <f>'Cap Outlay Deprec 26'!K13</f>
        <v>2641937</v>
      </c>
      <c r="C2054" s="2" t="s">
        <v>569</v>
      </c>
      <c r="D2054" s="2" t="str">
        <f t="shared" si="31"/>
        <v>Error?</v>
      </c>
    </row>
    <row r="2055" spans="1:4" x14ac:dyDescent="0.2">
      <c r="A2055" s="5">
        <v>1994</v>
      </c>
      <c r="B2055" s="1890">
        <f>'Cap Outlay Deprec 26'!K16</f>
        <v>23169976</v>
      </c>
      <c r="C2055" s="2" t="s">
        <v>569</v>
      </c>
      <c r="D2055" s="2" t="str">
        <f t="shared" si="31"/>
        <v>Error?</v>
      </c>
    </row>
    <row r="2056" spans="1:4" x14ac:dyDescent="0.2">
      <c r="A2056" s="5">
        <v>1995</v>
      </c>
      <c r="B2056" s="1890">
        <f>'Cap Outlay Deprec 26'!L5</f>
        <v>253690</v>
      </c>
      <c r="C2056" s="2" t="s">
        <v>569</v>
      </c>
      <c r="D2056" s="2" t="str">
        <f t="shared" si="31"/>
        <v>Error?</v>
      </c>
    </row>
    <row r="2057" spans="1:4" x14ac:dyDescent="0.2">
      <c r="A2057" s="5">
        <v>1996</v>
      </c>
      <c r="B2057" s="1890">
        <f>'Cap Outlay Deprec 26'!L8</f>
        <v>12070338</v>
      </c>
      <c r="C2057" s="2" t="s">
        <v>569</v>
      </c>
      <c r="D2057" s="2" t="str">
        <f t="shared" si="31"/>
        <v>Error?</v>
      </c>
    </row>
    <row r="2058" spans="1:4" x14ac:dyDescent="0.2">
      <c r="A2058" s="5">
        <v>1997</v>
      </c>
      <c r="B2058" s="1890">
        <f>'Cap Outlay Deprec 26'!L10</f>
        <v>3705151</v>
      </c>
      <c r="C2058" s="2" t="s">
        <v>569</v>
      </c>
      <c r="D2058" s="2" t="str">
        <f t="shared" si="31"/>
        <v>Error?</v>
      </c>
    </row>
    <row r="2059" spans="1:4" x14ac:dyDescent="0.2">
      <c r="A2059" s="5">
        <v>1998</v>
      </c>
      <c r="B2059" s="1890">
        <f>'Cap Outlay Deprec 26'!L12</f>
        <v>587041</v>
      </c>
      <c r="C2059" s="2" t="s">
        <v>569</v>
      </c>
      <c r="D2059" s="2" t="str">
        <f t="shared" si="31"/>
        <v>Error?</v>
      </c>
    </row>
    <row r="2060" spans="1:4" x14ac:dyDescent="0.2">
      <c r="A2060" s="5">
        <v>1999</v>
      </c>
      <c r="B2060" s="1890">
        <f>'Cap Outlay Deprec 26'!L13</f>
        <v>412740</v>
      </c>
      <c r="C2060" s="2" t="s">
        <v>569</v>
      </c>
      <c r="D2060" s="2" t="str">
        <f t="shared" si="31"/>
        <v>Error?</v>
      </c>
    </row>
    <row r="2061" spans="1:4" x14ac:dyDescent="0.2">
      <c r="A2061" s="5">
        <v>2000</v>
      </c>
      <c r="B2061" s="1890">
        <f>'Cap Outlay Deprec 26'!L16</f>
        <v>17028961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43238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177963</v>
      </c>
      <c r="C2088" s="2" t="s">
        <v>569</v>
      </c>
      <c r="D2088" s="2" t="str">
        <f t="shared" si="31"/>
        <v>Error?</v>
      </c>
    </row>
    <row r="2089" spans="1:4" x14ac:dyDescent="0.2">
      <c r="A2089" s="5">
        <v>2028</v>
      </c>
      <c r="B2089" s="1890">
        <f>'Expenditures 15-22'!K92</f>
        <v>751663</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1381107</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317364</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866081</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7898398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10094311</v>
      </c>
      <c r="C2553" s="2" t="s">
        <v>569</v>
      </c>
      <c r="D2553" s="2" t="str">
        <f t="shared" si="38"/>
        <v>Error?</v>
      </c>
    </row>
    <row r="2554" spans="1:4" x14ac:dyDescent="0.2">
      <c r="A2554" s="5">
        <v>2493</v>
      </c>
      <c r="B2554" s="1890">
        <f>'Acct Summary 7-8'!C7</f>
        <v>2188817</v>
      </c>
      <c r="C2554" s="2" t="s">
        <v>569</v>
      </c>
      <c r="D2554" s="2" t="str">
        <f t="shared" si="38"/>
        <v>Error?</v>
      </c>
    </row>
    <row r="2555" spans="1:4" x14ac:dyDescent="0.2">
      <c r="A2555" s="5">
        <v>2494</v>
      </c>
      <c r="B2555" s="1890">
        <f>'Acct Summary 7-8'!C8</f>
        <v>20181526</v>
      </c>
      <c r="C2555" s="2" t="s">
        <v>569</v>
      </c>
      <c r="D2555" s="2" t="str">
        <f t="shared" si="38"/>
        <v>Error?</v>
      </c>
    </row>
    <row r="2556" spans="1:4" x14ac:dyDescent="0.2">
      <c r="A2556" s="5">
        <v>2495</v>
      </c>
      <c r="B2556" s="1890">
        <f>'Acct Summary 7-8'!C12</f>
        <v>13825864</v>
      </c>
      <c r="C2556" s="2" t="s">
        <v>569</v>
      </c>
      <c r="D2556" s="2" t="str">
        <f t="shared" si="38"/>
        <v>Error?</v>
      </c>
    </row>
    <row r="2557" spans="1:4" x14ac:dyDescent="0.2">
      <c r="A2557" s="5">
        <v>2496</v>
      </c>
      <c r="B2557" s="1890">
        <f>'Acct Summary 7-8'!C13</f>
        <v>4202582</v>
      </c>
      <c r="C2557" s="2" t="s">
        <v>569</v>
      </c>
      <c r="D2557" s="2" t="str">
        <f t="shared" si="38"/>
        <v>Error?</v>
      </c>
    </row>
    <row r="2558" spans="1:4" x14ac:dyDescent="0.2">
      <c r="A2558" s="5">
        <v>2497</v>
      </c>
      <c r="B2558" s="1890">
        <f>'Acct Summary 7-8'!C14</f>
        <v>10386</v>
      </c>
      <c r="C2558" s="2" t="s">
        <v>569</v>
      </c>
      <c r="D2558" s="2" t="str">
        <f t="shared" si="38"/>
        <v>Error?</v>
      </c>
    </row>
    <row r="2559" spans="1:4" x14ac:dyDescent="0.2">
      <c r="A2559" s="5">
        <v>2498</v>
      </c>
      <c r="B2559" s="1890">
        <f>'Acct Summary 7-8'!C15</f>
        <v>929626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18968458</v>
      </c>
      <c r="C2561" s="2" t="s">
        <v>569</v>
      </c>
      <c r="D2561" s="2" t="str">
        <f t="shared" si="39"/>
        <v>Error?</v>
      </c>
    </row>
    <row r="2562" spans="1:4" x14ac:dyDescent="0.2">
      <c r="A2562" s="5">
        <v>2501</v>
      </c>
      <c r="B2562" s="1890">
        <f>'Acct Summary 7-8'!C20</f>
        <v>1213068</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1984798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2034798</v>
      </c>
      <c r="C2568" s="2" t="s">
        <v>569</v>
      </c>
      <c r="D2568" s="2" t="str">
        <f t="shared" si="39"/>
        <v>Error?</v>
      </c>
    </row>
    <row r="2569" spans="1:4" x14ac:dyDescent="0.2">
      <c r="A2569" s="5">
        <v>2508</v>
      </c>
      <c r="B2569" s="1890">
        <f>'Acct Summary 7-8'!D13</f>
        <v>1810508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1810508</v>
      </c>
      <c r="C2573" s="2" t="s">
        <v>569</v>
      </c>
      <c r="D2573" s="2" t="str">
        <f t="shared" si="39"/>
        <v>Error?</v>
      </c>
    </row>
    <row r="2574" spans="1:4" x14ac:dyDescent="0.2">
      <c r="A2574" s="5">
        <v>2513</v>
      </c>
      <c r="B2574" s="1890">
        <f>'Acct Summary 7-8'!D20</f>
        <v>224290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486289</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719947</v>
      </c>
      <c r="C2593" s="2" t="s">
        <v>569</v>
      </c>
      <c r="D2593" s="2" t="str">
        <f t="shared" si="39"/>
        <v>Error?</v>
      </c>
    </row>
    <row r="2594" spans="1:4" x14ac:dyDescent="0.2">
      <c r="A2594" s="5">
        <v>2533</v>
      </c>
      <c r="B2594" s="1890">
        <f>'Acct Summary 7-8'!F7</f>
        <v>4029</v>
      </c>
      <c r="C2594" s="2" t="s">
        <v>569</v>
      </c>
      <c r="D2594" s="2" t="str">
        <f t="shared" si="39"/>
        <v>Error?</v>
      </c>
    </row>
    <row r="2595" spans="1:4" x14ac:dyDescent="0.2">
      <c r="A2595" s="5">
        <v>2534</v>
      </c>
      <c r="B2595" s="1890">
        <f>'Acct Summary 7-8'!F8</f>
        <v>1210265</v>
      </c>
      <c r="C2595" s="2" t="s">
        <v>569</v>
      </c>
      <c r="D2595" s="2" t="str">
        <f t="shared" si="39"/>
        <v>Error?</v>
      </c>
    </row>
    <row r="2596" spans="1:4" x14ac:dyDescent="0.2">
      <c r="A2596" s="5">
        <v>2535</v>
      </c>
      <c r="B2596" s="1890">
        <f>'Acct Summary 7-8'!F13</f>
        <v>1380575</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1380575</v>
      </c>
      <c r="C2600" s="2" t="s">
        <v>569</v>
      </c>
      <c r="D2600" s="2" t="str">
        <f t="shared" si="39"/>
        <v>Error?</v>
      </c>
    </row>
    <row r="2601" spans="1:4" x14ac:dyDescent="0.2">
      <c r="A2601" s="5">
        <v>2540</v>
      </c>
      <c r="B2601" s="1890">
        <f>'Acct Summary 7-8'!F20</f>
        <v>-170310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1099097</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1099097</v>
      </c>
      <c r="C2606" s="2" t="s">
        <v>569</v>
      </c>
      <c r="D2606" s="2" t="str">
        <f t="shared" si="39"/>
        <v>Error?</v>
      </c>
    </row>
    <row r="2607" spans="1:4" x14ac:dyDescent="0.2">
      <c r="A2607" s="5">
        <v>2546</v>
      </c>
      <c r="B2607" s="1890">
        <f>'Acct Summary 7-8'!G12</f>
        <v>446820</v>
      </c>
      <c r="C2607" s="2" t="s">
        <v>569</v>
      </c>
      <c r="D2607" s="2" t="str">
        <f t="shared" si="39"/>
        <v>Error?</v>
      </c>
    </row>
    <row r="2608" spans="1:4" x14ac:dyDescent="0.2">
      <c r="A2608" s="5">
        <v>2547</v>
      </c>
      <c r="B2608" s="1890">
        <f>'Acct Summary 7-8'!G13</f>
        <v>433211</v>
      </c>
      <c r="C2608" s="2" t="s">
        <v>569</v>
      </c>
      <c r="D2608" s="2" t="str">
        <f t="shared" si="39"/>
        <v>Error?</v>
      </c>
    </row>
    <row r="2609" spans="1:4" x14ac:dyDescent="0.2">
      <c r="A2609" s="5">
        <v>2548</v>
      </c>
      <c r="B2609" s="1890">
        <f>'Acct Summary 7-8'!G14</f>
        <v>86</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880117</v>
      </c>
      <c r="C2612" s="2" t="s">
        <v>569</v>
      </c>
      <c r="D2612" s="2" t="str">
        <f t="shared" si="39"/>
        <v>Error?</v>
      </c>
    </row>
    <row r="2613" spans="1:4" x14ac:dyDescent="0.2">
      <c r="A2613" s="5">
        <v>2552</v>
      </c>
      <c r="B2613" s="1890">
        <f>'Acct Summary 7-8'!G20</f>
        <v>218980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1101405</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1101405</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1105308</v>
      </c>
      <c r="C2634" s="2" t="s">
        <v>569</v>
      </c>
      <c r="D2634" s="2" t="str">
        <f t="shared" si="40"/>
        <v>Error?</v>
      </c>
    </row>
    <row r="2635" spans="1:4" x14ac:dyDescent="0.2">
      <c r="A2635" s="5">
        <v>2574</v>
      </c>
      <c r="B2635" s="1890">
        <f>'Acct Summary 7-8'!E17</f>
        <v>1105308</v>
      </c>
      <c r="C2635" s="2" t="s">
        <v>569</v>
      </c>
      <c r="D2635" s="2" t="str">
        <f t="shared" si="40"/>
        <v>Error?</v>
      </c>
    </row>
    <row r="2636" spans="1:4" x14ac:dyDescent="0.2">
      <c r="A2636" s="5">
        <v>2575</v>
      </c>
      <c r="B2636" s="1890">
        <f>'Acct Summary 7-8'!E20</f>
        <v>-3903</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720283</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720283</v>
      </c>
      <c r="C2658" s="2" t="s">
        <v>569</v>
      </c>
      <c r="D2658" s="2" t="str">
        <f t="shared" si="40"/>
        <v>Error?</v>
      </c>
    </row>
    <row r="2659" spans="1:4" x14ac:dyDescent="0.2">
      <c r="A2659" s="5">
        <v>2598</v>
      </c>
      <c r="B2659" s="1890">
        <f>'Acct Summary 7-8'!H13</f>
        <v>599322</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599322</v>
      </c>
      <c r="C2661" s="2" t="s">
        <v>569</v>
      </c>
      <c r="D2661" s="2" t="str">
        <f t="shared" si="40"/>
        <v>Error?</v>
      </c>
    </row>
    <row r="2662" spans="1:4" x14ac:dyDescent="0.2">
      <c r="A2662" s="5">
        <v>2601</v>
      </c>
      <c r="B2662" s="1890">
        <f>'Acct Summary 7-8'!H20</f>
        <v>120961</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134725</v>
      </c>
      <c r="C2789" s="2" t="s">
        <v>569</v>
      </c>
      <c r="D2789" s="2" t="str">
        <f t="shared" si="42"/>
        <v>Error?</v>
      </c>
    </row>
    <row r="2790" spans="1:4" x14ac:dyDescent="0.2">
      <c r="A2790" s="5">
        <v>2729</v>
      </c>
      <c r="B2790" s="1890">
        <f>'Expenditures 15-22'!E102</f>
        <v>134725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1464462</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53926</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1312102</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1464462</v>
      </c>
      <c r="D2912" s="2" t="str">
        <f t="shared" si="44"/>
        <v>Error?</v>
      </c>
    </row>
    <row r="2913" spans="1:4" x14ac:dyDescent="0.2">
      <c r="A2913" s="5">
        <v>2852</v>
      </c>
      <c r="B2913" s="1890">
        <f>'Assets-Liab 5-6'!I41</f>
        <v>1464462</v>
      </c>
      <c r="C2913" s="2" t="s">
        <v>569</v>
      </c>
      <c r="D2913" s="2" t="str">
        <f t="shared" si="44"/>
        <v>Error?</v>
      </c>
    </row>
    <row r="2914" spans="1:4" x14ac:dyDescent="0.2">
      <c r="A2914" s="5">
        <v>2853</v>
      </c>
      <c r="B2914" s="1890">
        <f>'Assets-Liab 5-6'!L33</f>
        <v>448739</v>
      </c>
      <c r="D2914" s="2" t="str">
        <f t="shared" si="44"/>
        <v>Error?</v>
      </c>
    </row>
    <row r="2915" spans="1:4" x14ac:dyDescent="0.2">
      <c r="A2915" s="10">
        <v>2854</v>
      </c>
      <c r="B2915" s="1890"/>
      <c r="D2915" s="2" t="str">
        <f t="shared" si="44"/>
        <v>OK</v>
      </c>
    </row>
    <row r="2916" spans="1:4" x14ac:dyDescent="0.2">
      <c r="A2916" s="5">
        <v>2855</v>
      </c>
      <c r="B2916" s="1890">
        <f>'Assets-Liab 5-6'!L34</f>
        <v>448739</v>
      </c>
      <c r="C2916" s="2" t="s">
        <v>569</v>
      </c>
      <c r="D2916" s="2" t="str">
        <f t="shared" si="44"/>
        <v>Error?</v>
      </c>
    </row>
    <row r="2917" spans="1:4" x14ac:dyDescent="0.2">
      <c r="A2917" s="5">
        <v>2856</v>
      </c>
      <c r="B2917" s="1890">
        <f>'Assets-Liab 5-6'!L41</f>
        <v>1312102</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77687</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57038</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40738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2500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118425</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2500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57038</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637899</v>
      </c>
      <c r="D3055" s="2" t="str">
        <f t="shared" si="46"/>
        <v>Error?</v>
      </c>
    </row>
    <row r="3056" spans="1:4" x14ac:dyDescent="0.2">
      <c r="A3056" s="5">
        <v>2995</v>
      </c>
      <c r="B3056" s="1890">
        <f>'Expenditures 15-22'!D10</f>
        <v>115590</v>
      </c>
      <c r="D3056" s="2" t="str">
        <f t="shared" si="46"/>
        <v>Error?</v>
      </c>
    </row>
    <row r="3057" spans="1:4" x14ac:dyDescent="0.2">
      <c r="A3057" s="5">
        <v>2996</v>
      </c>
      <c r="B3057" s="1890">
        <f>'Expenditures 15-22'!E10</f>
        <v>252113</v>
      </c>
      <c r="D3057" s="2" t="str">
        <f t="shared" si="46"/>
        <v>Error?</v>
      </c>
    </row>
    <row r="3058" spans="1:4" x14ac:dyDescent="0.2">
      <c r="A3058" s="5">
        <v>2997</v>
      </c>
      <c r="B3058" s="1890">
        <f>'Expenditures 15-22'!F10</f>
        <v>79818</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1085420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47302</v>
      </c>
      <c r="D3064" s="2" t="str">
        <f t="shared" si="46"/>
        <v>Error?</v>
      </c>
    </row>
    <row r="3065" spans="1:4" x14ac:dyDescent="0.2">
      <c r="A3065" s="5">
        <v>3004</v>
      </c>
      <c r="B3065" s="1890">
        <f>'Expenditures 15-22'!K219</f>
        <v>47302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863363</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119238</v>
      </c>
      <c r="C3225" s="2" t="s">
        <v>569</v>
      </c>
      <c r="D3225" s="2" t="str">
        <f t="shared" si="49"/>
        <v>Error?</v>
      </c>
    </row>
    <row r="3226" spans="1:4" x14ac:dyDescent="0.2">
      <c r="A3226" s="5">
        <v>3165</v>
      </c>
      <c r="B3226" s="1890">
        <f>'Acct Summary 7-8'!I8</f>
        <v>119238</v>
      </c>
      <c r="C3226" s="2" t="s">
        <v>569</v>
      </c>
      <c r="D3226" s="2" t="str">
        <f t="shared" si="49"/>
        <v>Error?</v>
      </c>
    </row>
    <row r="3227" spans="1:4" x14ac:dyDescent="0.2">
      <c r="A3227" s="5">
        <v>3166</v>
      </c>
      <c r="B3227" s="1890">
        <f>'Acct Summary 7-8'!I20</f>
        <v>119238</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1213068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224290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-170310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218980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-3903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120961</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119238</v>
      </c>
      <c r="C3320" s="2" t="s">
        <v>569</v>
      </c>
      <c r="D3320" s="2" t="str">
        <f t="shared" si="50"/>
        <v>Error?</v>
      </c>
    </row>
    <row r="3321" spans="1:4" x14ac:dyDescent="0.2">
      <c r="A3321" s="5">
        <v>3260</v>
      </c>
      <c r="B3321" s="1890">
        <f>'Acct Summary 7-8'!I79</f>
        <v>1345224</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1464462</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3022891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567715</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4344</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32442</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190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3627582</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91232</v>
      </c>
      <c r="D3387" s="2" t="str">
        <f t="shared" si="51"/>
        <v>Error?</v>
      </c>
    </row>
    <row r="3388" spans="1:4" x14ac:dyDescent="0.2">
      <c r="A3388" s="5">
        <v>3327</v>
      </c>
      <c r="B3388" s="1890">
        <f>'Expenditures 15-22'!D217</f>
        <v>277823</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91232</v>
      </c>
      <c r="C3390" s="2" t="s">
        <v>569</v>
      </c>
      <c r="D3390" s="2" t="str">
        <f t="shared" si="51"/>
        <v>Error?</v>
      </c>
    </row>
    <row r="3391" spans="1:4" x14ac:dyDescent="0.2">
      <c r="A3391" s="5">
        <v>3330</v>
      </c>
      <c r="B3391" s="1890">
        <f>'Expenditures 15-22'!K217</f>
        <v>277823</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5322622</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454272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109548</v>
      </c>
      <c r="D3417" s="2" t="str">
        <f t="shared" si="52"/>
        <v>Error?</v>
      </c>
    </row>
    <row r="3418" spans="1:4" x14ac:dyDescent="0.2">
      <c r="A3418" s="10">
        <v>3357</v>
      </c>
      <c r="B3418" s="1890"/>
      <c r="D3418" s="2" t="str">
        <f t="shared" si="52"/>
        <v>OK</v>
      </c>
    </row>
    <row r="3419" spans="1:4" x14ac:dyDescent="0.2">
      <c r="A3419" s="5">
        <v>3358</v>
      </c>
      <c r="B3419" s="1890">
        <f>'Assets-Liab 5-6'!F4</f>
        <v>508468</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585330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1319291</v>
      </c>
      <c r="D3425" s="2" t="str">
        <f t="shared" si="52"/>
        <v>Error?</v>
      </c>
    </row>
    <row r="3426" spans="1:4" x14ac:dyDescent="0.2">
      <c r="A3426" s="10">
        <v>3365</v>
      </c>
      <c r="B3426" s="1890"/>
      <c r="D3426" s="2" t="str">
        <f t="shared" si="52"/>
        <v>OK</v>
      </c>
    </row>
    <row r="3427" spans="1:4" x14ac:dyDescent="0.2">
      <c r="A3427" s="5">
        <v>3366</v>
      </c>
      <c r="B3427" s="1890">
        <f>'Assets-Liab 5-6'!I4</f>
        <v>1464462</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1258176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432482</v>
      </c>
      <c r="C3446" s="2" t="s">
        <v>569</v>
      </c>
      <c r="D3446" s="2" t="str">
        <f t="shared" si="52"/>
        <v>Error?</v>
      </c>
    </row>
    <row r="3447" spans="1:4" x14ac:dyDescent="0.2">
      <c r="A3447" s="5">
        <v>3386</v>
      </c>
      <c r="B3447" s="1890">
        <f>'Tax Sched 23'!D16</f>
        <v>432482</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424150</v>
      </c>
      <c r="C3449" s="2" t="s">
        <v>569</v>
      </c>
      <c r="D3449" s="2" t="str">
        <f t="shared" si="52"/>
        <v>Error?</v>
      </c>
    </row>
    <row r="3450" spans="1:4" x14ac:dyDescent="0.2">
      <c r="A3450" s="5">
        <v>3389</v>
      </c>
      <c r="B3450" s="1890">
        <f>'Tax Sched 23'!E16</f>
        <v>424150</v>
      </c>
      <c r="D3450" s="2" t="str">
        <f t="shared" si="52"/>
        <v>Error?</v>
      </c>
    </row>
    <row r="3451" spans="1:4" x14ac:dyDescent="0.2">
      <c r="A3451" s="5">
        <v>3390</v>
      </c>
      <c r="B3451" s="1890">
        <f>'Cap Outlay Deprec 26'!C15</f>
        <v>581940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581940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13364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13364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13364</v>
      </c>
      <c r="D3567" s="2" t="str">
        <f t="shared" si="54"/>
        <v>Error?</v>
      </c>
    </row>
    <row r="3568" spans="1:4" x14ac:dyDescent="0.2">
      <c r="A3568" s="5">
        <v>3507</v>
      </c>
      <c r="B3568" s="1890">
        <f>'Assets-Liab 5-6'!K41</f>
        <v>13364</v>
      </c>
      <c r="C3568" s="2" t="s">
        <v>569</v>
      </c>
      <c r="D3568" s="2" t="str">
        <f t="shared" si="54"/>
        <v>Error?</v>
      </c>
    </row>
    <row r="3569" spans="1:4" x14ac:dyDescent="0.2">
      <c r="A3569" s="5">
        <v>3508</v>
      </c>
      <c r="B3569" s="1890">
        <f>'Acct Summary 7-8'!K4</f>
        <v>112133</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112133</v>
      </c>
      <c r="C3571" s="2" t="s">
        <v>569</v>
      </c>
      <c r="D3571" s="2" t="str">
        <f t="shared" si="54"/>
        <v>Error?</v>
      </c>
    </row>
    <row r="3572" spans="1:4" x14ac:dyDescent="0.2">
      <c r="A3572" s="5">
        <v>3511</v>
      </c>
      <c r="B3572" s="1890">
        <f>'Acct Summary 7-8'!K13</f>
        <v>1435256</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1435256</v>
      </c>
      <c r="C3575" s="2" t="s">
        <v>569</v>
      </c>
      <c r="D3575" s="2" t="str">
        <f t="shared" si="54"/>
        <v>Error?</v>
      </c>
    </row>
    <row r="3576" spans="1:4" x14ac:dyDescent="0.2">
      <c r="A3576" s="5">
        <v>3515</v>
      </c>
      <c r="B3576" s="1890">
        <f>'Acct Summary 7-8'!K20</f>
        <v>-1323123</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-1323123</v>
      </c>
      <c r="C3588" s="2" t="s">
        <v>569</v>
      </c>
      <c r="D3588" s="2" t="str">
        <f t="shared" si="55"/>
        <v>Error?</v>
      </c>
    </row>
    <row r="3589" spans="1:4" x14ac:dyDescent="0.2">
      <c r="A3589" s="5">
        <v>3528</v>
      </c>
      <c r="B3589" s="1890">
        <f>'Acct Summary 7-8'!K79</f>
        <v>1336487</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13364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15908</v>
      </c>
      <c r="D3618" s="2" t="str">
        <f t="shared" si="55"/>
        <v>Error?</v>
      </c>
    </row>
    <row r="3619" spans="1:4" x14ac:dyDescent="0.2">
      <c r="A3619" s="5">
        <v>3558</v>
      </c>
      <c r="B3619" s="1890">
        <f>'Expenditures 15-22'!C350</f>
        <v>15908</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15908</v>
      </c>
      <c r="C3621" s="2" t="s">
        <v>569</v>
      </c>
      <c r="D3621" s="2" t="str">
        <f t="shared" si="55"/>
        <v>Error?</v>
      </c>
    </row>
    <row r="3622" spans="1:4" x14ac:dyDescent="0.2">
      <c r="A3622" s="5">
        <v>3561</v>
      </c>
      <c r="B3622" s="1890">
        <f>'Expenditures 15-22'!C367</f>
        <v>15908</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2413</v>
      </c>
      <c r="D3625" s="2" t="str">
        <f t="shared" si="55"/>
        <v>Error?</v>
      </c>
    </row>
    <row r="3626" spans="1:4" x14ac:dyDescent="0.2">
      <c r="A3626" s="5">
        <v>3565</v>
      </c>
      <c r="B3626" s="1890">
        <f>'Expenditures 15-22'!D350</f>
        <v>2413</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2413</v>
      </c>
      <c r="C3628" s="2" t="s">
        <v>569</v>
      </c>
      <c r="D3628" s="2" t="str">
        <f t="shared" si="55"/>
        <v>Error?</v>
      </c>
    </row>
    <row r="3629" spans="1:4" x14ac:dyDescent="0.2">
      <c r="A3629" s="5">
        <v>3568</v>
      </c>
      <c r="B3629" s="1890">
        <f>'Expenditures 15-22'!D367</f>
        <v>2413</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1404414</v>
      </c>
      <c r="D3632" s="2" t="str">
        <f t="shared" si="55"/>
        <v>Error?</v>
      </c>
    </row>
    <row r="3633" spans="1:4" x14ac:dyDescent="0.2">
      <c r="A3633" s="5">
        <v>3572</v>
      </c>
      <c r="B3633" s="1890">
        <f>'Expenditures 15-22'!E350</f>
        <v>1404414</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1404414</v>
      </c>
      <c r="C3635" s="2" t="s">
        <v>569</v>
      </c>
      <c r="D3635" s="2" t="str">
        <f t="shared" si="55"/>
        <v>Error?</v>
      </c>
    </row>
    <row r="3636" spans="1:4" x14ac:dyDescent="0.2">
      <c r="A3636" s="5">
        <v>3575</v>
      </c>
      <c r="B3636" s="1890">
        <f>'Expenditures 15-22'!E367</f>
        <v>1404414</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12521</v>
      </c>
      <c r="D3639" s="2" t="str">
        <f t="shared" si="55"/>
        <v>Error?</v>
      </c>
    </row>
    <row r="3640" spans="1:4" x14ac:dyDescent="0.2">
      <c r="A3640" s="5">
        <v>3579</v>
      </c>
      <c r="B3640" s="1890">
        <f>'Expenditures 15-22'!F350</f>
        <v>12521</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12521</v>
      </c>
      <c r="C3642" s="2" t="s">
        <v>569</v>
      </c>
      <c r="D3642" s="2" t="str">
        <f t="shared" si="55"/>
        <v>Error?</v>
      </c>
    </row>
    <row r="3643" spans="1:4" x14ac:dyDescent="0.2">
      <c r="A3643" s="5">
        <v>3582</v>
      </c>
      <c r="B3643" s="1890">
        <f>'Expenditures 15-22'!F367</f>
        <v>12521</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1435256</v>
      </c>
      <c r="C3669" s="2" t="s">
        <v>569</v>
      </c>
      <c r="D3669" s="2" t="str">
        <f t="shared" si="56"/>
        <v>Error?</v>
      </c>
    </row>
    <row r="3670" spans="1:4" x14ac:dyDescent="0.2">
      <c r="A3670" s="5">
        <v>3609</v>
      </c>
      <c r="B3670" s="1890">
        <f>'Expenditures 15-22'!K350</f>
        <v>1435256</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1435256</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1435256</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-1323123</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106625</v>
      </c>
      <c r="C3725" s="2" t="s">
        <v>569</v>
      </c>
      <c r="D3725" s="2" t="str">
        <f t="shared" si="57"/>
        <v>Error?</v>
      </c>
    </row>
    <row r="3726" spans="1:4" x14ac:dyDescent="0.2">
      <c r="A3726" s="5">
        <v>3665</v>
      </c>
      <c r="B3726" s="1890">
        <f>'Tax Sched 23'!D13</f>
        <v>106625</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111209</v>
      </c>
      <c r="C3728" s="2" t="s">
        <v>569</v>
      </c>
      <c r="D3728" s="2" t="str">
        <f t="shared" si="57"/>
        <v>Error?</v>
      </c>
    </row>
    <row r="3729" spans="1:4" x14ac:dyDescent="0.2">
      <c r="A3729" s="5">
        <v>3668</v>
      </c>
      <c r="B3729" s="1890">
        <f>'Tax Sched 23'!E13</f>
        <v>111209</v>
      </c>
      <c r="D3729" s="2" t="str">
        <f t="shared" si="57"/>
        <v>Error?</v>
      </c>
    </row>
    <row r="3730" spans="1:4" x14ac:dyDescent="0.2">
      <c r="A3730" s="5">
        <v>3669</v>
      </c>
      <c r="B3730" s="1890">
        <f>'ICR Computation 30'!E10</f>
        <v>688203</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1244830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21426356</v>
      </c>
      <c r="C4122" s="2" t="s">
        <v>569</v>
      </c>
      <c r="D4122" s="2" t="str">
        <f t="shared" si="63"/>
        <v>Error?</v>
      </c>
    </row>
    <row r="4123" spans="1:4" x14ac:dyDescent="0.2">
      <c r="A4123" s="5">
        <v>4062</v>
      </c>
      <c r="B4123" s="1890">
        <f>'Acct Summary 7-8'!D10</f>
        <v>2034798</v>
      </c>
      <c r="C4123" s="2" t="s">
        <v>569</v>
      </c>
      <c r="D4123" s="2" t="str">
        <f t="shared" si="63"/>
        <v>Error?</v>
      </c>
    </row>
    <row r="4124" spans="1:4" x14ac:dyDescent="0.2">
      <c r="A4124" s="5">
        <v>4063</v>
      </c>
      <c r="B4124" s="1890">
        <f>'Acct Summary 7-8'!E10</f>
        <v>1101405</v>
      </c>
      <c r="C4124" s="2" t="s">
        <v>569</v>
      </c>
      <c r="D4124" s="2" t="str">
        <f t="shared" si="63"/>
        <v>Error?</v>
      </c>
    </row>
    <row r="4125" spans="1:4" x14ac:dyDescent="0.2">
      <c r="A4125" s="5">
        <v>4064</v>
      </c>
      <c r="B4125" s="1890">
        <f>'Acct Summary 7-8'!F10</f>
        <v>1210265</v>
      </c>
      <c r="C4125" s="2" t="s">
        <v>569</v>
      </c>
      <c r="D4125" s="2" t="str">
        <f t="shared" si="63"/>
        <v>Error?</v>
      </c>
    </row>
    <row r="4126" spans="1:4" x14ac:dyDescent="0.2">
      <c r="A4126" s="5">
        <v>4065</v>
      </c>
      <c r="B4126" s="1890">
        <f>'Acct Summary 7-8'!G10</f>
        <v>1099097</v>
      </c>
      <c r="C4126" s="2" t="s">
        <v>569</v>
      </c>
      <c r="D4126" s="2" t="str">
        <f t="shared" si="63"/>
        <v>Error?</v>
      </c>
    </row>
    <row r="4127" spans="1:4" x14ac:dyDescent="0.2">
      <c r="A4127" s="5">
        <v>4066</v>
      </c>
      <c r="B4127" s="1890">
        <f>'Acct Summary 7-8'!H10</f>
        <v>720283</v>
      </c>
      <c r="C4127" s="2" t="s">
        <v>569</v>
      </c>
      <c r="D4127" s="2" t="str">
        <f t="shared" si="63"/>
        <v>Error?</v>
      </c>
    </row>
    <row r="4128" spans="1:4" x14ac:dyDescent="0.2">
      <c r="A4128" s="5">
        <v>4067</v>
      </c>
      <c r="B4128" s="1890">
        <f>'Acct Summary 7-8'!I10</f>
        <v>119238</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112133</v>
      </c>
      <c r="C4130" s="2" t="s">
        <v>569</v>
      </c>
      <c r="D4130" s="2" t="str">
        <f t="shared" si="63"/>
        <v>Error?</v>
      </c>
    </row>
    <row r="4131" spans="1:4" x14ac:dyDescent="0.2">
      <c r="A4131" s="5">
        <v>4070</v>
      </c>
      <c r="B4131" s="1890">
        <f>'Acct Summary 7-8'!C18</f>
        <v>1244830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20213288</v>
      </c>
      <c r="C4136" s="2" t="s">
        <v>569</v>
      </c>
      <c r="D4136" s="2" t="str">
        <f t="shared" si="63"/>
        <v>Error?</v>
      </c>
    </row>
    <row r="4137" spans="1:4" x14ac:dyDescent="0.2">
      <c r="A4137" s="5">
        <v>4076</v>
      </c>
      <c r="B4137" s="1890">
        <f>'Acct Summary 7-8'!D19</f>
        <v>1810508</v>
      </c>
      <c r="C4137" s="2" t="s">
        <v>569</v>
      </c>
      <c r="D4137" s="2" t="str">
        <f t="shared" si="63"/>
        <v>Error?</v>
      </c>
    </row>
    <row r="4138" spans="1:4" x14ac:dyDescent="0.2">
      <c r="A4138" s="5">
        <v>4077</v>
      </c>
      <c r="B4138" s="1890">
        <f>'Acct Summary 7-8'!E19</f>
        <v>1105308</v>
      </c>
      <c r="C4138" s="2" t="s">
        <v>569</v>
      </c>
      <c r="D4138" s="2" t="str">
        <f t="shared" si="63"/>
        <v>Error?</v>
      </c>
    </row>
    <row r="4139" spans="1:4" x14ac:dyDescent="0.2">
      <c r="A4139" s="5">
        <v>4078</v>
      </c>
      <c r="B4139" s="1890">
        <f>'Acct Summary 7-8'!F19</f>
        <v>1380575</v>
      </c>
      <c r="C4139" s="2" t="s">
        <v>569</v>
      </c>
      <c r="D4139" s="2" t="str">
        <f t="shared" si="63"/>
        <v>Error?</v>
      </c>
    </row>
    <row r="4140" spans="1:4" x14ac:dyDescent="0.2">
      <c r="A4140" s="5">
        <v>4079</v>
      </c>
      <c r="B4140" s="1890">
        <f>'Acct Summary 7-8'!G19</f>
        <v>880117</v>
      </c>
      <c r="C4140" s="2" t="s">
        <v>569</v>
      </c>
      <c r="D4140" s="2" t="str">
        <f t="shared" si="63"/>
        <v>Error?</v>
      </c>
    </row>
    <row r="4141" spans="1:4" x14ac:dyDescent="0.2">
      <c r="A4141" s="5">
        <v>4080</v>
      </c>
      <c r="B4141" s="1890">
        <f>'Acct Summary 7-8'!H19</f>
        <v>599322</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1435256</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6725000</v>
      </c>
      <c r="C4171" s="2" t="s">
        <v>569</v>
      </c>
      <c r="D4171" s="2" t="str">
        <f t="shared" si="64"/>
        <v>Error?</v>
      </c>
    </row>
    <row r="4172" spans="1:4" x14ac:dyDescent="0.2">
      <c r="A4172" s="5">
        <v>4111</v>
      </c>
      <c r="B4172" s="1890">
        <f>'Short-Term Long-Term Debt 24'!J49</f>
        <v>6615452</v>
      </c>
      <c r="C4172" s="2" t="s">
        <v>569</v>
      </c>
      <c r="D4172" s="2" t="str">
        <f t="shared" si="64"/>
        <v>Error?</v>
      </c>
    </row>
    <row r="4173" spans="1:4" x14ac:dyDescent="0.2">
      <c r="A4173" s="5">
        <v>4112</v>
      </c>
      <c r="B4173" s="1890">
        <f>'Short-Term Long-Term Debt 24'!H49</f>
        <v>919194</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1840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2540</v>
      </c>
      <c r="C4268" s="2" t="s">
        <v>569</v>
      </c>
      <c r="D4268" s="2" t="str">
        <f t="shared" si="65"/>
        <v>Error?</v>
      </c>
    </row>
    <row r="4269" spans="1:5" x14ac:dyDescent="0.2">
      <c r="A4269" s="12">
        <v>4208</v>
      </c>
      <c r="B4269" s="1890">
        <f>'FP Info 3'!J16</f>
        <v>12681828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6442</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32217</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207748</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40761</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40761</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55427</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99428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3800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222417662</v>
      </c>
      <c r="D4995" s="2" t="str">
        <f t="shared" si="77"/>
        <v>Error?</v>
      </c>
    </row>
    <row r="4996" spans="1:4" x14ac:dyDescent="0.2">
      <c r="A4996" s="12">
        <v>4935</v>
      </c>
      <c r="B4996" s="1890">
        <f>'FP Info 3'!H31</f>
        <v>30693637.356000002</v>
      </c>
      <c r="D4996" s="2" t="str">
        <f t="shared" si="77"/>
        <v>Error?</v>
      </c>
    </row>
    <row r="4997" spans="1:4" x14ac:dyDescent="0.2">
      <c r="A4997" s="12">
        <v>4936</v>
      </c>
      <c r="B4997" s="1890">
        <f>'FP Info 3'!H37</f>
        <v>6725000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106625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3923938</v>
      </c>
      <c r="D5061" s="2" t="str">
        <f t="shared" si="78"/>
        <v>Error?</v>
      </c>
    </row>
    <row r="5062" spans="1:4" x14ac:dyDescent="0.2">
      <c r="A5062" s="10">
        <v>5001</v>
      </c>
      <c r="B5062" s="1890"/>
      <c r="D5062" s="2" t="str">
        <f t="shared" si="78"/>
        <v>OK</v>
      </c>
    </row>
    <row r="5063" spans="1:4" x14ac:dyDescent="0.2">
      <c r="A5063" s="5">
        <v>5002</v>
      </c>
      <c r="B5063" s="1890">
        <f>'Revenues 9-14'!C7</f>
        <v>85302</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4115865</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2813814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2813814</v>
      </c>
      <c r="C5071" s="2" t="s">
        <v>569</v>
      </c>
      <c r="D5071" s="2" t="str">
        <f t="shared" si="78"/>
        <v>Error?</v>
      </c>
    </row>
    <row r="5072" spans="1:4" x14ac:dyDescent="0.2">
      <c r="A5072" s="5">
        <v>5011</v>
      </c>
      <c r="B5072" s="1890">
        <f>'Revenues 9-14'!C20</f>
        <v>20500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51087</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71587</v>
      </c>
      <c r="C5087" s="2" t="s">
        <v>569</v>
      </c>
      <c r="D5087" s="2" t="str">
        <f t="shared" si="78"/>
        <v>Error?</v>
      </c>
    </row>
    <row r="5088" spans="1:4" x14ac:dyDescent="0.2">
      <c r="A5088" s="5">
        <v>5027</v>
      </c>
      <c r="B5088" s="1890">
        <f>'Revenues 9-14'!C65</f>
        <v>106474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106474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16026</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2003</v>
      </c>
      <c r="D5094" s="2" t="str">
        <f t="shared" si="78"/>
        <v>Error?</v>
      </c>
    </row>
    <row r="5095" spans="1:4" x14ac:dyDescent="0.2">
      <c r="A5095" s="5">
        <v>5034</v>
      </c>
      <c r="B5095" s="1890">
        <f>'Revenues 9-14'!C74</f>
        <v>22875</v>
      </c>
      <c r="D5095" s="2" t="str">
        <f t="shared" si="78"/>
        <v>Error?</v>
      </c>
    </row>
    <row r="5096" spans="1:4" x14ac:dyDescent="0.2">
      <c r="A5096" s="5">
        <v>5035</v>
      </c>
      <c r="B5096" s="1890">
        <f>'Revenues 9-14'!C75</f>
        <v>158101</v>
      </c>
      <c r="C5096" s="2" t="s">
        <v>569</v>
      </c>
      <c r="D5096" s="2" t="str">
        <f t="shared" si="78"/>
        <v>Error?</v>
      </c>
    </row>
    <row r="5097" spans="1:4" x14ac:dyDescent="0.2">
      <c r="A5097" s="5">
        <v>5036</v>
      </c>
      <c r="B5097" s="1890">
        <f>'Revenues 9-14'!C77</f>
        <v>68635</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26635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95270</v>
      </c>
      <c r="C5102" s="2" t="s">
        <v>569</v>
      </c>
      <c r="D5102" s="2" t="str">
        <f t="shared" si="78"/>
        <v>Error?</v>
      </c>
    </row>
    <row r="5103" spans="1:4" x14ac:dyDescent="0.2">
      <c r="A5103" s="5">
        <v>5042</v>
      </c>
      <c r="B5103" s="1890">
        <f>'Revenues 9-14'!C84</f>
        <v>141789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3231</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145020</v>
      </c>
      <c r="C5112" s="2" t="s">
        <v>569</v>
      </c>
      <c r="D5112" s="2" t="str">
        <f t="shared" si="78"/>
        <v>Error?</v>
      </c>
    </row>
    <row r="5113" spans="1:4" x14ac:dyDescent="0.2">
      <c r="A5113" s="5">
        <v>5052</v>
      </c>
      <c r="B5113" s="1890">
        <f>'Revenues 9-14'!C95</f>
        <v>1748</v>
      </c>
      <c r="D5113" s="2" t="str">
        <f t="shared" si="78"/>
        <v>Error?</v>
      </c>
    </row>
    <row r="5114" spans="1:4" x14ac:dyDescent="0.2">
      <c r="A5114" s="5">
        <v>5053</v>
      </c>
      <c r="B5114" s="1890">
        <f>'Revenues 9-14'!C96</f>
        <v>310160</v>
      </c>
      <c r="D5114" s="2" t="str">
        <f t="shared" si="78"/>
        <v>Error?</v>
      </c>
    </row>
    <row r="5115" spans="1:4" x14ac:dyDescent="0.2">
      <c r="A5115" s="5">
        <v>5054</v>
      </c>
      <c r="B5115" s="1890">
        <f>'Revenues 9-14'!C98</f>
        <v>39311</v>
      </c>
      <c r="D5115" s="2" t="str">
        <f t="shared" si="78"/>
        <v>Error?</v>
      </c>
    </row>
    <row r="5116" spans="1:4" x14ac:dyDescent="0.2">
      <c r="A5116" s="5">
        <v>5055</v>
      </c>
      <c r="B5116" s="1890">
        <f>'Revenues 9-14'!C99</f>
        <v>1727</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29371</v>
      </c>
      <c r="D5119" s="2" t="str">
        <f t="shared" ref="D5119:D5182" si="79">IF(ISBLANK(B5119),"OK",IF(A5119-B5119=0,"OK","Error?"))</f>
        <v>Error?</v>
      </c>
    </row>
    <row r="5120" spans="1:4" x14ac:dyDescent="0.2">
      <c r="A5120" s="5">
        <v>5059</v>
      </c>
      <c r="B5120" s="1890">
        <f>'Revenues 9-14'!C108</f>
        <v>392267</v>
      </c>
      <c r="C5120" s="2" t="s">
        <v>569</v>
      </c>
      <c r="D5120" s="2" t="str">
        <f t="shared" si="79"/>
        <v>Error?</v>
      </c>
    </row>
    <row r="5121" spans="1:4" x14ac:dyDescent="0.2">
      <c r="A5121" s="5">
        <v>5060</v>
      </c>
      <c r="B5121" s="1890">
        <f>'Revenues 9-14'!C109</f>
        <v>7898398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9257308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9257308</v>
      </c>
      <c r="C5132" s="2" t="s">
        <v>569</v>
      </c>
      <c r="D5132" s="2" t="str">
        <f t="shared" si="79"/>
        <v>Error?</v>
      </c>
    </row>
    <row r="5133" spans="1:4" x14ac:dyDescent="0.2">
      <c r="A5133" s="5">
        <v>5072</v>
      </c>
      <c r="B5133" s="1890">
        <f>'Revenues 9-14'!C125</f>
        <v>55832</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417635</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9688</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483155</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17504</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28892</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7712</v>
      </c>
      <c r="D5167" s="2" t="str">
        <f t="shared" si="79"/>
        <v>Error?</v>
      </c>
    </row>
    <row r="5168" spans="1:4" x14ac:dyDescent="0.2">
      <c r="A5168" s="5">
        <v>5107</v>
      </c>
      <c r="B5168" s="1890">
        <f>'Revenues 9-14'!C148</f>
        <v>19603</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297641</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837003</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10094311</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385564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111607</v>
      </c>
      <c r="D5241" s="2" t="str">
        <f t="shared" si="80"/>
        <v>Error?</v>
      </c>
    </row>
    <row r="5242" spans="1:4" x14ac:dyDescent="0.2">
      <c r="A5242" s="5">
        <v>5181</v>
      </c>
      <c r="B5242" s="1890">
        <f>'Revenues 9-14'!C194</f>
        <v>167776</v>
      </c>
      <c r="D5242" s="2" t="str">
        <f t="shared" si="80"/>
        <v>Error?</v>
      </c>
    </row>
    <row r="5243" spans="1:4" x14ac:dyDescent="0.2">
      <c r="A5243" s="5">
        <v>5182</v>
      </c>
      <c r="B5243" s="1890">
        <f>'Revenues 9-14'!C195</f>
        <v>3330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668277</v>
      </c>
      <c r="C5246" s="2" t="s">
        <v>569</v>
      </c>
      <c r="D5246" s="2" t="str">
        <f t="shared" si="80"/>
        <v>Error?</v>
      </c>
    </row>
    <row r="5247" spans="1:4" x14ac:dyDescent="0.2">
      <c r="A5247" s="5">
        <v>5186</v>
      </c>
      <c r="B5247" s="1890">
        <f>'Revenues 9-14'!C200</f>
        <v>958282</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55427</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964724</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116435</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116435</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2188817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2188817</v>
      </c>
      <c r="C5326" s="2" t="s">
        <v>569</v>
      </c>
      <c r="D5326" s="2" t="str">
        <f t="shared" si="82"/>
        <v>Error?</v>
      </c>
    </row>
    <row r="5327" spans="1:5" x14ac:dyDescent="0.2">
      <c r="A5327" s="5">
        <v>5266</v>
      </c>
      <c r="B5327" s="1890">
        <f>'Revenues 9-14'!C268</f>
        <v>20181526</v>
      </c>
      <c r="C5327" s="2" t="s">
        <v>569</v>
      </c>
      <c r="D5327" s="2" t="str">
        <f t="shared" si="82"/>
        <v>Error?</v>
      </c>
    </row>
    <row r="5328" spans="1:5" x14ac:dyDescent="0.2">
      <c r="A5328" s="5">
        <v>5267</v>
      </c>
      <c r="B5328" s="1890">
        <f>'Revenues 9-14'!D5</f>
        <v>1066286</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1066286</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800000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800000</v>
      </c>
      <c r="C5339" s="2" t="s">
        <v>569</v>
      </c>
      <c r="D5339" s="2" t="str">
        <f t="shared" si="82"/>
        <v>Error?</v>
      </c>
    </row>
    <row r="5340" spans="1:4" x14ac:dyDescent="0.2">
      <c r="A5340" s="5">
        <v>5279</v>
      </c>
      <c r="B5340" s="1890">
        <f>'Revenues 9-14'!D65</f>
        <v>8795</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8795</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92809</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15758</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1150</v>
      </c>
      <c r="D5354" s="2" t="str">
        <f t="shared" si="82"/>
        <v>Error?</v>
      </c>
    </row>
    <row r="5355" spans="1:4" x14ac:dyDescent="0.2">
      <c r="A5355" s="5">
        <v>5294</v>
      </c>
      <c r="B5355" s="1890">
        <f>'Revenues 9-14'!D108</f>
        <v>109717</v>
      </c>
      <c r="C5355" s="2" t="s">
        <v>569</v>
      </c>
      <c r="D5355" s="2" t="str">
        <f t="shared" si="82"/>
        <v>Error?</v>
      </c>
    </row>
    <row r="5356" spans="1:4" x14ac:dyDescent="0.2">
      <c r="A5356" s="5">
        <v>5295</v>
      </c>
      <c r="B5356" s="1890">
        <f>'Revenues 9-14'!D109</f>
        <v>1984798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2034798</v>
      </c>
      <c r="C5508" s="2" t="s">
        <v>569</v>
      </c>
      <c r="D5508" s="2" t="str">
        <f t="shared" si="85"/>
        <v>Error?</v>
      </c>
    </row>
    <row r="5509" spans="1:4" x14ac:dyDescent="0.2">
      <c r="A5509" s="5">
        <v>5448</v>
      </c>
      <c r="B5509" s="1890">
        <f>'Revenues 9-14'!E5</f>
        <v>789263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789263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4840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4840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2852</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54450</v>
      </c>
      <c r="D5525" s="2" t="str">
        <f t="shared" si="85"/>
        <v>Error?</v>
      </c>
    </row>
    <row r="5526" spans="1:4" x14ac:dyDescent="0.2">
      <c r="A5526" s="5">
        <v>5465</v>
      </c>
      <c r="B5526" s="1890">
        <f>'Revenues 9-14'!E108</f>
        <v>307302</v>
      </c>
      <c r="C5526" s="2" t="s">
        <v>569</v>
      </c>
      <c r="D5526" s="2" t="str">
        <f t="shared" si="85"/>
        <v>Error?</v>
      </c>
    </row>
    <row r="5527" spans="1:4" x14ac:dyDescent="0.2">
      <c r="A5527" s="5">
        <v>5466</v>
      </c>
      <c r="B5527" s="1890">
        <f>'Revenues 9-14'!E109</f>
        <v>1101405</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1101405</v>
      </c>
      <c r="C5552" s="2" t="s">
        <v>569</v>
      </c>
      <c r="D5552" s="2" t="str">
        <f t="shared" si="85"/>
        <v>Error?</v>
      </c>
    </row>
    <row r="5553" spans="1:4" x14ac:dyDescent="0.2">
      <c r="A5553" s="5">
        <v>5492</v>
      </c>
      <c r="B5553" s="1890">
        <f>'Revenues 9-14'!F5</f>
        <v>426509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426509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6155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6155</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53625</v>
      </c>
      <c r="D5586" s="2" t="str">
        <f t="shared" si="86"/>
        <v>Error?</v>
      </c>
    </row>
    <row r="5587" spans="1:4" x14ac:dyDescent="0.2">
      <c r="A5587" s="5">
        <v>5526</v>
      </c>
      <c r="B5587" s="1890">
        <f>'Revenues 9-14'!F108</f>
        <v>53625</v>
      </c>
      <c r="C5587" s="2" t="s">
        <v>569</v>
      </c>
      <c r="D5587" s="2" t="str">
        <f t="shared" si="86"/>
        <v>Error?</v>
      </c>
    </row>
    <row r="5588" spans="1:4" x14ac:dyDescent="0.2">
      <c r="A5588" s="5">
        <v>5527</v>
      </c>
      <c r="B5588" s="1890">
        <f>'Revenues 9-14'!F109</f>
        <v>486289</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31815</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31815</v>
      </c>
      <c r="C5614" s="2" t="s">
        <v>569</v>
      </c>
      <c r="D5614" s="2" t="str">
        <f t="shared" si="86"/>
        <v>Error?</v>
      </c>
    </row>
    <row r="5615" spans="1:4" x14ac:dyDescent="0.2">
      <c r="A5615" s="5">
        <v>5554</v>
      </c>
      <c r="B5615" s="1890">
        <f>'Revenues 9-14'!F152</f>
        <v>289373</v>
      </c>
      <c r="D5615" s="2" t="str">
        <f t="shared" si="86"/>
        <v>Error?</v>
      </c>
    </row>
    <row r="5616" spans="1:4" x14ac:dyDescent="0.2">
      <c r="A5616" s="10">
        <v>5555</v>
      </c>
      <c r="B5616" s="1890"/>
      <c r="D5616" s="2" t="str">
        <f t="shared" si="86"/>
        <v>OK</v>
      </c>
    </row>
    <row r="5617" spans="1:5" x14ac:dyDescent="0.2">
      <c r="A5617" s="5">
        <v>5556</v>
      </c>
      <c r="B5617" s="1890">
        <f>'Revenues 9-14'!F153</f>
        <v>398759</v>
      </c>
      <c r="D5617" s="2" t="str">
        <f t="shared" si="86"/>
        <v>Error?</v>
      </c>
    </row>
    <row r="5618" spans="1:5" x14ac:dyDescent="0.2">
      <c r="A5618" s="5">
        <v>5557</v>
      </c>
      <c r="B5618" s="1890">
        <f>'Revenues 9-14'!F155</f>
        <v>688132</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719947</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719947</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4029</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4029</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4029</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4029</v>
      </c>
      <c r="C5719" s="2" t="s">
        <v>569</v>
      </c>
      <c r="D5719" s="2" t="str">
        <f t="shared" si="88"/>
        <v>Error?</v>
      </c>
    </row>
    <row r="5720" spans="1:4" x14ac:dyDescent="0.2">
      <c r="A5720" s="5">
        <v>5659</v>
      </c>
      <c r="B5720" s="1890">
        <f>'Revenues 9-14'!F268</f>
        <v>1210265</v>
      </c>
      <c r="C5720" s="2" t="s">
        <v>569</v>
      </c>
      <c r="D5720" s="2" t="str">
        <f t="shared" si="88"/>
        <v>Error?</v>
      </c>
    </row>
    <row r="5721" spans="1:4" x14ac:dyDescent="0.2">
      <c r="A5721" s="5">
        <v>5660</v>
      </c>
      <c r="B5721" s="1890">
        <f>'Revenues 9-14'!G5</f>
        <v>427365</v>
      </c>
      <c r="D5721" s="2" t="str">
        <f t="shared" si="88"/>
        <v>Error?</v>
      </c>
    </row>
    <row r="5722" spans="1:4" x14ac:dyDescent="0.2">
      <c r="A5722" s="5">
        <v>5661</v>
      </c>
      <c r="B5722" s="1890">
        <f>'Revenues 9-14'!G7</f>
        <v>0</v>
      </c>
      <c r="D5722" s="2" t="str">
        <f t="shared" si="88"/>
        <v>Error?</v>
      </c>
    </row>
    <row r="5723" spans="1:4" x14ac:dyDescent="0.2">
      <c r="A5723" s="5">
        <v>5662</v>
      </c>
      <c r="B5723" s="1890">
        <f>'Revenues 9-14'!G8</f>
        <v>432482</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859847</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230000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230000</v>
      </c>
      <c r="C5730" s="2" t="s">
        <v>569</v>
      </c>
      <c r="D5730" s="2" t="str">
        <f t="shared" si="88"/>
        <v>Error?</v>
      </c>
    </row>
    <row r="5731" spans="1:4" x14ac:dyDescent="0.2">
      <c r="A5731" s="5">
        <v>5670</v>
      </c>
      <c r="B5731" s="1890">
        <f>'Revenues 9-14'!G65</f>
        <v>9250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9250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1099097</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8486</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8486</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711797</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720283</v>
      </c>
      <c r="C5915" s="2" t="s">
        <v>569</v>
      </c>
      <c r="D5915" s="2" t="str">
        <f t="shared" si="91"/>
        <v>Error?</v>
      </c>
    </row>
    <row r="5916" spans="1:4" x14ac:dyDescent="0.2">
      <c r="A5916" s="5">
        <v>5855</v>
      </c>
      <c r="B5916" s="1890">
        <f>'Revenues 9-14'!I5</f>
        <v>106625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106625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12613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12613</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119238</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106625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106625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3141</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3141</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2367</v>
      </c>
      <c r="D5998" s="2" t="str">
        <f t="shared" si="92"/>
        <v>Error?</v>
      </c>
    </row>
    <row r="5999" spans="1:4" x14ac:dyDescent="0.2">
      <c r="A5999" s="5">
        <v>5938</v>
      </c>
      <c r="B5999" s="1890">
        <f>'Revenues 9-14'!K108</f>
        <v>2367</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112133</v>
      </c>
      <c r="C6023" s="2" t="s">
        <v>569</v>
      </c>
      <c r="D6023" s="2" t="str">
        <f t="shared" si="93"/>
        <v>Error?</v>
      </c>
    </row>
    <row r="6024" spans="1:5" x14ac:dyDescent="0.2">
      <c r="A6024" s="5">
        <v>5963</v>
      </c>
      <c r="B6024" s="1890">
        <f>'Revenues 9-14'!G109</f>
        <v>1099097</v>
      </c>
      <c r="C6024" s="2" t="s">
        <v>569</v>
      </c>
      <c r="D6024" s="2" t="str">
        <f t="shared" si="93"/>
        <v>Error?</v>
      </c>
    </row>
    <row r="6025" spans="1:5" x14ac:dyDescent="0.2">
      <c r="A6025" s="5">
        <v>5964</v>
      </c>
      <c r="B6025" s="1890">
        <f>'Revenues 9-14'!H109</f>
        <v>720283</v>
      </c>
      <c r="C6025" s="2" t="s">
        <v>569</v>
      </c>
      <c r="D6025" s="2" t="str">
        <f t="shared" si="93"/>
        <v>Error?</v>
      </c>
    </row>
    <row r="6026" spans="1:5" x14ac:dyDescent="0.2">
      <c r="A6026" s="5">
        <v>5965</v>
      </c>
      <c r="B6026" s="1890">
        <f>'Revenues 9-14'!I109</f>
        <v>119238</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112133</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117197</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67887</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2232.8000000000002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400047</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400047</v>
      </c>
      <c r="D6215" s="2" t="str">
        <f t="shared" si="96"/>
        <v>Error?</v>
      </c>
      <c r="E6215" s="2" t="s">
        <v>189</v>
      </c>
    </row>
    <row r="6216" spans="1:5" x14ac:dyDescent="0.2">
      <c r="A6216">
        <v>6155</v>
      </c>
      <c r="B6216" s="1890">
        <f>'Assets-Liab 5-6'!J41</f>
        <v>400047</v>
      </c>
      <c r="D6216" s="2" t="str">
        <f t="shared" si="96"/>
        <v>Error?</v>
      </c>
      <c r="E6216" s="2" t="s">
        <v>189</v>
      </c>
    </row>
    <row r="6217" spans="1:5" x14ac:dyDescent="0.2">
      <c r="A6217">
        <v>6156</v>
      </c>
      <c r="B6217" s="1890">
        <f>'Assets-Liab 5-6'!J4</f>
        <v>400047</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1123081</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1123081</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1123081</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984714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984714</v>
      </c>
      <c r="D6229" s="2" t="str">
        <f t="shared" si="96"/>
        <v>Error?</v>
      </c>
      <c r="E6229" s="2" t="s">
        <v>189</v>
      </c>
    </row>
    <row r="6230" spans="1:5" x14ac:dyDescent="0.2">
      <c r="A6230">
        <v>6169</v>
      </c>
      <c r="B6230" s="1890">
        <f>'Acct Summary 7-8'!J20</f>
        <v>138367</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138367</v>
      </c>
      <c r="D6263" s="2" t="str">
        <f t="shared" si="96"/>
        <v>Error?</v>
      </c>
      <c r="E6263" s="2" t="s">
        <v>189</v>
      </c>
    </row>
    <row r="6264" spans="1:5" x14ac:dyDescent="0.2">
      <c r="A6264">
        <v>6203</v>
      </c>
      <c r="B6264" s="1890">
        <f>'Acct Summary 7-8'!J79</f>
        <v>261680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400047</v>
      </c>
      <c r="D6266" s="2" t="str">
        <f t="shared" si="96"/>
        <v>Error?</v>
      </c>
      <c r="E6266" s="2" t="s">
        <v>189</v>
      </c>
    </row>
    <row r="6267" spans="1:5" x14ac:dyDescent="0.2">
      <c r="A6267">
        <v>6206</v>
      </c>
      <c r="B6267" s="1890">
        <f>'Acct Summary 7-8'!C82</f>
        <v>1213068</v>
      </c>
      <c r="D6267" s="2" t="str">
        <f t="shared" si="96"/>
        <v>Error?</v>
      </c>
      <c r="E6267" s="2" t="s">
        <v>189</v>
      </c>
    </row>
    <row r="6268" spans="1:5" x14ac:dyDescent="0.2">
      <c r="A6268">
        <v>6207</v>
      </c>
      <c r="B6268" s="1890">
        <f>'Acct Summary 7-8'!D82</f>
        <v>224290</v>
      </c>
      <c r="D6268" s="2" t="str">
        <f t="shared" si="96"/>
        <v>Error?</v>
      </c>
      <c r="E6268" s="2" t="s">
        <v>189</v>
      </c>
    </row>
    <row r="6269" spans="1:5" x14ac:dyDescent="0.2">
      <c r="A6269">
        <v>6208</v>
      </c>
      <c r="B6269" s="1890">
        <f>'Acct Summary 7-8'!E82</f>
        <v>-3903</v>
      </c>
      <c r="D6269" s="2" t="str">
        <f t="shared" si="96"/>
        <v>Error?</v>
      </c>
      <c r="E6269" s="2" t="s">
        <v>189</v>
      </c>
    </row>
    <row r="6270" spans="1:5" x14ac:dyDescent="0.2">
      <c r="A6270">
        <v>6209</v>
      </c>
      <c r="B6270" s="1890">
        <f>'Acct Summary 7-8'!F82</f>
        <v>-170310</v>
      </c>
      <c r="D6270" s="2" t="str">
        <f t="shared" si="96"/>
        <v>Error?</v>
      </c>
      <c r="E6270" s="2" t="s">
        <v>189</v>
      </c>
    </row>
    <row r="6271" spans="1:5" x14ac:dyDescent="0.2">
      <c r="A6271">
        <v>6210</v>
      </c>
      <c r="B6271" s="1890">
        <f>'Acct Summary 7-8'!G82</f>
        <v>218980</v>
      </c>
      <c r="D6271" s="2" t="str">
        <f t="shared" ref="D6271:D6334" si="97">IF(ISBLANK(B6271),"OK",IF(A6271-B6271=0,"OK","Error?"))</f>
        <v>Error?</v>
      </c>
      <c r="E6271" s="2" t="s">
        <v>189</v>
      </c>
    </row>
    <row r="6272" spans="1:5" x14ac:dyDescent="0.2">
      <c r="A6272">
        <v>6211</v>
      </c>
      <c r="B6272" s="1890">
        <f>'Acct Summary 7-8'!H82</f>
        <v>120961</v>
      </c>
      <c r="D6272" s="2" t="str">
        <f t="shared" si="97"/>
        <v>Error?</v>
      </c>
      <c r="E6272" s="2" t="s">
        <v>189</v>
      </c>
    </row>
    <row r="6273" spans="1:5" x14ac:dyDescent="0.2">
      <c r="A6273">
        <v>6212</v>
      </c>
      <c r="B6273" s="1890">
        <f>'Acct Summary 7-8'!I82</f>
        <v>119238</v>
      </c>
      <c r="D6273" s="2" t="str">
        <f t="shared" si="97"/>
        <v>Error?</v>
      </c>
      <c r="E6273" s="2" t="s">
        <v>189</v>
      </c>
    </row>
    <row r="6274" spans="1:5" x14ac:dyDescent="0.2">
      <c r="A6274">
        <v>6213</v>
      </c>
      <c r="B6274" s="1890">
        <f>'Acct Summary 7-8'!J82</f>
        <v>138367</v>
      </c>
      <c r="D6274" s="2" t="str">
        <f t="shared" si="97"/>
        <v>Error?</v>
      </c>
      <c r="E6274" s="2" t="s">
        <v>189</v>
      </c>
    </row>
    <row r="6275" spans="1:5" x14ac:dyDescent="0.2">
      <c r="A6275">
        <v>6214</v>
      </c>
      <c r="B6275" s="1890">
        <f>'Acct Summary 7-8'!K82</f>
        <v>-1323123</v>
      </c>
      <c r="D6275" s="2" t="str">
        <f t="shared" si="97"/>
        <v>Error?</v>
      </c>
      <c r="E6275" s="2" t="s">
        <v>189</v>
      </c>
    </row>
    <row r="6276" spans="1:5" x14ac:dyDescent="0.2">
      <c r="A6276">
        <v>6215</v>
      </c>
      <c r="B6276" s="1890">
        <f>'Acct Summary 7-8'!C83</f>
        <v>0.11829470913907537</v>
      </c>
      <c r="D6276" s="2" t="str">
        <f t="shared" si="97"/>
        <v>Error?</v>
      </c>
      <c r="E6276" s="2" t="s">
        <v>189</v>
      </c>
    </row>
    <row r="6277" spans="1:5" x14ac:dyDescent="0.2">
      <c r="A6277">
        <v>6216</v>
      </c>
      <c r="B6277" s="1890">
        <f>'Acct Summary 7-8'!D83</f>
        <v>0.49373503099464638</v>
      </c>
      <c r="D6277" s="2" t="str">
        <f t="shared" si="97"/>
        <v>Error?</v>
      </c>
      <c r="E6277" s="2" t="s">
        <v>189</v>
      </c>
    </row>
    <row r="6278" spans="1:5" x14ac:dyDescent="0.2">
      <c r="A6278">
        <v>6217</v>
      </c>
      <c r="B6278" s="1890">
        <f>'Acct Summary 7-8'!E83</f>
        <v>-3.5628217767553948E-2</v>
      </c>
      <c r="D6278" s="2" t="str">
        <f t="shared" si="97"/>
        <v>Error?</v>
      </c>
      <c r="E6278" s="2" t="s">
        <v>189</v>
      </c>
    </row>
    <row r="6279" spans="1:5" x14ac:dyDescent="0.2">
      <c r="A6279">
        <v>6218</v>
      </c>
      <c r="B6279" s="1890">
        <f>'Acct Summary 7-8'!F83</f>
        <v>-0.3349473319854937</v>
      </c>
      <c r="D6279" s="2" t="str">
        <f t="shared" si="97"/>
        <v>Error?</v>
      </c>
      <c r="E6279" s="2" t="s">
        <v>189</v>
      </c>
    </row>
    <row r="6280" spans="1:5" x14ac:dyDescent="0.2">
      <c r="A6280">
        <v>6219</v>
      </c>
      <c r="B6280" s="1890">
        <f>'Acct Summary 7-8'!G83</f>
        <v>0.37411374780038609</v>
      </c>
      <c r="D6280" s="2" t="str">
        <f t="shared" si="97"/>
        <v>Error?</v>
      </c>
      <c r="E6280" s="2" t="s">
        <v>189</v>
      </c>
    </row>
    <row r="6281" spans="1:5" x14ac:dyDescent="0.2">
      <c r="A6281">
        <v>6220</v>
      </c>
      <c r="B6281" s="1890">
        <f>'Acct Summary 7-8'!H83</f>
        <v>9.1686367905185431E-2</v>
      </c>
      <c r="D6281" s="2" t="str">
        <f t="shared" si="97"/>
        <v>Error?</v>
      </c>
      <c r="E6281" s="2" t="s">
        <v>189</v>
      </c>
    </row>
    <row r="6282" spans="1:5" x14ac:dyDescent="0.2">
      <c r="A6282">
        <v>6221</v>
      </c>
      <c r="B6282" s="1890">
        <f>'Acct Summary 7-8'!I83</f>
        <v>8.142102697099686E-2</v>
      </c>
      <c r="D6282" s="2" t="str">
        <f t="shared" si="97"/>
        <v>Error?</v>
      </c>
      <c r="E6282" s="2" t="s">
        <v>189</v>
      </c>
    </row>
    <row r="6283" spans="1:5" x14ac:dyDescent="0.2">
      <c r="A6283">
        <v>6222</v>
      </c>
      <c r="B6283" s="1890">
        <f>'Acct Summary 7-8'!J83</f>
        <v>0.34587685946901237</v>
      </c>
      <c r="D6283" s="2" t="str">
        <f t="shared" si="97"/>
        <v>Error?</v>
      </c>
      <c r="E6283" s="2" t="s">
        <v>189</v>
      </c>
    </row>
    <row r="6284" spans="1:5" x14ac:dyDescent="0.2">
      <c r="A6284">
        <v>6223</v>
      </c>
      <c r="B6284" s="1890">
        <f>'Acct Summary 7-8'!K83</f>
        <v>-99.006510026938045</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1085693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1085693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8775</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8775</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28613</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9950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28613</v>
      </c>
      <c r="D6351" s="2" t="str">
        <f t="shared" si="98"/>
        <v>Error?</v>
      </c>
      <c r="E6351" s="2" t="s">
        <v>189</v>
      </c>
    </row>
    <row r="6352" spans="1:5" x14ac:dyDescent="0.2">
      <c r="A6352">
        <v>6291</v>
      </c>
      <c r="B6352" s="1890">
        <f>'Revenues 9-14'!J109</f>
        <v>1123081</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11388</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147389</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182293</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97950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203722</v>
      </c>
      <c r="D6880" s="2" t="str">
        <f t="shared" si="106"/>
        <v>Error?</v>
      </c>
    </row>
    <row r="6881" spans="1:4" x14ac:dyDescent="0.2">
      <c r="A6881">
        <v>6820</v>
      </c>
      <c r="B6881" s="1890">
        <f>'Expenditures 15-22'!K22</f>
        <v>203722</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9270</v>
      </c>
      <c r="D6981" s="2" t="str">
        <f t="shared" si="108"/>
        <v>Error?</v>
      </c>
    </row>
    <row r="6982" spans="1:4" x14ac:dyDescent="0.2">
      <c r="A6982">
        <v>6921</v>
      </c>
      <c r="B6982" s="1890">
        <f>'Expenditures 15-22'!K85</f>
        <v>9270</v>
      </c>
      <c r="D6982" s="2" t="str">
        <f t="shared" si="108"/>
        <v>Error?</v>
      </c>
    </row>
    <row r="6983" spans="1:4" x14ac:dyDescent="0.2">
      <c r="A6983">
        <v>6922</v>
      </c>
      <c r="B6983" s="1890">
        <f>'Expenditures 15-22'!H86</f>
        <v>742393</v>
      </c>
      <c r="D6983" s="2" t="str">
        <f t="shared" si="108"/>
        <v>Error?</v>
      </c>
    </row>
    <row r="6984" spans="1:4" x14ac:dyDescent="0.2">
      <c r="A6984">
        <v>6923</v>
      </c>
      <c r="B6984" s="1890">
        <f>'Expenditures 15-22'!K86</f>
        <v>742393</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751663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984714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1123081</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10376</v>
      </c>
      <c r="D7073" s="2" t="str">
        <f t="shared" si="109"/>
        <v>Error?</v>
      </c>
    </row>
    <row r="7074" spans="1:4" x14ac:dyDescent="0.2">
      <c r="A7074">
        <v>7013</v>
      </c>
      <c r="B7074" s="1890">
        <f>'Expenditures 15-22'!K216</f>
        <v>10376</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722</v>
      </c>
      <c r="D7079" s="2" t="str">
        <f t="shared" si="109"/>
        <v>Error?</v>
      </c>
    </row>
    <row r="7080" spans="1:4" x14ac:dyDescent="0.2">
      <c r="A7080">
        <v>7019</v>
      </c>
      <c r="B7080" s="1890">
        <f>'Expenditures 15-22'!K226</f>
        <v>722</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2628</v>
      </c>
      <c r="D7089" s="2" t="str">
        <f t="shared" si="109"/>
        <v>Error?</v>
      </c>
    </row>
    <row r="7090" spans="1:4" x14ac:dyDescent="0.2">
      <c r="A7090">
        <v>7029</v>
      </c>
      <c r="B7090" s="1890">
        <f>'Expenditures 15-22'!K252</f>
        <v>2628</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9239</v>
      </c>
      <c r="D7093" s="2" t="str">
        <f t="shared" si="109"/>
        <v>Error?</v>
      </c>
    </row>
    <row r="7094" spans="1:4" x14ac:dyDescent="0.2">
      <c r="A7094">
        <v>7033</v>
      </c>
      <c r="B7094" s="1890">
        <f>'Expenditures 15-22'!K254</f>
        <v>9239</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247367</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247367</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1676</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1676</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165372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165372</v>
      </c>
      <c r="D7153" s="2" t="str">
        <f t="shared" si="110"/>
        <v>Error?</v>
      </c>
    </row>
    <row r="7154" spans="1:4" x14ac:dyDescent="0.2">
      <c r="A7154">
        <v>7093</v>
      </c>
      <c r="B7154" s="1890">
        <f>'Expenditures 15-22'!C323</f>
        <v>65281</v>
      </c>
      <c r="D7154" s="2" t="str">
        <f t="shared" si="110"/>
        <v>Error?</v>
      </c>
    </row>
    <row r="7155" spans="1:4" x14ac:dyDescent="0.2">
      <c r="A7155">
        <v>7094</v>
      </c>
      <c r="B7155" s="1890">
        <f>'Expenditures 15-22'!D323</f>
        <v>12135</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77416</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195988</v>
      </c>
      <c r="D7172" s="2" t="str">
        <f t="shared" si="111"/>
        <v>Error?</v>
      </c>
    </row>
    <row r="7173" spans="1:4" x14ac:dyDescent="0.2">
      <c r="A7173">
        <v>7112</v>
      </c>
      <c r="B7173" s="1890">
        <f>'Expenditures 15-22'!D325</f>
        <v>34335</v>
      </c>
      <c r="D7173" s="2" t="str">
        <f t="shared" si="111"/>
        <v>Error?</v>
      </c>
    </row>
    <row r="7174" spans="1:4" x14ac:dyDescent="0.2">
      <c r="A7174">
        <v>7113</v>
      </c>
      <c r="B7174" s="1890">
        <f>'Expenditures 15-22'!E325</f>
        <v>93534</v>
      </c>
      <c r="D7174" s="2" t="str">
        <f t="shared" si="111"/>
        <v>Error?</v>
      </c>
    </row>
    <row r="7175" spans="1:4" x14ac:dyDescent="0.2">
      <c r="A7175">
        <v>7114</v>
      </c>
      <c r="B7175" s="1890">
        <f>'Expenditures 15-22'!F325</f>
        <v>25937</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349794</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143089</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143089</v>
      </c>
      <c r="D7198" s="2" t="str">
        <f t="shared" si="111"/>
        <v>Error?</v>
      </c>
    </row>
    <row r="7199" spans="1:4" x14ac:dyDescent="0.2">
      <c r="A7199">
        <v>7138</v>
      </c>
      <c r="B7199" s="1890">
        <f>'Expenditures 15-22'!C330</f>
        <v>261269</v>
      </c>
      <c r="D7199" s="2" t="str">
        <f t="shared" si="111"/>
        <v>Error?</v>
      </c>
    </row>
    <row r="7200" spans="1:4" x14ac:dyDescent="0.2">
      <c r="A7200">
        <v>7139</v>
      </c>
      <c r="B7200" s="1890">
        <f>'Expenditures 15-22'!D330</f>
        <v>46470</v>
      </c>
      <c r="D7200" s="2" t="str">
        <f t="shared" si="111"/>
        <v>Error?</v>
      </c>
    </row>
    <row r="7201" spans="1:4" x14ac:dyDescent="0.2">
      <c r="A7201">
        <v>7140</v>
      </c>
      <c r="B7201" s="1890">
        <f>'Expenditures 15-22'!E330</f>
        <v>651038</v>
      </c>
      <c r="D7201" s="2" t="str">
        <f t="shared" si="111"/>
        <v>Error?</v>
      </c>
    </row>
    <row r="7202" spans="1:4" x14ac:dyDescent="0.2">
      <c r="A7202">
        <v>7141</v>
      </c>
      <c r="B7202" s="1890">
        <f>'Expenditures 15-22'!F330</f>
        <v>25937</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984714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261269</v>
      </c>
      <c r="D7216" s="2" t="str">
        <f t="shared" si="111"/>
        <v>Error?</v>
      </c>
    </row>
    <row r="7217" spans="1:4" x14ac:dyDescent="0.2">
      <c r="A7217">
        <v>7156</v>
      </c>
      <c r="B7217" s="1890">
        <f>'Expenditures 15-22'!D342</f>
        <v>46470</v>
      </c>
      <c r="D7217" s="2" t="str">
        <f t="shared" si="111"/>
        <v>Error?</v>
      </c>
    </row>
    <row r="7218" spans="1:4" x14ac:dyDescent="0.2">
      <c r="A7218">
        <v>7157</v>
      </c>
      <c r="B7218" s="1890">
        <f>'Expenditures 15-22'!E342</f>
        <v>651038</v>
      </c>
      <c r="D7218" s="2" t="str">
        <f t="shared" si="111"/>
        <v>Error?</v>
      </c>
    </row>
    <row r="7219" spans="1:4" x14ac:dyDescent="0.2">
      <c r="A7219">
        <v>7158</v>
      </c>
      <c r="B7219" s="1890">
        <f>'Expenditures 15-22'!F342</f>
        <v>25937</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984714</v>
      </c>
      <c r="D7224" s="2" t="str">
        <f t="shared" si="111"/>
        <v>Error?</v>
      </c>
    </row>
    <row r="7225" spans="1:4" x14ac:dyDescent="0.2">
      <c r="A7225">
        <v>7164</v>
      </c>
      <c r="B7225" s="1890">
        <f>'Expenditures 15-22'!K343</f>
        <v>138367</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34904</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57351</v>
      </c>
      <c r="D7263" s="2" t="str">
        <f t="shared" si="112"/>
        <v>Error?</v>
      </c>
    </row>
    <row r="7264" spans="1:4" x14ac:dyDescent="0.2">
      <c r="A7264">
        <f t="shared" si="113"/>
        <v>7203</v>
      </c>
      <c r="B7264" s="1890">
        <f>'Expenditures 15-22'!D17</f>
        <v>15542</v>
      </c>
      <c r="D7264" s="2" t="str">
        <f t="shared" si="112"/>
        <v>Error?</v>
      </c>
    </row>
    <row r="7265" spans="1:5" x14ac:dyDescent="0.2">
      <c r="A7265">
        <f t="shared" si="113"/>
        <v>7204</v>
      </c>
      <c r="B7265" s="1890">
        <f>'Expenditures 15-22'!E17</f>
        <v>1707</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23350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15643</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15643</v>
      </c>
      <c r="D7618" s="2" t="str">
        <f t="shared" si="124"/>
        <v>Error?</v>
      </c>
      <c r="E7618" s="2" t="s">
        <v>19</v>
      </c>
    </row>
    <row r="7619" spans="1:5" x14ac:dyDescent="0.2">
      <c r="A7619">
        <f t="shared" si="123"/>
        <v>7558</v>
      </c>
      <c r="B7619" s="1890">
        <f>'Cap Outlay Deprec 26'!H14</f>
        <v>14043</v>
      </c>
      <c r="D7619" s="2" t="str">
        <f t="shared" si="124"/>
        <v>Error?</v>
      </c>
      <c r="E7619" s="2" t="s">
        <v>19</v>
      </c>
    </row>
    <row r="7620" spans="1:5" x14ac:dyDescent="0.2">
      <c r="A7620">
        <f t="shared" si="123"/>
        <v>7559</v>
      </c>
      <c r="B7620" s="1890">
        <f>'Cap Outlay Deprec 26'!I14</f>
        <v>1599</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15642</v>
      </c>
      <c r="D7622" s="2" t="str">
        <f t="shared" si="124"/>
        <v>Error?</v>
      </c>
      <c r="E7622" s="2" t="s">
        <v>19</v>
      </c>
    </row>
    <row r="7623" spans="1:5" x14ac:dyDescent="0.2">
      <c r="A7623">
        <f t="shared" si="123"/>
        <v>7562</v>
      </c>
      <c r="B7623" s="1890">
        <f>'Cap Outlay Deprec 26'!L14</f>
        <v>1</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1038397</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753606</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9950</v>
      </c>
      <c r="D7712" s="2" t="str">
        <f t="shared" si="126"/>
        <v>Error?</v>
      </c>
      <c r="E7712" s="2" t="s">
        <v>822</v>
      </c>
    </row>
    <row r="7713" spans="1:6" x14ac:dyDescent="0.2">
      <c r="A7713">
        <v>7652</v>
      </c>
      <c r="B7713" s="1890">
        <f>'Rest Tax Levies-Tort Im 25'!J8</f>
        <v>711797</v>
      </c>
      <c r="D7713" s="2" t="str">
        <f t="shared" si="126"/>
        <v>Error?</v>
      </c>
      <c r="E7713" s="2" t="s">
        <v>822</v>
      </c>
    </row>
    <row r="7714" spans="1:6" x14ac:dyDescent="0.2">
      <c r="A7714">
        <v>7653</v>
      </c>
      <c r="B7714" s="1890">
        <f>'Rest Tax Levies-Tort Im 25'!K9</f>
        <v>19603</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711797</v>
      </c>
      <c r="D7718" s="2" t="str">
        <f t="shared" si="126"/>
        <v>Error?</v>
      </c>
      <c r="E7718" s="2" t="s">
        <v>822</v>
      </c>
    </row>
    <row r="7719" spans="1:6" x14ac:dyDescent="0.2">
      <c r="A7719">
        <v>7658</v>
      </c>
      <c r="B7719" s="1890">
        <f>'Rest Tax Levies-Tort Im 25'!K12</f>
        <v>29553</v>
      </c>
      <c r="D7719" s="2" t="str">
        <f t="shared" si="126"/>
        <v>Error?</v>
      </c>
      <c r="E7719" s="2" t="s">
        <v>822</v>
      </c>
    </row>
    <row r="7720" spans="1:6" x14ac:dyDescent="0.2">
      <c r="A7720">
        <v>7659</v>
      </c>
      <c r="B7720" s="1890">
        <f>'Rest Tax Levies-Tort Im 25'!H14</f>
        <v>85302</v>
      </c>
      <c r="D7720" s="2" t="str">
        <f t="shared" si="126"/>
        <v>Error?</v>
      </c>
      <c r="E7720" s="2" t="s">
        <v>822</v>
      </c>
    </row>
    <row r="7721" spans="1:6" x14ac:dyDescent="0.2">
      <c r="A7721">
        <v>7660</v>
      </c>
      <c r="B7721" s="1890">
        <f>'Rest Tax Levies-Tort Im 25'!K14</f>
        <v>97950</v>
      </c>
      <c r="D7721" s="2" t="str">
        <f t="shared" si="126"/>
        <v>Error?</v>
      </c>
      <c r="E7721" s="2" t="s">
        <v>822</v>
      </c>
    </row>
    <row r="7722" spans="1:6" x14ac:dyDescent="0.2">
      <c r="A7722">
        <v>7661</v>
      </c>
      <c r="B7722" s="1890">
        <f>'Rest Tax Levies-Tort Im 25'!J15</f>
        <v>599322</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250000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599322</v>
      </c>
      <c r="D7730" s="2" t="str">
        <f t="shared" si="126"/>
        <v>Error?</v>
      </c>
      <c r="E7730" s="2" t="s">
        <v>822</v>
      </c>
    </row>
    <row r="7731" spans="1:6" x14ac:dyDescent="0.2">
      <c r="A7731">
        <v>7670</v>
      </c>
      <c r="B7731" s="1890">
        <f>'Revenues 9-14'!H103</f>
        <v>711797</v>
      </c>
      <c r="D7731" s="2" t="str">
        <f t="shared" si="126"/>
        <v>Error?</v>
      </c>
      <c r="E7731" s="2" t="s">
        <v>822</v>
      </c>
    </row>
    <row r="7732" spans="1:6" x14ac:dyDescent="0.2">
      <c r="A7732">
        <v>7671</v>
      </c>
      <c r="B7732" s="1890">
        <f>'Rest Tax Levies-Tort Im 25'!J24</f>
        <v>866081</v>
      </c>
      <c r="D7732" s="2" t="str">
        <f t="shared" si="126"/>
        <v>Error?</v>
      </c>
      <c r="E7732" s="2" t="s">
        <v>822</v>
      </c>
    </row>
    <row r="7733" spans="1:6" x14ac:dyDescent="0.2">
      <c r="A7733">
        <v>7672</v>
      </c>
      <c r="B7733" s="1890">
        <f>'Rest Tax Levies-Tort Im 25'!K24</f>
        <v>-68397</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866081</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-68397</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97950</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7805000</v>
      </c>
      <c r="D7817" s="2" t="str">
        <f t="shared" si="128"/>
        <v>Error?</v>
      </c>
      <c r="E7817" s="4" t="s">
        <v>1966</v>
      </c>
    </row>
    <row r="7818" spans="1:5" x14ac:dyDescent="0.2">
      <c r="A7818">
        <v>7757</v>
      </c>
      <c r="B7818" s="1890">
        <f>'PCTC-OEPP 27-28'!F172</f>
        <v>0</v>
      </c>
      <c r="D7818" s="2" t="str">
        <f t="shared" si="128"/>
        <v>Error?</v>
      </c>
      <c r="E7818" s="4" t="s">
        <v>1980</v>
      </c>
    </row>
    <row r="7819" spans="1:5" x14ac:dyDescent="0.2">
      <c r="A7819">
        <v>7758</v>
      </c>
      <c r="B7819" s="1890">
        <f>'PCTC-OEPP 27-28'!F173</f>
        <v>0</v>
      </c>
      <c r="D7819" s="2" t="str">
        <f t="shared" si="128"/>
        <v>Error?</v>
      </c>
      <c r="E7819" s="4" t="s">
        <v>1980</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25129680</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182293</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0</v>
      </c>
      <c r="D7830" s="2" t="str">
        <f t="shared" si="129"/>
        <v>Error?</v>
      </c>
      <c r="E7830" s="4" t="s">
        <v>1998</v>
      </c>
    </row>
    <row r="7831" spans="1:5" x14ac:dyDescent="0.2">
      <c r="A7831">
        <v>7770</v>
      </c>
      <c r="B7831" s="1890">
        <f>'PCTC-OEPP 27-28'!F52</f>
        <v>10386</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2738029</v>
      </c>
      <c r="D7834" s="2" t="str">
        <f t="shared" si="129"/>
        <v>Error?</v>
      </c>
      <c r="E7834" s="4" t="s">
        <v>1998</v>
      </c>
    </row>
    <row r="7835" spans="1:5" x14ac:dyDescent="0.2">
      <c r="A7835">
        <v>7774</v>
      </c>
      <c r="B7835" s="1890">
        <f>'PCTC-OEPP 27-28'!F78</f>
        <v>22391651</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10028.50725546399</v>
      </c>
      <c r="D7837" s="2" t="str">
        <f t="shared" si="129"/>
        <v>Error?</v>
      </c>
      <c r="E7837" s="4" t="s">
        <v>1998</v>
      </c>
    </row>
    <row r="7838" spans="1:5" x14ac:dyDescent="0.2">
      <c r="A7838">
        <v>7777</v>
      </c>
      <c r="B7838" s="1890">
        <f>'PCTC-OEPP 27-28'!F96</f>
        <v>95270</v>
      </c>
      <c r="D7838" s="2" t="str">
        <f t="shared" si="129"/>
        <v>Error?</v>
      </c>
      <c r="E7838" s="4" t="s">
        <v>1998</v>
      </c>
    </row>
    <row r="7839" spans="1:5" x14ac:dyDescent="0.2">
      <c r="A7839">
        <v>7778</v>
      </c>
      <c r="B7839" s="1890">
        <f>'PCTC-OEPP 27-28'!F102</f>
        <v>94557</v>
      </c>
      <c r="D7839" s="2" t="str">
        <f t="shared" si="129"/>
        <v>Error?</v>
      </c>
      <c r="E7839" s="4" t="s">
        <v>1998</v>
      </c>
    </row>
    <row r="7840" spans="1:5" x14ac:dyDescent="0.2">
      <c r="A7840">
        <v>7779</v>
      </c>
      <c r="B7840" s="1890">
        <f>'PCTC-OEPP 27-28'!F103</f>
        <v>39311</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514970</v>
      </c>
      <c r="D7842" s="2" t="str">
        <f t="shared" si="129"/>
        <v>Error?</v>
      </c>
      <c r="E7842" s="4" t="s">
        <v>1998</v>
      </c>
    </row>
    <row r="7843" spans="1:5" x14ac:dyDescent="0.2">
      <c r="A7843">
        <v>7782</v>
      </c>
      <c r="B7843" s="1890">
        <f>'PCTC-OEPP 27-28'!F107</f>
        <v>28892</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19603</v>
      </c>
      <c r="D7846" s="2" t="str">
        <f t="shared" si="129"/>
        <v>Error?</v>
      </c>
      <c r="E7846" s="4" t="s">
        <v>1998</v>
      </c>
    </row>
    <row r="7847" spans="1:5" x14ac:dyDescent="0.2">
      <c r="A7847">
        <v>7786</v>
      </c>
      <c r="B7847" s="1890">
        <f>'PCTC-OEPP 27-28'!F112</f>
        <v>688132</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40761</v>
      </c>
      <c r="D7857" s="2" t="str">
        <f t="shared" si="129"/>
        <v>Error?</v>
      </c>
      <c r="E7857" s="4" t="s">
        <v>1998</v>
      </c>
    </row>
    <row r="7858" spans="1:5" x14ac:dyDescent="0.2">
      <c r="A7858">
        <v>7797</v>
      </c>
      <c r="B7858" s="1890">
        <f>'PCTC-OEPP 27-28'!F126</f>
        <v>668277</v>
      </c>
      <c r="D7858" s="2" t="str">
        <f t="shared" si="129"/>
        <v>Error?</v>
      </c>
      <c r="E7858" s="4" t="s">
        <v>1998</v>
      </c>
    </row>
    <row r="7859" spans="1:5" x14ac:dyDescent="0.2">
      <c r="A7859">
        <v>7798</v>
      </c>
      <c r="B7859" s="1890">
        <f>'PCTC-OEPP 27-28'!F127</f>
        <v>964724</v>
      </c>
      <c r="D7859" s="2" t="str">
        <f t="shared" si="129"/>
        <v>Error?</v>
      </c>
      <c r="E7859" s="4" t="s">
        <v>1998</v>
      </c>
    </row>
    <row r="7860" spans="1:5" x14ac:dyDescent="0.2">
      <c r="A7860">
        <v>7799</v>
      </c>
      <c r="B7860" s="1890">
        <f>'PCTC-OEPP 27-28'!F128</f>
        <v>55427</v>
      </c>
      <c r="D7860" s="2" t="str">
        <f t="shared" si="129"/>
        <v>Error?</v>
      </c>
      <c r="E7860" s="4" t="s">
        <v>1998</v>
      </c>
    </row>
    <row r="7861" spans="1:5" x14ac:dyDescent="0.2">
      <c r="A7861">
        <v>7800</v>
      </c>
      <c r="B7861" s="1890">
        <f>'PCTC-OEPP 27-28'!F129</f>
        <v>0</v>
      </c>
      <c r="D7861" s="2" t="str">
        <f t="shared" si="129"/>
        <v>Error?</v>
      </c>
      <c r="E7861" s="4" t="s">
        <v>1998</v>
      </c>
    </row>
    <row r="7862" spans="1:5" x14ac:dyDescent="0.2">
      <c r="A7862">
        <v>7801</v>
      </c>
      <c r="B7862" s="1890">
        <f>'PCTC-OEPP 27-28'!F130</f>
        <v>120464</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99428</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32217</v>
      </c>
      <c r="D7874" s="2" t="str">
        <f t="shared" si="129"/>
        <v>Error?</v>
      </c>
      <c r="E7874" s="4" t="s">
        <v>1998</v>
      </c>
    </row>
    <row r="7875" spans="1:5" x14ac:dyDescent="0.2">
      <c r="A7875">
        <v>7814</v>
      </c>
      <c r="B7875" s="1890">
        <f>'PCTC-OEPP 27-28'!F170</f>
        <v>207748</v>
      </c>
      <c r="D7875" s="2" t="str">
        <f t="shared" si="129"/>
        <v>Error?</v>
      </c>
      <c r="E7875" s="4" t="s">
        <v>1998</v>
      </c>
    </row>
    <row r="7876" spans="1:5" x14ac:dyDescent="0.2">
      <c r="A7876">
        <v>7815</v>
      </c>
      <c r="B7876" s="1890">
        <f>'PCTC-OEPP 27-28'!F171</f>
        <v>3800</v>
      </c>
      <c r="D7876" s="2" t="str">
        <f t="shared" si="129"/>
        <v>Error?</v>
      </c>
      <c r="E7876" s="4" t="s">
        <v>1998</v>
      </c>
    </row>
    <row r="7877" spans="1:5" x14ac:dyDescent="0.2">
      <c r="A7877">
        <v>7816</v>
      </c>
      <c r="B7877" s="1890">
        <f>'PCTC-OEPP 27-28'!F175</f>
        <v>4034414</v>
      </c>
      <c r="D7877" s="2" t="str">
        <f t="shared" si="129"/>
        <v>Error?</v>
      </c>
      <c r="E7877" s="4" t="s">
        <v>1998</v>
      </c>
    </row>
    <row r="7878" spans="1:5" x14ac:dyDescent="0.2">
      <c r="A7878">
        <v>7817</v>
      </c>
      <c r="B7878" s="1890">
        <f>'PCTC-OEPP 27-28'!F176</f>
        <v>18357237</v>
      </c>
      <c r="D7878" s="2" t="str">
        <f t="shared" si="129"/>
        <v>Error?</v>
      </c>
      <c r="E7878" s="4" t="s">
        <v>1998</v>
      </c>
    </row>
    <row r="7879" spans="1:5" x14ac:dyDescent="0.2">
      <c r="A7879">
        <v>7818</v>
      </c>
      <c r="B7879" s="1890">
        <f>'PCTC-OEPP 27-28'!F178</f>
        <v>19395634</v>
      </c>
      <c r="D7879" s="2" t="str">
        <f t="shared" si="129"/>
        <v>Error?</v>
      </c>
      <c r="E7879" s="4" t="s">
        <v>1998</v>
      </c>
    </row>
    <row r="7880" spans="1:5" x14ac:dyDescent="0.2">
      <c r="A7880">
        <v>7819</v>
      </c>
      <c r="B7880" s="1890">
        <f>'PCTC-OEPP 27-28'!F180</f>
        <v>8686.6866714439257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8" sqref="B4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3" t="s">
        <v>1183</v>
      </c>
      <c r="B2" s="2633"/>
      <c r="C2" s="2633"/>
      <c r="D2" s="2633"/>
      <c r="E2" s="2633"/>
      <c r="F2" s="2633"/>
      <c r="G2" s="2633"/>
      <c r="H2" s="2633"/>
      <c r="I2" s="2633"/>
      <c r="J2" s="2633"/>
      <c r="K2" s="2633"/>
      <c r="L2" s="2633"/>
    </row>
    <row r="3" spans="1:29" ht="13.5" customHeight="1" x14ac:dyDescent="0.2">
      <c r="A3" s="2619" t="s">
        <v>1182</v>
      </c>
      <c r="B3" s="2619"/>
      <c r="C3" s="2619"/>
      <c r="D3" s="2619"/>
      <c r="E3" s="2619"/>
      <c r="F3" s="2619"/>
      <c r="G3" s="2619"/>
      <c r="H3" s="2619"/>
      <c r="I3" s="2619"/>
      <c r="J3" s="2619"/>
      <c r="K3" s="2619"/>
      <c r="L3" s="2619"/>
    </row>
    <row r="4" spans="1:29" ht="13.5" customHeight="1" x14ac:dyDescent="0.2">
      <c r="A4" s="2650" t="str">
        <f>"Year Ending June 30, "&amp;'AFR20'!E2</f>
        <v>Year Ending June 30, 2020</v>
      </c>
      <c r="B4" s="2651"/>
      <c r="C4" s="2651"/>
      <c r="D4" s="2651"/>
      <c r="E4" s="2651"/>
      <c r="F4" s="2651"/>
      <c r="G4" s="2651"/>
      <c r="H4" s="2651"/>
      <c r="I4" s="2651"/>
      <c r="J4" s="2651"/>
      <c r="K4" s="2651"/>
      <c r="L4" s="265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3" t="str">
        <f>COVER!A17</f>
        <v>Canton Union SD 66</v>
      </c>
      <c r="B7" s="2614"/>
      <c r="C7" s="2614"/>
      <c r="D7" s="2652"/>
      <c r="E7" s="2653">
        <f>COVER!A13</f>
        <v>26029066025</v>
      </c>
      <c r="F7" s="2654"/>
      <c r="G7" s="2620" t="str">
        <f>COVER!T23</f>
        <v>066-005100</v>
      </c>
      <c r="H7" s="2621"/>
      <c r="I7" s="2621"/>
      <c r="J7" s="2621"/>
      <c r="K7" s="2621"/>
      <c r="L7" s="2622"/>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3"/>
      <c r="B9" s="2624"/>
      <c r="C9" s="2624"/>
      <c r="D9" s="2624"/>
      <c r="E9" s="2624"/>
      <c r="F9" s="2625"/>
      <c r="G9" s="2626" t="str">
        <f>COVER!T13</f>
        <v>Mack &amp; Associates, P.C.</v>
      </c>
      <c r="H9" s="2627"/>
      <c r="I9" s="2627"/>
      <c r="J9" s="2627"/>
      <c r="K9" s="2627"/>
      <c r="L9" s="2628"/>
    </row>
    <row r="10" spans="1:29" ht="13.5" customHeight="1" x14ac:dyDescent="0.2">
      <c r="A10" s="2610" t="str">
        <f>COVER!A38</f>
        <v>Rolf Sivertsen</v>
      </c>
      <c r="B10" s="2611"/>
      <c r="C10" s="2611"/>
      <c r="D10" s="2611"/>
      <c r="E10" s="2611"/>
      <c r="F10" s="2612"/>
      <c r="G10" s="2626" t="str">
        <f>COVER!T17</f>
        <v>116 E Washington St., Suite 1</v>
      </c>
      <c r="H10" s="2639"/>
      <c r="I10" s="2639"/>
      <c r="J10" s="2639"/>
      <c r="K10" s="2639"/>
      <c r="L10" s="2640"/>
    </row>
    <row r="11" spans="1:29" ht="13.5" customHeight="1" x14ac:dyDescent="0.2">
      <c r="A11" s="1008" t="s">
        <v>1505</v>
      </c>
      <c r="B11" s="1009"/>
      <c r="C11" s="1010"/>
      <c r="D11" s="1015"/>
      <c r="E11" s="1010"/>
      <c r="F11" s="1014"/>
      <c r="G11" s="2626" t="str">
        <f>COVER!T19</f>
        <v>Morris</v>
      </c>
      <c r="H11" s="2639"/>
      <c r="I11" s="2639"/>
      <c r="J11" s="2639"/>
      <c r="K11" s="2639"/>
      <c r="L11" s="2640"/>
    </row>
    <row r="12" spans="1:29" ht="13.5" customHeight="1" x14ac:dyDescent="0.2">
      <c r="A12" s="2644" t="s">
        <v>1504</v>
      </c>
      <c r="B12" s="2645"/>
      <c r="C12" s="2645"/>
      <c r="D12" s="2645"/>
      <c r="E12" s="2645"/>
      <c r="F12" s="2646"/>
      <c r="G12" s="2641"/>
      <c r="H12" s="2642"/>
      <c r="I12" s="2642"/>
      <c r="J12" s="2642"/>
      <c r="K12" s="2642"/>
      <c r="L12" s="2643"/>
    </row>
    <row r="13" spans="1:29" ht="13.5" customHeight="1" x14ac:dyDescent="0.2">
      <c r="A13" s="2626"/>
      <c r="B13" s="2639"/>
      <c r="C13" s="2639"/>
      <c r="D13" s="2639"/>
      <c r="E13" s="2639"/>
      <c r="F13" s="2640"/>
      <c r="G13" s="2634" t="s">
        <v>1506</v>
      </c>
      <c r="H13" s="2635"/>
      <c r="I13" s="2647" t="str">
        <f>COVER!T25</f>
        <v>tmack@mackcpas.com</v>
      </c>
      <c r="J13" s="2648"/>
      <c r="K13" s="2648"/>
      <c r="L13" s="2649"/>
    </row>
    <row r="14" spans="1:29" ht="13.5" customHeight="1" x14ac:dyDescent="0.2">
      <c r="A14" s="2626" t="str">
        <f>COVER!A19</f>
        <v>20 W Walnut</v>
      </c>
      <c r="B14" s="2639"/>
      <c r="C14" s="2639"/>
      <c r="D14" s="2639"/>
      <c r="E14" s="2639"/>
      <c r="F14" s="2640"/>
      <c r="G14" s="1019" t="s">
        <v>1177</v>
      </c>
      <c r="H14" s="1017"/>
      <c r="I14" s="1017"/>
      <c r="J14" s="1017"/>
      <c r="K14" s="1017"/>
      <c r="L14" s="1018"/>
    </row>
    <row r="15" spans="1:29" ht="13.5" customHeight="1" x14ac:dyDescent="0.2">
      <c r="A15" s="2626" t="str">
        <f>COVER!A21</f>
        <v xml:space="preserve">Canton </v>
      </c>
      <c r="B15" s="2639"/>
      <c r="C15" s="2639"/>
      <c r="D15" s="2639"/>
      <c r="E15" s="2639"/>
      <c r="F15" s="2640"/>
      <c r="G15" s="2636" t="str">
        <f>COVER!T15</f>
        <v>Tawnya Mack, CPA</v>
      </c>
      <c r="H15" s="2637"/>
      <c r="I15" s="2637"/>
      <c r="J15" s="2637"/>
      <c r="K15" s="2637"/>
      <c r="L15" s="2638"/>
    </row>
    <row r="16" spans="1:29" ht="12.2" customHeight="1" x14ac:dyDescent="0.2">
      <c r="A16" s="2616">
        <f>COVER!A25</f>
        <v>61520</v>
      </c>
      <c r="B16" s="2617"/>
      <c r="C16" s="2617"/>
      <c r="D16" s="2617"/>
      <c r="E16" s="2617"/>
      <c r="F16" s="2618"/>
      <c r="G16" s="2629"/>
      <c r="H16" s="2630"/>
      <c r="I16" s="2630"/>
      <c r="J16" s="2630"/>
      <c r="K16" s="2630"/>
      <c r="L16" s="2631"/>
    </row>
    <row r="17" spans="1:13" ht="12.2" customHeight="1" x14ac:dyDescent="0.2">
      <c r="A17" s="2632"/>
      <c r="B17" s="2617"/>
      <c r="C17" s="2617"/>
      <c r="D17" s="2617"/>
      <c r="E17" s="2617"/>
      <c r="F17" s="2618"/>
      <c r="G17" s="1019" t="s">
        <v>1176</v>
      </c>
      <c r="H17" s="1017"/>
      <c r="I17" s="1017"/>
      <c r="J17" s="1017"/>
      <c r="K17" s="1021" t="s">
        <v>1175</v>
      </c>
      <c r="L17" s="1014"/>
      <c r="M17" s="1007"/>
    </row>
    <row r="18" spans="1:13" ht="12.2" customHeight="1" x14ac:dyDescent="0.2">
      <c r="A18" s="2610"/>
      <c r="B18" s="2611"/>
      <c r="C18" s="2611"/>
      <c r="D18" s="2611"/>
      <c r="E18" s="2611"/>
      <c r="F18" s="2612"/>
      <c r="G18" s="2613" t="str">
        <f>COVER!T21</f>
        <v>815-942-3306</v>
      </c>
      <c r="H18" s="2614"/>
      <c r="I18" s="2614"/>
      <c r="J18" s="2614"/>
      <c r="K18" s="2613" t="str">
        <f>COVER!X21</f>
        <v>815-942-9430</v>
      </c>
      <c r="L18" s="261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2027</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2027</v>
      </c>
      <c r="C26" s="1026" t="s">
        <v>1680</v>
      </c>
    </row>
    <row r="27" spans="1:13" s="1022" customFormat="1" ht="9" customHeight="1" x14ac:dyDescent="0.2">
      <c r="B27" s="1027"/>
      <c r="C27" s="1026"/>
    </row>
    <row r="28" spans="1:13" s="1022" customFormat="1" ht="12.2" customHeight="1" x14ac:dyDescent="0.2">
      <c r="A28" s="1029"/>
      <c r="B28" s="1025" t="s">
        <v>2027</v>
      </c>
      <c r="C28" s="1026" t="s">
        <v>1681</v>
      </c>
    </row>
    <row r="29" spans="1:13" s="1022" customFormat="1" ht="9" customHeight="1" x14ac:dyDescent="0.2">
      <c r="A29" s="1029"/>
      <c r="B29" s="1027"/>
      <c r="C29" s="1026"/>
    </row>
    <row r="30" spans="1:13" s="1022" customFormat="1" ht="12.2" customHeight="1" x14ac:dyDescent="0.2">
      <c r="B30" s="1025" t="s">
        <v>2027</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2027</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2027</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2027</v>
      </c>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t="s">
        <v>2027</v>
      </c>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5" t="str">
        <f>'Single Audit Cover'!A7</f>
        <v>Canton Union SD 66</v>
      </c>
      <c r="B1" s="2656"/>
      <c r="C1" s="2656"/>
      <c r="D1" s="2656"/>
    </row>
    <row r="2" spans="1:11" s="1036" customFormat="1" ht="12.75" x14ac:dyDescent="0.2">
      <c r="A2" s="2657">
        <f>'Single Audit Cover'!E7</f>
        <v>26029066025</v>
      </c>
      <c r="B2" s="2658"/>
      <c r="C2" s="2658"/>
      <c r="D2" s="2658"/>
    </row>
    <row r="3" spans="1:11" s="1036" customFormat="1" ht="12.75" x14ac:dyDescent="0.2">
      <c r="A3" s="2655" t="s">
        <v>1499</v>
      </c>
      <c r="B3" s="2656"/>
      <c r="C3" s="2656"/>
      <c r="D3" s="2656"/>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G20" sqref="G20"/>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0" t="str">
        <f>'Single Audit Cover'!A7</f>
        <v>Canton Union SD 66</v>
      </c>
      <c r="B1" s="2660"/>
      <c r="C1" s="2660"/>
      <c r="D1" s="2660"/>
      <c r="E1" s="2660"/>
    </row>
    <row r="2" spans="1:5" x14ac:dyDescent="0.2">
      <c r="A2" s="2661">
        <f>'Single Audit Cover'!E7</f>
        <v>26029066025</v>
      </c>
      <c r="B2" s="2661"/>
      <c r="C2" s="2661"/>
      <c r="D2" s="2661"/>
      <c r="E2" s="2661"/>
    </row>
    <row r="3" spans="1:5" ht="4.5" customHeight="1" x14ac:dyDescent="0.2"/>
    <row r="4" spans="1:5" x14ac:dyDescent="0.2">
      <c r="A4" s="2660" t="s">
        <v>1236</v>
      </c>
      <c r="B4" s="2660"/>
      <c r="C4" s="2660"/>
      <c r="D4" s="2660"/>
      <c r="E4" s="2660"/>
    </row>
    <row r="5" spans="1:5" x14ac:dyDescent="0.2">
      <c r="A5" s="2663" t="str">
        <f>'Single Audit Cover'!A4</f>
        <v>Year Ending June 30, 2020</v>
      </c>
      <c r="B5" s="2663"/>
      <c r="C5" s="2663"/>
      <c r="D5" s="2663"/>
      <c r="E5" s="2663"/>
    </row>
    <row r="6" spans="1:5" x14ac:dyDescent="0.2">
      <c r="A6" s="2660" t="s">
        <v>1235</v>
      </c>
      <c r="B6" s="2660"/>
      <c r="C6" s="2660"/>
      <c r="D6" s="2660"/>
      <c r="E6" s="2660"/>
    </row>
    <row r="8" spans="1:5" x14ac:dyDescent="0.2">
      <c r="A8" s="1081" t="s">
        <v>1234</v>
      </c>
    </row>
    <row r="10" spans="1:5" x14ac:dyDescent="0.2">
      <c r="A10" s="1082" t="s">
        <v>1233</v>
      </c>
      <c r="B10" s="1083" t="s">
        <v>1232</v>
      </c>
      <c r="C10" s="1083"/>
      <c r="D10" s="1084">
        <f>SUM('Acct Summary 7-8'!C7:K7)</f>
        <v>2192846</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67887</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-207748</v>
      </c>
    </row>
    <row r="19" spans="1:4" ht="13.5" thickBot="1" x14ac:dyDescent="0.25">
      <c r="A19" s="1086" t="s">
        <v>1226</v>
      </c>
      <c r="D19" s="1087">
        <f>SUM(D10:D17)</f>
        <v>2052985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2"/>
      <c r="B24" s="2662"/>
      <c r="D24" s="1089"/>
    </row>
    <row r="25" spans="1:4" x14ac:dyDescent="0.2">
      <c r="A25" s="2659"/>
      <c r="B25" s="2659"/>
      <c r="D25" s="1089"/>
    </row>
    <row r="26" spans="1:4" x14ac:dyDescent="0.2">
      <c r="A26" s="2659"/>
      <c r="B26" s="2659"/>
      <c r="D26" s="1089"/>
    </row>
    <row r="27" spans="1:4" x14ac:dyDescent="0.2">
      <c r="A27" s="2659"/>
      <c r="B27" s="2659"/>
      <c r="D27" s="1089"/>
    </row>
    <row r="28" spans="1:4" x14ac:dyDescent="0.2">
      <c r="A28" s="2659"/>
      <c r="B28" s="2659"/>
      <c r="D28" s="1089"/>
    </row>
    <row r="29" spans="1:4" x14ac:dyDescent="0.2">
      <c r="A29" s="2659"/>
      <c r="B29" s="2659"/>
      <c r="D29" s="1089"/>
    </row>
    <row r="30" spans="1:4" x14ac:dyDescent="0.2">
      <c r="A30" s="2659"/>
      <c r="B30" s="2659"/>
      <c r="D30" s="1089"/>
    </row>
    <row r="32" spans="1:4" x14ac:dyDescent="0.2">
      <c r="A32" s="1081" t="s">
        <v>1224</v>
      </c>
      <c r="D32" s="1084">
        <f>SUM(D19:D30)</f>
        <v>2052985</v>
      </c>
    </row>
    <row r="33" spans="1:4" x14ac:dyDescent="0.2">
      <c r="D33" s="1090"/>
    </row>
    <row r="34" spans="1:4" x14ac:dyDescent="0.2">
      <c r="A34" s="295" t="s">
        <v>1223</v>
      </c>
    </row>
    <row r="35" spans="1:4" x14ac:dyDescent="0.2">
      <c r="A35" s="295" t="s">
        <v>1222</v>
      </c>
      <c r="B35" s="1079" t="s">
        <v>1221</v>
      </c>
      <c r="D35" s="1091">
        <v>2052985</v>
      </c>
    </row>
    <row r="37" spans="1:4" x14ac:dyDescent="0.2">
      <c r="A37" s="1081" t="s">
        <v>1220</v>
      </c>
    </row>
    <row r="39" spans="1:4" ht="13.35" customHeight="1" x14ac:dyDescent="0.2">
      <c r="A39" s="1088" t="s">
        <v>1219</v>
      </c>
    </row>
    <row r="40" spans="1:4" x14ac:dyDescent="0.2">
      <c r="A40" s="2659"/>
      <c r="B40" s="2659"/>
      <c r="D40" s="1089"/>
    </row>
    <row r="41" spans="1:4" x14ac:dyDescent="0.2">
      <c r="A41" s="2659"/>
      <c r="B41" s="2659"/>
      <c r="D41" s="1092"/>
    </row>
    <row r="42" spans="1:4" x14ac:dyDescent="0.2">
      <c r="A42" s="2659"/>
      <c r="B42" s="2659"/>
      <c r="D42" s="1092"/>
    </row>
    <row r="43" spans="1:4" x14ac:dyDescent="0.2">
      <c r="A43" s="2659"/>
      <c r="B43" s="2659"/>
      <c r="D43" s="1092"/>
    </row>
    <row r="44" spans="1:4" x14ac:dyDescent="0.2">
      <c r="A44" s="2659"/>
      <c r="B44" s="2659"/>
      <c r="D44" s="1092"/>
    </row>
    <row r="45" spans="1:4" x14ac:dyDescent="0.2">
      <c r="A45" s="2659"/>
      <c r="B45" s="2659"/>
      <c r="D45" s="1092"/>
    </row>
    <row r="47" spans="1:4" x14ac:dyDescent="0.2">
      <c r="B47" s="1093" t="s">
        <v>1218</v>
      </c>
      <c r="C47" s="1093"/>
      <c r="D47" s="1094">
        <f>SUM(D35:D45)</f>
        <v>2052985</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showGridLines="0" zoomScaleNormal="100" workbookViewId="0">
      <selection activeCell="M27" sqref="M2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Canton Union SD 66</v>
      </c>
      <c r="C1" s="2664"/>
      <c r="D1" s="2664"/>
      <c r="E1" s="2664"/>
      <c r="F1" s="2664"/>
      <c r="G1" s="2664"/>
      <c r="H1" s="2664"/>
      <c r="I1" s="2664"/>
      <c r="J1" s="2664"/>
      <c r="K1" s="2664"/>
      <c r="L1" s="2664"/>
      <c r="M1" s="2664"/>
    </row>
    <row r="2" spans="2:14" ht="15" x14ac:dyDescent="0.2">
      <c r="B2" s="2665">
        <f>'Single Audit Cover'!E7</f>
        <v>26029066025</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2054</v>
      </c>
      <c r="C11" s="1879"/>
      <c r="D11" s="1880"/>
      <c r="E11" s="1881"/>
      <c r="F11" s="1881"/>
      <c r="G11" s="1881"/>
      <c r="H11" s="1881"/>
      <c r="I11" s="1881"/>
      <c r="J11" s="1881"/>
      <c r="K11" s="1881"/>
      <c r="L11" s="1881">
        <f>+G11+I11+K11</f>
        <v>0</v>
      </c>
      <c r="M11" s="1881"/>
    </row>
    <row r="12" spans="2:14" ht="20.100000000000001" customHeight="1" x14ac:dyDescent="0.2">
      <c r="B12" s="1158" t="s">
        <v>2053</v>
      </c>
      <c r="C12" s="1882"/>
      <c r="D12" s="1883"/>
      <c r="E12" s="1884"/>
      <c r="F12" s="1884"/>
      <c r="G12" s="1884"/>
      <c r="H12" s="1884"/>
      <c r="I12" s="1884"/>
      <c r="J12" s="1884"/>
      <c r="K12" s="1884"/>
      <c r="L12" s="1881">
        <f t="shared" ref="L12:L26" si="0">+G12+I12+K12</f>
        <v>0</v>
      </c>
      <c r="M12" s="1884"/>
    </row>
    <row r="13" spans="2:14" ht="20.100000000000001" customHeight="1" x14ac:dyDescent="0.2">
      <c r="B13" s="1158" t="s">
        <v>2055</v>
      </c>
      <c r="C13" s="1882" t="s">
        <v>2052</v>
      </c>
      <c r="D13" s="1883" t="s">
        <v>2059</v>
      </c>
      <c r="E13" s="1884">
        <v>578813</v>
      </c>
      <c r="F13" s="1884">
        <v>261870</v>
      </c>
      <c r="G13" s="1884">
        <v>840683</v>
      </c>
      <c r="H13" s="1884"/>
      <c r="I13" s="1884">
        <v>19096</v>
      </c>
      <c r="J13" s="1884"/>
      <c r="K13" s="1884"/>
      <c r="L13" s="1881">
        <f t="shared" si="0"/>
        <v>859779</v>
      </c>
      <c r="M13" s="1884">
        <v>872448</v>
      </c>
    </row>
    <row r="14" spans="2:14" ht="20.100000000000001" customHeight="1" x14ac:dyDescent="0.2">
      <c r="B14" s="1158" t="s">
        <v>2077</v>
      </c>
      <c r="C14" s="1882" t="s">
        <v>2052</v>
      </c>
      <c r="D14" s="1883" t="s">
        <v>2060</v>
      </c>
      <c r="E14" s="1884"/>
      <c r="F14" s="1884">
        <v>696412</v>
      </c>
      <c r="G14" s="1884"/>
      <c r="H14" s="1884"/>
      <c r="I14" s="1884">
        <v>760651</v>
      </c>
      <c r="J14" s="1884"/>
      <c r="K14" s="1884">
        <v>11654</v>
      </c>
      <c r="L14" s="1881">
        <f t="shared" si="0"/>
        <v>772305</v>
      </c>
      <c r="M14" s="1884">
        <v>789714</v>
      </c>
    </row>
    <row r="15" spans="2:14" ht="20.100000000000001" customHeight="1" x14ac:dyDescent="0.2">
      <c r="B15" s="1158" t="s">
        <v>2078</v>
      </c>
      <c r="C15" s="1882">
        <v>84.337000000000003</v>
      </c>
      <c r="D15" s="1883" t="s">
        <v>2080</v>
      </c>
      <c r="E15" s="1884">
        <v>25655</v>
      </c>
      <c r="F15" s="1884">
        <v>6442</v>
      </c>
      <c r="G15" s="1884">
        <v>32097</v>
      </c>
      <c r="H15" s="1884"/>
      <c r="I15" s="1884"/>
      <c r="J15" s="1884"/>
      <c r="K15" s="1884"/>
      <c r="L15" s="1881">
        <f t="shared" si="0"/>
        <v>32097</v>
      </c>
      <c r="M15" s="1884">
        <v>45000</v>
      </c>
    </row>
    <row r="16" spans="2:14" ht="20.100000000000001" customHeight="1" x14ac:dyDescent="0.2">
      <c r="B16" s="1158" t="s">
        <v>2079</v>
      </c>
      <c r="C16" s="1882"/>
      <c r="D16" s="1883"/>
      <c r="E16" s="1884">
        <f>SUM(E13:E15)</f>
        <v>604468</v>
      </c>
      <c r="F16" s="1884">
        <f t="shared" ref="F16:M16" si="1">SUM(F13:F15)</f>
        <v>964724</v>
      </c>
      <c r="G16" s="1884">
        <f t="shared" si="1"/>
        <v>872780</v>
      </c>
      <c r="H16" s="1884"/>
      <c r="I16" s="1884">
        <f t="shared" si="1"/>
        <v>779747</v>
      </c>
      <c r="J16" s="1884"/>
      <c r="K16" s="1884">
        <f t="shared" si="1"/>
        <v>11654</v>
      </c>
      <c r="L16" s="1881">
        <f t="shared" si="0"/>
        <v>1664181</v>
      </c>
      <c r="M16" s="1884">
        <f t="shared" si="1"/>
        <v>1707162</v>
      </c>
    </row>
    <row r="17" spans="1:14" ht="20.100000000000001" customHeight="1" x14ac:dyDescent="0.2">
      <c r="B17" s="1158" t="s">
        <v>2081</v>
      </c>
      <c r="C17" s="1882" t="s">
        <v>2089</v>
      </c>
      <c r="D17" s="1883" t="s">
        <v>2061</v>
      </c>
      <c r="E17" s="1884">
        <v>22119</v>
      </c>
      <c r="F17" s="1884">
        <v>17580</v>
      </c>
      <c r="G17" s="1884">
        <v>39699</v>
      </c>
      <c r="H17" s="1884"/>
      <c r="I17" s="1884"/>
      <c r="J17" s="1884"/>
      <c r="K17" s="1884"/>
      <c r="L17" s="1881">
        <f t="shared" si="0"/>
        <v>39699</v>
      </c>
      <c r="M17" s="1884">
        <v>53078</v>
      </c>
    </row>
    <row r="18" spans="1:14" ht="20.100000000000001" customHeight="1" x14ac:dyDescent="0.2">
      <c r="B18" s="1158" t="s">
        <v>2082</v>
      </c>
      <c r="C18" s="1882" t="s">
        <v>2089</v>
      </c>
      <c r="D18" s="1883" t="s">
        <v>2062</v>
      </c>
      <c r="E18" s="1884"/>
      <c r="F18" s="1884">
        <v>23181</v>
      </c>
      <c r="G18" s="1884"/>
      <c r="H18" s="1884"/>
      <c r="I18" s="1884">
        <v>48389</v>
      </c>
      <c r="J18" s="1884"/>
      <c r="K18" s="1884"/>
      <c r="L18" s="1881">
        <f t="shared" si="0"/>
        <v>48389</v>
      </c>
      <c r="M18" s="1884">
        <v>60377</v>
      </c>
    </row>
    <row r="19" spans="1:14" ht="20.100000000000001" customHeight="1" x14ac:dyDescent="0.2">
      <c r="B19" s="1158" t="s">
        <v>2084</v>
      </c>
      <c r="C19" s="1882"/>
      <c r="D19" s="1883"/>
      <c r="E19" s="1884">
        <f>SUM(E17:E18)</f>
        <v>22119</v>
      </c>
      <c r="F19" s="1884">
        <f t="shared" ref="F19:M19" si="2">SUM(F17:F18)</f>
        <v>40761</v>
      </c>
      <c r="G19" s="1884">
        <f t="shared" si="2"/>
        <v>39699</v>
      </c>
      <c r="H19" s="1884"/>
      <c r="I19" s="1884">
        <f t="shared" si="2"/>
        <v>48389</v>
      </c>
      <c r="J19" s="1884"/>
      <c r="K19" s="1884"/>
      <c r="L19" s="1881">
        <f t="shared" si="0"/>
        <v>88088</v>
      </c>
      <c r="M19" s="1884">
        <f t="shared" si="2"/>
        <v>113455</v>
      </c>
    </row>
    <row r="20" spans="1:14" ht="20.100000000000001" customHeight="1" x14ac:dyDescent="0.2">
      <c r="B20" s="1158" t="s">
        <v>2083</v>
      </c>
      <c r="C20" s="1882" t="s">
        <v>2057</v>
      </c>
      <c r="D20" s="1883" t="s">
        <v>2063</v>
      </c>
      <c r="E20" s="1884">
        <v>72307</v>
      </c>
      <c r="F20" s="1884">
        <v>36027</v>
      </c>
      <c r="G20" s="1884">
        <v>94947</v>
      </c>
      <c r="H20" s="1884"/>
      <c r="I20" s="1884">
        <v>13387</v>
      </c>
      <c r="J20" s="1884"/>
      <c r="K20" s="1884"/>
      <c r="L20" s="1881">
        <f t="shared" si="0"/>
        <v>108334</v>
      </c>
      <c r="M20" s="1884">
        <v>113395</v>
      </c>
    </row>
    <row r="21" spans="1:14" ht="20.100000000000001" customHeight="1" x14ac:dyDescent="0.2">
      <c r="B21" s="1158" t="s">
        <v>2085</v>
      </c>
      <c r="C21" s="1882" t="s">
        <v>2057</v>
      </c>
      <c r="D21" s="1883" t="s">
        <v>2064</v>
      </c>
      <c r="E21" s="1884"/>
      <c r="F21" s="1884">
        <v>63401</v>
      </c>
      <c r="G21" s="1884"/>
      <c r="H21" s="1884"/>
      <c r="I21" s="1884">
        <v>85920</v>
      </c>
      <c r="J21" s="1884"/>
      <c r="K21" s="1884">
        <v>14847</v>
      </c>
      <c r="L21" s="1881">
        <f t="shared" si="0"/>
        <v>100767</v>
      </c>
      <c r="M21" s="1884">
        <v>110309</v>
      </c>
    </row>
    <row r="22" spans="1:14" ht="20.100000000000001" customHeight="1" x14ac:dyDescent="0.2">
      <c r="B22" s="1158" t="s">
        <v>2086</v>
      </c>
      <c r="C22" s="1882"/>
      <c r="D22" s="1883"/>
      <c r="E22" s="1884">
        <f>SUM(E20:E21)</f>
        <v>72307</v>
      </c>
      <c r="F22" s="1884">
        <f t="shared" ref="F22:K22" si="3">SUM(F20:F21)</f>
        <v>99428</v>
      </c>
      <c r="G22" s="1884">
        <f t="shared" si="3"/>
        <v>94947</v>
      </c>
      <c r="H22" s="1884"/>
      <c r="I22" s="1884">
        <f t="shared" si="3"/>
        <v>99307</v>
      </c>
      <c r="J22" s="1884"/>
      <c r="K22" s="1884">
        <f t="shared" si="3"/>
        <v>14847</v>
      </c>
      <c r="L22" s="1881">
        <f t="shared" si="0"/>
        <v>209101</v>
      </c>
      <c r="M22" s="1884">
        <f>SUM(M20:M21)</f>
        <v>223704</v>
      </c>
    </row>
    <row r="23" spans="1:14" ht="20.100000000000001" customHeight="1" x14ac:dyDescent="0.2">
      <c r="B23" s="1158" t="s">
        <v>2087</v>
      </c>
      <c r="C23" s="1882">
        <v>84.424000000000007</v>
      </c>
      <c r="D23" s="1883" t="s">
        <v>2065</v>
      </c>
      <c r="E23" s="1884">
        <v>28599</v>
      </c>
      <c r="F23" s="1884">
        <v>11161</v>
      </c>
      <c r="G23" s="1884">
        <v>39760</v>
      </c>
      <c r="H23" s="1884"/>
      <c r="I23" s="1884"/>
      <c r="J23" s="1884"/>
      <c r="K23" s="1884"/>
      <c r="L23" s="1881">
        <f t="shared" si="0"/>
        <v>39760</v>
      </c>
      <c r="M23" s="1884">
        <v>62701</v>
      </c>
    </row>
    <row r="24" spans="1:14" ht="20.100000000000001" customHeight="1" x14ac:dyDescent="0.2">
      <c r="B24" s="1158" t="s">
        <v>2087</v>
      </c>
      <c r="C24" s="1882">
        <v>84.424000000000007</v>
      </c>
      <c r="D24" s="1883" t="s">
        <v>2066</v>
      </c>
      <c r="E24" s="1884"/>
      <c r="F24" s="1884">
        <v>44266</v>
      </c>
      <c r="G24" s="1884"/>
      <c r="H24" s="1884"/>
      <c r="I24" s="1884">
        <v>67565</v>
      </c>
      <c r="J24" s="1884"/>
      <c r="K24" s="1884"/>
      <c r="L24" s="1881">
        <f t="shared" si="0"/>
        <v>67565</v>
      </c>
      <c r="M24" s="1884">
        <v>81732</v>
      </c>
    </row>
    <row r="25" spans="1:14" ht="20.100000000000001" customHeight="1" x14ac:dyDescent="0.2">
      <c r="B25" s="1158" t="s">
        <v>2088</v>
      </c>
      <c r="C25" s="1882"/>
      <c r="D25" s="1883"/>
      <c r="E25" s="1884">
        <f>SUM(E23:E24)</f>
        <v>28599</v>
      </c>
      <c r="F25" s="1884">
        <f t="shared" ref="F25:M25" si="4">SUM(F23:F24)</f>
        <v>55427</v>
      </c>
      <c r="G25" s="1884">
        <f t="shared" si="4"/>
        <v>39760</v>
      </c>
      <c r="H25" s="1884"/>
      <c r="I25" s="1884">
        <f t="shared" si="4"/>
        <v>67565</v>
      </c>
      <c r="J25" s="1884"/>
      <c r="K25" s="1884"/>
      <c r="L25" s="1881">
        <f t="shared" si="0"/>
        <v>107325</v>
      </c>
      <c r="M25" s="1884">
        <f t="shared" si="4"/>
        <v>144433</v>
      </c>
    </row>
    <row r="26" spans="1:14" ht="20.100000000000001" customHeight="1" x14ac:dyDescent="0.2">
      <c r="A26" s="295" t="s">
        <v>2090</v>
      </c>
      <c r="B26" s="1158" t="s">
        <v>2091</v>
      </c>
      <c r="C26" s="1882" t="s">
        <v>2092</v>
      </c>
      <c r="D26" s="1883" t="s">
        <v>2093</v>
      </c>
      <c r="E26" s="1884"/>
      <c r="F26" s="1884"/>
      <c r="G26" s="1884"/>
      <c r="H26" s="1884"/>
      <c r="I26" s="1884">
        <v>24633</v>
      </c>
      <c r="J26" s="1884"/>
      <c r="K26" s="1884"/>
      <c r="L26" s="1881">
        <f t="shared" si="0"/>
        <v>24633</v>
      </c>
      <c r="M26" s="1884">
        <v>647616</v>
      </c>
    </row>
    <row r="27" spans="1:14" ht="12.75" customHeight="1" x14ac:dyDescent="0.2">
      <c r="B27" s="1160"/>
      <c r="C27" s="1161"/>
      <c r="D27" s="1162"/>
      <c r="E27" s="1163"/>
      <c r="F27" s="1163"/>
      <c r="G27" s="1163"/>
      <c r="H27" s="1163"/>
      <c r="I27" s="1163"/>
      <c r="J27" s="1163"/>
      <c r="K27" s="1163"/>
      <c r="L27" s="1163"/>
      <c r="M27" s="1163"/>
      <c r="N27" s="1159"/>
    </row>
    <row r="28" spans="1:14" x14ac:dyDescent="0.2">
      <c r="B28" s="1078"/>
      <c r="C28" s="1164"/>
      <c r="D28" s="1165"/>
      <c r="E28" s="1078"/>
      <c r="F28" s="1078"/>
      <c r="G28" s="1071"/>
      <c r="H28" s="1071"/>
      <c r="I28" s="1071"/>
      <c r="J28" s="1071"/>
      <c r="K28" s="1071"/>
      <c r="L28" s="1071"/>
      <c r="M28" s="1078"/>
      <c r="N28" s="1159"/>
    </row>
    <row r="29" spans="1:14" ht="13.5" customHeight="1" x14ac:dyDescent="0.2">
      <c r="B29" s="1103" t="s">
        <v>1714</v>
      </c>
      <c r="C29" s="1164"/>
      <c r="D29" s="1165"/>
      <c r="E29" s="1078"/>
      <c r="F29" s="1078"/>
      <c r="G29" s="1071"/>
      <c r="H29" s="1071"/>
      <c r="I29" s="1071"/>
      <c r="J29" s="1071"/>
      <c r="K29" s="1071"/>
      <c r="L29" s="1071"/>
      <c r="M29" s="1078"/>
      <c r="N29" s="1159"/>
    </row>
    <row r="30" spans="1:14" ht="8.25" customHeight="1" x14ac:dyDescent="0.2">
      <c r="B30" s="1103"/>
      <c r="C30" s="1164"/>
      <c r="D30" s="1165"/>
      <c r="E30" s="1078"/>
      <c r="F30" s="1078"/>
      <c r="G30" s="1071"/>
      <c r="H30" s="1071"/>
      <c r="I30" s="1071"/>
      <c r="J30" s="1071"/>
      <c r="K30" s="1071"/>
      <c r="L30" s="1071"/>
      <c r="M30" s="1078"/>
      <c r="N30" s="1159"/>
    </row>
    <row r="31" spans="1:14" x14ac:dyDescent="0.2">
      <c r="B31" s="1166" t="s">
        <v>1812</v>
      </c>
      <c r="C31" s="1167"/>
      <c r="D31" s="1168"/>
      <c r="E31" s="1169"/>
      <c r="F31" s="1169"/>
      <c r="G31" s="1169"/>
      <c r="H31" s="1169"/>
      <c r="I31" s="295"/>
      <c r="J31" s="295"/>
    </row>
    <row r="32" spans="1:14" x14ac:dyDescent="0.2">
      <c r="B32" s="1098"/>
      <c r="C32" s="1170"/>
      <c r="D32" s="1171"/>
      <c r="E32" s="1099"/>
      <c r="F32" s="1099"/>
      <c r="G32" s="295"/>
      <c r="H32" s="295"/>
      <c r="I32" s="295"/>
      <c r="J32" s="295"/>
    </row>
    <row r="33" spans="2:13" ht="13.5" customHeight="1" x14ac:dyDescent="0.2">
      <c r="B33" s="1097" t="s">
        <v>1237</v>
      </c>
      <c r="G33" s="295"/>
      <c r="H33" s="295"/>
      <c r="I33" s="295"/>
      <c r="J33" s="295"/>
    </row>
    <row r="34" spans="2:13" ht="13.5" customHeight="1" x14ac:dyDescent="0.2">
      <c r="B34" s="1174"/>
      <c r="C34" s="1175"/>
      <c r="D34" s="1176"/>
      <c r="E34" s="1118"/>
      <c r="F34" s="1118"/>
      <c r="G34" s="1118"/>
      <c r="H34" s="1118"/>
      <c r="I34" s="1118"/>
      <c r="J34" s="1118"/>
      <c r="K34" s="1177"/>
      <c r="L34" s="1177"/>
      <c r="M34" s="1118"/>
    </row>
    <row r="35" spans="2:13" ht="9.6" customHeight="1" x14ac:dyDescent="0.2">
      <c r="B35" s="1178"/>
      <c r="G35" s="295"/>
      <c r="H35" s="295"/>
      <c r="I35" s="295"/>
      <c r="J35" s="295"/>
    </row>
    <row r="36" spans="2:13" ht="11.25" customHeight="1" x14ac:dyDescent="0.2">
      <c r="B36" s="1179" t="s">
        <v>1715</v>
      </c>
      <c r="C36" s="1180"/>
      <c r="D36" s="1180"/>
      <c r="E36" s="1180"/>
      <c r="F36" s="1180"/>
      <c r="G36" s="1180"/>
      <c r="H36" s="1180"/>
      <c r="I36" s="1181"/>
      <c r="J36" s="1181"/>
      <c r="K36" s="1181"/>
      <c r="L36" s="1181"/>
      <c r="M36" s="1181"/>
    </row>
    <row r="37" spans="2:13" ht="11.25" customHeight="1" x14ac:dyDescent="0.2">
      <c r="B37" s="1182" t="s">
        <v>1570</v>
      </c>
      <c r="C37" s="1181"/>
      <c r="D37" s="1181"/>
      <c r="E37" s="1181"/>
      <c r="F37" s="1181"/>
      <c r="G37" s="1181"/>
      <c r="H37" s="1181"/>
      <c r="I37" s="1181"/>
      <c r="J37" s="1181"/>
      <c r="K37" s="1181"/>
      <c r="L37" s="1181"/>
      <c r="M37" s="1181"/>
    </row>
    <row r="38" spans="2:13" ht="3.95" customHeight="1" x14ac:dyDescent="0.2">
      <c r="B38" s="1182"/>
      <c r="C38" s="1181"/>
      <c r="D38" s="1181"/>
      <c r="E38" s="1181"/>
      <c r="F38" s="1181"/>
      <c r="G38" s="1181"/>
      <c r="H38" s="1181"/>
      <c r="I38" s="1181"/>
      <c r="J38" s="1181"/>
      <c r="K38" s="1181"/>
      <c r="L38" s="1181"/>
      <c r="M38" s="1181"/>
    </row>
    <row r="39" spans="2:13" ht="11.25" customHeight="1" x14ac:dyDescent="0.2">
      <c r="B39" s="1179" t="s">
        <v>1716</v>
      </c>
      <c r="C39" s="1181"/>
      <c r="D39" s="1181"/>
      <c r="E39" s="1181"/>
      <c r="F39" s="1181"/>
      <c r="G39" s="1181"/>
      <c r="H39" s="1181"/>
      <c r="I39" s="1181"/>
      <c r="J39" s="1181"/>
      <c r="K39" s="1181"/>
      <c r="L39" s="1181"/>
      <c r="M39" s="1181"/>
    </row>
    <row r="40" spans="2:13" ht="11.25" customHeight="1" x14ac:dyDescent="0.2">
      <c r="B40" s="1121" t="s">
        <v>1571</v>
      </c>
      <c r="C40" s="1183"/>
      <c r="D40" s="1184"/>
      <c r="E40" s="1121"/>
      <c r="F40" s="1121"/>
      <c r="G40" s="1121"/>
      <c r="H40" s="1121"/>
      <c r="I40" s="1121"/>
      <c r="J40" s="1121"/>
      <c r="K40" s="1185"/>
      <c r="L40" s="1185"/>
      <c r="M40" s="1121"/>
    </row>
    <row r="41" spans="2:13" ht="3.95" customHeight="1" x14ac:dyDescent="0.2">
      <c r="B41" s="1121"/>
      <c r="C41" s="1183"/>
      <c r="D41" s="1184"/>
      <c r="E41" s="1121"/>
      <c r="F41" s="1121"/>
      <c r="G41" s="1121"/>
      <c r="H41" s="1121"/>
      <c r="I41" s="1121"/>
      <c r="J41" s="1121"/>
      <c r="K41" s="1185"/>
      <c r="L41" s="1185"/>
      <c r="M41" s="1121"/>
    </row>
    <row r="42" spans="2:13" ht="11.25" customHeight="1" x14ac:dyDescent="0.2">
      <c r="B42" s="1186" t="s">
        <v>1717</v>
      </c>
      <c r="C42" s="1183"/>
      <c r="D42" s="1184"/>
      <c r="E42" s="1121"/>
      <c r="F42" s="1121"/>
      <c r="G42" s="1121"/>
      <c r="H42" s="1121"/>
      <c r="I42" s="1121"/>
      <c r="J42" s="1121"/>
      <c r="K42" s="1185"/>
      <c r="L42" s="1185"/>
      <c r="M42" s="1121"/>
    </row>
    <row r="43" spans="2:13" ht="3.95" customHeight="1" x14ac:dyDescent="0.2">
      <c r="B43" s="1186"/>
      <c r="C43" s="1183"/>
      <c r="D43" s="1184"/>
      <c r="E43" s="1121"/>
      <c r="F43" s="1121"/>
      <c r="G43" s="1121"/>
      <c r="H43" s="1121"/>
      <c r="I43" s="1121"/>
      <c r="J43" s="1121"/>
      <c r="K43" s="1185"/>
      <c r="L43" s="1185"/>
      <c r="M43" s="1121"/>
    </row>
    <row r="44" spans="2:13" ht="11.25" customHeight="1" x14ac:dyDescent="0.2">
      <c r="B44" s="1187" t="s">
        <v>1718</v>
      </c>
      <c r="C44" s="1183"/>
      <c r="D44" s="1184"/>
      <c r="E44" s="1121"/>
      <c r="F44" s="1121"/>
      <c r="G44" s="1121"/>
      <c r="H44" s="1121"/>
      <c r="I44" s="1121"/>
      <c r="J44" s="1121"/>
      <c r="K44" s="1185"/>
      <c r="L44" s="1185"/>
      <c r="M44" s="1121"/>
    </row>
    <row r="45" spans="2:13" ht="11.25" customHeight="1" x14ac:dyDescent="0.2">
      <c r="B45" s="1121" t="s">
        <v>1572</v>
      </c>
      <c r="G45" s="295"/>
      <c r="H45" s="295"/>
      <c r="I45" s="295"/>
      <c r="J45" s="295"/>
    </row>
    <row r="46" spans="2:13" ht="11.1" customHeight="1" x14ac:dyDescent="0.2">
      <c r="B46" s="1121"/>
      <c r="G46" s="295"/>
      <c r="H46" s="295"/>
      <c r="I46" s="295"/>
      <c r="J46" s="295"/>
    </row>
    <row r="47" spans="2:13" ht="11.1" customHeight="1" x14ac:dyDescent="0.2">
      <c r="B47" s="1121"/>
      <c r="G47" s="295"/>
      <c r="H47" s="295"/>
      <c r="I47" s="295"/>
      <c r="J47" s="295"/>
    </row>
    <row r="48" spans="2:13" ht="13.5" customHeight="1" x14ac:dyDescent="0.2">
      <c r="M48" s="1188"/>
    </row>
    <row r="49" spans="7:13" ht="13.5" customHeight="1" x14ac:dyDescent="0.2">
      <c r="M49" s="1188"/>
    </row>
    <row r="50" spans="7:13" ht="13.5" customHeight="1" x14ac:dyDescent="0.2">
      <c r="M50" s="1188"/>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1160</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9" t="s">
        <v>1619</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310</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1314</v>
      </c>
      <c r="B70" s="2242"/>
      <c r="C70" s="2242"/>
      <c r="D70" s="2242"/>
      <c r="E70" s="2243"/>
      <c r="F70" s="2243"/>
      <c r="G70" s="2243"/>
      <c r="H70" s="2243"/>
      <c r="I70" s="224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1311</v>
      </c>
      <c r="B83" s="2244"/>
      <c r="C83" s="2244"/>
      <c r="D83" s="224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5" t="s">
        <v>1989</v>
      </c>
      <c r="B85" s="2255"/>
      <c r="C85" s="2255"/>
      <c r="D85" s="2256"/>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7" t="s">
        <v>1989</v>
      </c>
      <c r="B88" s="2258"/>
      <c r="C88" s="2258"/>
      <c r="D88" s="2259"/>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6"/>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2018</v>
      </c>
      <c r="D114" s="223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1321</v>
      </c>
      <c r="D117" s="2237"/>
      <c r="E117" s="2238"/>
      <c r="F117" s="2238"/>
      <c r="G117" s="2238"/>
      <c r="H117" s="2238"/>
      <c r="I117" s="282"/>
    </row>
    <row r="118" spans="1:9" s="176" customFormat="1" ht="24" customHeight="1" x14ac:dyDescent="0.2">
      <c r="A118" s="294"/>
      <c r="B118" s="294"/>
      <c r="C118" s="294"/>
      <c r="D118" s="301" t="s">
        <v>2035</v>
      </c>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A7ADC-5D3C-48FA-A104-F52AE8D399F8}">
  <dimension ref="B1:N151"/>
  <sheetViews>
    <sheetView showGridLines="0" zoomScaleNormal="100" workbookViewId="0">
      <selection activeCell="P24" sqref="P2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Canton Union SD 66</v>
      </c>
      <c r="C1" s="2664"/>
      <c r="D1" s="2664"/>
      <c r="E1" s="2664"/>
      <c r="F1" s="2664"/>
      <c r="G1" s="2664"/>
      <c r="H1" s="2664"/>
      <c r="I1" s="2664"/>
      <c r="J1" s="2664"/>
      <c r="K1" s="2664"/>
      <c r="L1" s="2664"/>
      <c r="M1" s="2664"/>
    </row>
    <row r="2" spans="2:14" ht="15" x14ac:dyDescent="0.2">
      <c r="B2" s="2665">
        <f>'Single Audit Cover'!E7</f>
        <v>26029066025</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2056</v>
      </c>
      <c r="C11" s="1879"/>
      <c r="D11" s="1880"/>
      <c r="E11" s="1881"/>
      <c r="F11" s="1881"/>
      <c r="G11" s="1881"/>
      <c r="H11" s="1881"/>
      <c r="I11" s="1881"/>
      <c r="J11" s="1881"/>
      <c r="K11" s="1881"/>
      <c r="L11" s="1881">
        <f>+G11+I11+K11</f>
        <v>0</v>
      </c>
      <c r="M11" s="1881"/>
    </row>
    <row r="12" spans="2:14" ht="20.100000000000001" customHeight="1" x14ac:dyDescent="0.2">
      <c r="B12" s="1158" t="s">
        <v>2094</v>
      </c>
      <c r="C12" s="1882"/>
      <c r="D12" s="1883"/>
      <c r="E12" s="1884"/>
      <c r="F12" s="1884"/>
      <c r="G12" s="1884"/>
      <c r="H12" s="1884"/>
      <c r="I12" s="1884"/>
      <c r="J12" s="1884"/>
      <c r="K12" s="1884"/>
      <c r="L12" s="1881">
        <f t="shared" ref="L12:L26" si="0">+G12+I12+K12</f>
        <v>0</v>
      </c>
      <c r="M12" s="1884"/>
    </row>
    <row r="13" spans="2:14" ht="20.100000000000001" customHeight="1" x14ac:dyDescent="0.2">
      <c r="B13" s="1158" t="s">
        <v>2096</v>
      </c>
      <c r="C13" s="1882" t="s">
        <v>2058</v>
      </c>
      <c r="D13" s="1883" t="s">
        <v>2067</v>
      </c>
      <c r="E13" s="1884"/>
      <c r="F13" s="1884">
        <v>120464</v>
      </c>
      <c r="G13" s="1884"/>
      <c r="H13" s="1884"/>
      <c r="I13" s="1884">
        <v>120464</v>
      </c>
      <c r="J13" s="1884"/>
      <c r="K13" s="1884"/>
      <c r="L13" s="1881">
        <f t="shared" si="0"/>
        <v>120464</v>
      </c>
      <c r="M13" s="1884"/>
    </row>
    <row r="14" spans="2:14" ht="20.100000000000001" customHeight="1" x14ac:dyDescent="0.2">
      <c r="B14" s="1158" t="s">
        <v>2095</v>
      </c>
      <c r="C14" s="1882" t="s">
        <v>2058</v>
      </c>
      <c r="D14" s="1883" t="s">
        <v>2097</v>
      </c>
      <c r="E14" s="1884"/>
      <c r="F14" s="1884"/>
      <c r="G14" s="1884"/>
      <c r="H14" s="1884"/>
      <c r="I14" s="1884"/>
      <c r="J14" s="1884"/>
      <c r="K14" s="1884"/>
      <c r="L14" s="1881">
        <f t="shared" si="0"/>
        <v>0</v>
      </c>
      <c r="M14" s="1884"/>
    </row>
    <row r="15" spans="2:14" ht="20.100000000000001" customHeight="1" x14ac:dyDescent="0.2">
      <c r="B15" s="1158" t="s">
        <v>2098</v>
      </c>
      <c r="C15" s="1882"/>
      <c r="D15" s="1883"/>
      <c r="E15" s="1884"/>
      <c r="F15" s="1884">
        <v>120464</v>
      </c>
      <c r="G15" s="1884"/>
      <c r="H15" s="1884"/>
      <c r="I15" s="1884">
        <v>120464</v>
      </c>
      <c r="J15" s="1884"/>
      <c r="K15" s="1884"/>
      <c r="L15" s="1881">
        <f t="shared" si="0"/>
        <v>120464</v>
      </c>
      <c r="M15" s="1884"/>
    </row>
    <row r="16" spans="2:14" ht="20.100000000000001" customHeight="1" x14ac:dyDescent="0.2">
      <c r="B16" s="1158" t="s">
        <v>2099</v>
      </c>
      <c r="C16" s="1882"/>
      <c r="D16" s="1883"/>
      <c r="E16" s="1884"/>
      <c r="F16" s="1884"/>
      <c r="G16" s="1884"/>
      <c r="H16" s="1884"/>
      <c r="I16" s="1884"/>
      <c r="J16" s="1884"/>
      <c r="K16" s="1884"/>
      <c r="L16" s="1881">
        <f t="shared" si="0"/>
        <v>0</v>
      </c>
      <c r="M16" s="1884"/>
    </row>
    <row r="17" spans="2:14" ht="20.100000000000001" customHeight="1" x14ac:dyDescent="0.2">
      <c r="B17" s="1158" t="s">
        <v>2100</v>
      </c>
      <c r="C17" s="1882" t="s">
        <v>2058</v>
      </c>
      <c r="D17" s="1883" t="s">
        <v>2070</v>
      </c>
      <c r="E17" s="1884">
        <v>110209</v>
      </c>
      <c r="F17" s="1884"/>
      <c r="G17" s="1884">
        <v>110209</v>
      </c>
      <c r="H17" s="1884"/>
      <c r="I17" s="1884"/>
      <c r="J17" s="1884"/>
      <c r="K17" s="1884"/>
      <c r="L17" s="1881">
        <f t="shared" si="0"/>
        <v>110209</v>
      </c>
      <c r="M17" s="1884">
        <v>110209</v>
      </c>
    </row>
    <row r="18" spans="2:14" ht="20.100000000000001" customHeight="1" x14ac:dyDescent="0.2">
      <c r="B18" s="1158" t="s">
        <v>2100</v>
      </c>
      <c r="C18" s="1882" t="s">
        <v>2058</v>
      </c>
      <c r="D18" s="1883" t="s">
        <v>2071</v>
      </c>
      <c r="E18" s="1884"/>
      <c r="F18" s="1884"/>
      <c r="G18" s="1884"/>
      <c r="H18" s="1884"/>
      <c r="I18" s="1884">
        <v>106306</v>
      </c>
      <c r="J18" s="1884"/>
      <c r="K18" s="1884"/>
      <c r="L18" s="1881">
        <f t="shared" si="0"/>
        <v>106306</v>
      </c>
      <c r="M18" s="1884">
        <v>106848</v>
      </c>
    </row>
    <row r="19" spans="2:14" ht="20.100000000000001" customHeight="1" x14ac:dyDescent="0.2">
      <c r="B19" s="1158" t="s">
        <v>2101</v>
      </c>
      <c r="C19" s="1882"/>
      <c r="D19" s="1883"/>
      <c r="E19" s="1884">
        <v>110209</v>
      </c>
      <c r="F19" s="1884"/>
      <c r="G19" s="1884">
        <v>110209</v>
      </c>
      <c r="H19" s="1884"/>
      <c r="I19" s="1884">
        <v>106306</v>
      </c>
      <c r="J19" s="1884"/>
      <c r="K19" s="1884"/>
      <c r="L19" s="1881">
        <f t="shared" si="0"/>
        <v>216515</v>
      </c>
      <c r="M19" s="1884">
        <f>SUM(M17:M18)</f>
        <v>217057</v>
      </c>
    </row>
    <row r="20" spans="2:14" ht="20.100000000000001" customHeight="1" x14ac:dyDescent="0.2">
      <c r="B20" s="1158" t="s">
        <v>2102</v>
      </c>
      <c r="C20" s="1882" t="s">
        <v>2069</v>
      </c>
      <c r="D20" s="1883" t="s">
        <v>2104</v>
      </c>
      <c r="E20" s="1884"/>
      <c r="F20" s="1884"/>
      <c r="G20" s="1884"/>
      <c r="H20" s="1884"/>
      <c r="I20" s="1884"/>
      <c r="J20" s="1884"/>
      <c r="K20" s="1884"/>
      <c r="L20" s="1881">
        <f t="shared" si="0"/>
        <v>0</v>
      </c>
      <c r="M20" s="1884">
        <v>110209</v>
      </c>
    </row>
    <row r="21" spans="2:14" ht="20.100000000000001" customHeight="1" x14ac:dyDescent="0.2">
      <c r="B21" s="1158" t="s">
        <v>2103</v>
      </c>
      <c r="C21" s="1882" t="s">
        <v>2069</v>
      </c>
      <c r="D21" s="1883" t="s">
        <v>2105</v>
      </c>
      <c r="E21" s="1884"/>
      <c r="F21" s="1884"/>
      <c r="G21" s="1884"/>
      <c r="H21" s="1884"/>
      <c r="I21" s="1884">
        <v>542</v>
      </c>
      <c r="J21" s="1884"/>
      <c r="K21" s="1884"/>
      <c r="L21" s="1881">
        <f t="shared" si="0"/>
        <v>542</v>
      </c>
      <c r="M21" s="1884">
        <v>106848</v>
      </c>
    </row>
    <row r="22" spans="2:14" ht="20.100000000000001" customHeight="1" x14ac:dyDescent="0.2">
      <c r="B22" s="1158" t="s">
        <v>2106</v>
      </c>
      <c r="C22" s="1882"/>
      <c r="D22" s="1883"/>
      <c r="E22" s="1884"/>
      <c r="F22" s="1884"/>
      <c r="G22" s="1884"/>
      <c r="H22" s="1884"/>
      <c r="I22" s="1884">
        <v>542</v>
      </c>
      <c r="J22" s="1884"/>
      <c r="K22" s="1884"/>
      <c r="L22" s="1881">
        <f t="shared" si="0"/>
        <v>542</v>
      </c>
      <c r="M22" s="1884">
        <v>217057</v>
      </c>
    </row>
    <row r="23" spans="2:14" ht="20.100000000000001" customHeight="1" x14ac:dyDescent="0.2">
      <c r="B23" s="1158" t="s">
        <v>2107</v>
      </c>
      <c r="C23" s="1882"/>
      <c r="D23" s="1883"/>
      <c r="E23" s="1884">
        <f>E15+E19+E22</f>
        <v>110209</v>
      </c>
      <c r="F23" s="1884">
        <f t="shared" ref="F23:I23" si="1">F15+F19+F22</f>
        <v>120464</v>
      </c>
      <c r="G23" s="1884">
        <f t="shared" si="1"/>
        <v>110209</v>
      </c>
      <c r="H23" s="1884"/>
      <c r="I23" s="1884">
        <f t="shared" si="1"/>
        <v>227312</v>
      </c>
      <c r="J23" s="1884"/>
      <c r="K23" s="1884"/>
      <c r="L23" s="1881">
        <f t="shared" si="0"/>
        <v>337521</v>
      </c>
      <c r="M23" s="1884">
        <f>M15+M19+M22</f>
        <v>434114</v>
      </c>
    </row>
    <row r="24" spans="2:14" ht="20.100000000000001" customHeight="1" x14ac:dyDescent="0.2">
      <c r="B24" s="1158" t="s">
        <v>2108</v>
      </c>
      <c r="C24" s="1882"/>
      <c r="D24" s="1883"/>
      <c r="E24" s="1884"/>
      <c r="F24" s="1884"/>
      <c r="G24" s="1884"/>
      <c r="H24" s="1884"/>
      <c r="I24" s="1884"/>
      <c r="J24" s="1884"/>
      <c r="K24" s="1884"/>
      <c r="L24" s="1881">
        <f t="shared" si="0"/>
        <v>0</v>
      </c>
      <c r="M24" s="1884"/>
    </row>
    <row r="25" spans="2:14" ht="20.100000000000001" customHeight="1" x14ac:dyDescent="0.2">
      <c r="B25" s="1158" t="s">
        <v>2109</v>
      </c>
      <c r="C25" s="1882">
        <v>84.126000000000005</v>
      </c>
      <c r="D25" s="1883" t="s">
        <v>2072</v>
      </c>
      <c r="E25" s="1884"/>
      <c r="F25" s="1884">
        <v>3800</v>
      </c>
      <c r="G25" s="1884"/>
      <c r="H25" s="1884"/>
      <c r="I25" s="1884">
        <v>3800</v>
      </c>
      <c r="J25" s="1884"/>
      <c r="K25" s="1884"/>
      <c r="L25" s="1881">
        <f t="shared" si="0"/>
        <v>3800</v>
      </c>
      <c r="M25" s="1884"/>
    </row>
    <row r="26" spans="2:14" ht="20.100000000000001" customHeight="1" x14ac:dyDescent="0.2">
      <c r="B26" s="1158" t="s">
        <v>2110</v>
      </c>
      <c r="C26" s="1882"/>
      <c r="D26" s="1883"/>
      <c r="E26" s="1884">
        <v>837702</v>
      </c>
      <c r="F26" s="1884">
        <v>1284604</v>
      </c>
      <c r="G26" s="1884">
        <v>1157395</v>
      </c>
      <c r="H26" s="1884"/>
      <c r="I26" s="1884">
        <v>1250753</v>
      </c>
      <c r="J26" s="1884"/>
      <c r="K26" s="1884">
        <v>26501</v>
      </c>
      <c r="L26" s="1881">
        <f t="shared" si="0"/>
        <v>2434649</v>
      </c>
      <c r="M26" s="1884"/>
    </row>
    <row r="27" spans="2:14" ht="12.75" customHeight="1" x14ac:dyDescent="0.2">
      <c r="B27" s="1160"/>
      <c r="C27" s="1161"/>
      <c r="D27" s="1162"/>
      <c r="E27" s="1163"/>
      <c r="F27" s="1163"/>
      <c r="G27" s="1163"/>
      <c r="H27" s="1163"/>
      <c r="I27" s="1163"/>
      <c r="J27" s="1163"/>
      <c r="K27" s="1163"/>
      <c r="L27" s="1163"/>
      <c r="M27" s="1163"/>
      <c r="N27" s="1159"/>
    </row>
    <row r="28" spans="2:14" x14ac:dyDescent="0.2">
      <c r="B28" s="1078"/>
      <c r="C28" s="1164"/>
      <c r="D28" s="1165"/>
      <c r="E28" s="1078"/>
      <c r="F28" s="1078"/>
      <c r="G28" s="1071"/>
      <c r="H28" s="1071"/>
      <c r="I28" s="1071"/>
      <c r="J28" s="1071"/>
      <c r="K28" s="1071"/>
      <c r="L28" s="1071"/>
      <c r="M28" s="1078"/>
      <c r="N28" s="1159"/>
    </row>
    <row r="29" spans="2:14" ht="13.5" customHeight="1" x14ac:dyDescent="0.2">
      <c r="B29" s="1103" t="s">
        <v>1714</v>
      </c>
      <c r="C29" s="1164"/>
      <c r="D29" s="1165"/>
      <c r="E29" s="1078"/>
      <c r="F29" s="1078"/>
      <c r="G29" s="1071"/>
      <c r="H29" s="1071"/>
      <c r="I29" s="1071"/>
      <c r="J29" s="1071"/>
      <c r="K29" s="1071"/>
      <c r="L29" s="1071"/>
      <c r="M29" s="1078"/>
      <c r="N29" s="1159"/>
    </row>
    <row r="30" spans="2:14" ht="8.25" customHeight="1" x14ac:dyDescent="0.2">
      <c r="B30" s="1103"/>
      <c r="C30" s="1164"/>
      <c r="D30" s="1165"/>
      <c r="E30" s="1078"/>
      <c r="F30" s="1078"/>
      <c r="G30" s="1071"/>
      <c r="H30" s="1071"/>
      <c r="I30" s="1071"/>
      <c r="J30" s="1071"/>
      <c r="K30" s="1071"/>
      <c r="L30" s="1071"/>
      <c r="M30" s="1078"/>
      <c r="N30" s="1159"/>
    </row>
    <row r="31" spans="2:14" x14ac:dyDescent="0.2">
      <c r="B31" s="1166" t="s">
        <v>1812</v>
      </c>
      <c r="C31" s="1167"/>
      <c r="D31" s="1168"/>
      <c r="E31" s="1169"/>
      <c r="F31" s="1169"/>
      <c r="G31" s="1169"/>
      <c r="H31" s="1169"/>
      <c r="I31" s="295"/>
      <c r="J31" s="295"/>
    </row>
    <row r="32" spans="2:14" x14ac:dyDescent="0.2">
      <c r="B32" s="1098"/>
      <c r="C32" s="1170"/>
      <c r="D32" s="1171"/>
      <c r="E32" s="1099"/>
      <c r="F32" s="1099"/>
      <c r="G32" s="295"/>
      <c r="H32" s="295"/>
      <c r="I32" s="295"/>
      <c r="J32" s="295"/>
    </row>
    <row r="33" spans="2:13" ht="13.5" customHeight="1" x14ac:dyDescent="0.2">
      <c r="B33" s="1097" t="s">
        <v>1237</v>
      </c>
      <c r="G33" s="295"/>
      <c r="H33" s="295"/>
      <c r="I33" s="295"/>
      <c r="J33" s="295"/>
    </row>
    <row r="34" spans="2:13" ht="13.5" customHeight="1" x14ac:dyDescent="0.2">
      <c r="B34" s="1174"/>
      <c r="C34" s="1175"/>
      <c r="D34" s="1176"/>
      <c r="E34" s="1118"/>
      <c r="F34" s="1118"/>
      <c r="G34" s="1118"/>
      <c r="H34" s="1118"/>
      <c r="I34" s="1118"/>
      <c r="J34" s="1118"/>
      <c r="K34" s="1177"/>
      <c r="L34" s="1177"/>
      <c r="M34" s="1118"/>
    </row>
    <row r="35" spans="2:13" ht="9.6" customHeight="1" x14ac:dyDescent="0.2">
      <c r="B35" s="1178"/>
      <c r="G35" s="295"/>
      <c r="H35" s="295"/>
      <c r="I35" s="295"/>
      <c r="J35" s="295"/>
    </row>
    <row r="36" spans="2:13" ht="11.25" customHeight="1" x14ac:dyDescent="0.2">
      <c r="B36" s="1179" t="s">
        <v>1715</v>
      </c>
      <c r="C36" s="1180"/>
      <c r="D36" s="1180"/>
      <c r="E36" s="1180"/>
      <c r="F36" s="1180"/>
      <c r="G36" s="1180"/>
      <c r="H36" s="1180"/>
      <c r="I36" s="1181"/>
      <c r="J36" s="1181"/>
      <c r="K36" s="1181"/>
      <c r="L36" s="1181"/>
      <c r="M36" s="1181"/>
    </row>
    <row r="37" spans="2:13" ht="11.25" customHeight="1" x14ac:dyDescent="0.2">
      <c r="B37" s="1182" t="s">
        <v>1570</v>
      </c>
      <c r="C37" s="1181"/>
      <c r="D37" s="1181"/>
      <c r="E37" s="1181"/>
      <c r="F37" s="1181"/>
      <c r="G37" s="1181"/>
      <c r="H37" s="1181"/>
      <c r="I37" s="1181"/>
      <c r="J37" s="1181"/>
      <c r="K37" s="1181"/>
      <c r="L37" s="1181"/>
      <c r="M37" s="1181"/>
    </row>
    <row r="38" spans="2:13" ht="3.95" customHeight="1" x14ac:dyDescent="0.2">
      <c r="B38" s="1182"/>
      <c r="C38" s="1181"/>
      <c r="D38" s="1181"/>
      <c r="E38" s="1181"/>
      <c r="F38" s="1181"/>
      <c r="G38" s="1181"/>
      <c r="H38" s="1181"/>
      <c r="I38" s="1181"/>
      <c r="J38" s="1181"/>
      <c r="K38" s="1181"/>
      <c r="L38" s="1181"/>
      <c r="M38" s="1181"/>
    </row>
    <row r="39" spans="2:13" ht="11.25" customHeight="1" x14ac:dyDescent="0.2">
      <c r="B39" s="1179" t="s">
        <v>1716</v>
      </c>
      <c r="C39" s="1181"/>
      <c r="D39" s="1181"/>
      <c r="E39" s="1181"/>
      <c r="F39" s="1181"/>
      <c r="G39" s="1181"/>
      <c r="H39" s="1181"/>
      <c r="I39" s="1181"/>
      <c r="J39" s="1181"/>
      <c r="K39" s="1181"/>
      <c r="L39" s="1181"/>
      <c r="M39" s="1181"/>
    </row>
    <row r="40" spans="2:13" ht="11.25" customHeight="1" x14ac:dyDescent="0.2">
      <c r="B40" s="1121" t="s">
        <v>1571</v>
      </c>
      <c r="C40" s="1183"/>
      <c r="D40" s="1184"/>
      <c r="E40" s="1121"/>
      <c r="F40" s="1121"/>
      <c r="G40" s="1121"/>
      <c r="H40" s="1121"/>
      <c r="I40" s="1121"/>
      <c r="J40" s="1121"/>
      <c r="K40" s="1185"/>
      <c r="L40" s="1185"/>
      <c r="M40" s="1121"/>
    </row>
    <row r="41" spans="2:13" ht="3.95" customHeight="1" x14ac:dyDescent="0.2">
      <c r="B41" s="1121"/>
      <c r="C41" s="1183"/>
      <c r="D41" s="1184"/>
      <c r="E41" s="1121"/>
      <c r="F41" s="1121"/>
      <c r="G41" s="1121"/>
      <c r="H41" s="1121"/>
      <c r="I41" s="1121"/>
      <c r="J41" s="1121"/>
      <c r="K41" s="1185"/>
      <c r="L41" s="1185"/>
      <c r="M41" s="1121"/>
    </row>
    <row r="42" spans="2:13" ht="11.25" customHeight="1" x14ac:dyDescent="0.2">
      <c r="B42" s="1186" t="s">
        <v>1717</v>
      </c>
      <c r="C42" s="1183"/>
      <c r="D42" s="1184"/>
      <c r="E42" s="1121"/>
      <c r="F42" s="1121"/>
      <c r="G42" s="1121"/>
      <c r="H42" s="1121"/>
      <c r="I42" s="1121"/>
      <c r="J42" s="1121"/>
      <c r="K42" s="1185"/>
      <c r="L42" s="1185"/>
      <c r="M42" s="1121"/>
    </row>
    <row r="43" spans="2:13" ht="3.95" customHeight="1" x14ac:dyDescent="0.2">
      <c r="B43" s="1186"/>
      <c r="C43" s="1183"/>
      <c r="D43" s="1184"/>
      <c r="E43" s="1121"/>
      <c r="F43" s="1121"/>
      <c r="G43" s="1121"/>
      <c r="H43" s="1121"/>
      <c r="I43" s="1121"/>
      <c r="J43" s="1121"/>
      <c r="K43" s="1185"/>
      <c r="L43" s="1185"/>
      <c r="M43" s="1121"/>
    </row>
    <row r="44" spans="2:13" ht="11.25" customHeight="1" x14ac:dyDescent="0.2">
      <c r="B44" s="1187" t="s">
        <v>1718</v>
      </c>
      <c r="C44" s="1183"/>
      <c r="D44" s="1184"/>
      <c r="E44" s="1121"/>
      <c r="F44" s="1121"/>
      <c r="G44" s="1121"/>
      <c r="H44" s="1121"/>
      <c r="I44" s="1121"/>
      <c r="J44" s="1121"/>
      <c r="K44" s="1185"/>
      <c r="L44" s="1185"/>
      <c r="M44" s="1121"/>
    </row>
    <row r="45" spans="2:13" ht="11.25" customHeight="1" x14ac:dyDescent="0.2">
      <c r="B45" s="1121" t="s">
        <v>1572</v>
      </c>
      <c r="G45" s="295"/>
      <c r="H45" s="295"/>
      <c r="I45" s="295"/>
      <c r="J45" s="295"/>
    </row>
    <row r="46" spans="2:13" ht="11.1" customHeight="1" x14ac:dyDescent="0.2">
      <c r="B46" s="1121"/>
      <c r="G46" s="295"/>
      <c r="H46" s="295"/>
      <c r="I46" s="295"/>
      <c r="J46" s="295"/>
    </row>
    <row r="47" spans="2:13" ht="11.1" customHeight="1" x14ac:dyDescent="0.2">
      <c r="B47" s="1121"/>
      <c r="G47" s="295"/>
      <c r="H47" s="295"/>
      <c r="I47" s="295"/>
      <c r="J47" s="295"/>
    </row>
    <row r="48" spans="2:13" ht="13.5" customHeight="1" x14ac:dyDescent="0.2">
      <c r="M48" s="1188"/>
    </row>
    <row r="49" spans="7:13" ht="13.5" customHeight="1" x14ac:dyDescent="0.2">
      <c r="M49" s="1188"/>
    </row>
    <row r="50" spans="7:13" ht="13.5" customHeight="1" x14ac:dyDescent="0.2">
      <c r="M50" s="1188"/>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88C0-57FA-4085-AAC6-7CC61965A8F2}">
  <dimension ref="A1:N154"/>
  <sheetViews>
    <sheetView showGridLines="0" topLeftCell="A4" zoomScaleNormal="100" workbookViewId="0">
      <selection activeCell="I29" sqref="I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Canton Union SD 66</v>
      </c>
      <c r="C1" s="2664"/>
      <c r="D1" s="2664"/>
      <c r="E1" s="2664"/>
      <c r="F1" s="2664"/>
      <c r="G1" s="2664"/>
      <c r="H1" s="2664"/>
      <c r="I1" s="2664"/>
      <c r="J1" s="2664"/>
      <c r="K1" s="2664"/>
      <c r="L1" s="2664"/>
      <c r="M1" s="2664"/>
    </row>
    <row r="2" spans="2:14" ht="15" x14ac:dyDescent="0.2">
      <c r="B2" s="2665">
        <f>'Single Audit Cover'!E7</f>
        <v>26029066025</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2068</v>
      </c>
      <c r="C11" s="1879"/>
      <c r="D11" s="1880"/>
      <c r="E11" s="1881"/>
      <c r="F11" s="1881"/>
      <c r="G11" s="1881"/>
      <c r="H11" s="1881"/>
      <c r="I11" s="1881"/>
      <c r="J11" s="1881"/>
      <c r="K11" s="1881"/>
      <c r="L11" s="1881">
        <f>+G11+I11+K11</f>
        <v>0</v>
      </c>
      <c r="M11" s="1881"/>
    </row>
    <row r="12" spans="2:14" ht="20.100000000000001" customHeight="1" x14ac:dyDescent="0.2">
      <c r="B12" s="1158" t="s">
        <v>2111</v>
      </c>
      <c r="C12" s="1882"/>
      <c r="D12" s="1883"/>
      <c r="E12" s="1884"/>
      <c r="F12" s="1884"/>
      <c r="G12" s="1884"/>
      <c r="H12" s="1884"/>
      <c r="I12" s="1884"/>
      <c r="J12" s="1884"/>
      <c r="K12" s="1884"/>
      <c r="L12" s="1881">
        <f t="shared" ref="L12:L26" si="0">+G12+I12+K12</f>
        <v>0</v>
      </c>
      <c r="M12" s="1884"/>
    </row>
    <row r="13" spans="2:14" ht="20.100000000000001" customHeight="1" x14ac:dyDescent="0.2">
      <c r="B13" s="1158" t="s">
        <v>2112</v>
      </c>
      <c r="C13" s="1882"/>
      <c r="D13" s="1883"/>
      <c r="E13" s="1884"/>
      <c r="F13" s="1884"/>
      <c r="G13" s="1884"/>
      <c r="H13" s="1884"/>
      <c r="I13" s="1884"/>
      <c r="J13" s="1884"/>
      <c r="K13" s="1884"/>
      <c r="L13" s="1881">
        <f t="shared" si="0"/>
        <v>0</v>
      </c>
      <c r="M13" s="1884"/>
    </row>
    <row r="14" spans="2:14" ht="20.100000000000001" customHeight="1" x14ac:dyDescent="0.2">
      <c r="B14" s="1158" t="s">
        <v>2115</v>
      </c>
      <c r="C14" s="1882">
        <v>10.555</v>
      </c>
      <c r="D14" s="1883" t="s">
        <v>2073</v>
      </c>
      <c r="E14" s="1884"/>
      <c r="F14" s="1884">
        <v>25803</v>
      </c>
      <c r="G14" s="1884"/>
      <c r="H14" s="1884"/>
      <c r="I14" s="1884">
        <v>25803</v>
      </c>
      <c r="J14" s="1884"/>
      <c r="K14" s="1884"/>
      <c r="L14" s="1881">
        <f t="shared" si="0"/>
        <v>25803</v>
      </c>
      <c r="M14" s="1884"/>
    </row>
    <row r="15" spans="2:14" ht="20.100000000000001" customHeight="1" x14ac:dyDescent="0.2">
      <c r="B15" s="1158" t="s">
        <v>2113</v>
      </c>
      <c r="C15" s="1882"/>
      <c r="D15" s="1883"/>
      <c r="E15" s="1884"/>
      <c r="F15" s="1884"/>
      <c r="G15" s="1884"/>
      <c r="H15" s="1884"/>
      <c r="I15" s="1884"/>
      <c r="J15" s="1884"/>
      <c r="K15" s="1884"/>
      <c r="L15" s="1881">
        <f t="shared" si="0"/>
        <v>0</v>
      </c>
      <c r="M15" s="1884"/>
    </row>
    <row r="16" spans="2:14" ht="20.100000000000001" customHeight="1" x14ac:dyDescent="0.2">
      <c r="B16" s="1158" t="s">
        <v>2114</v>
      </c>
      <c r="C16" s="1882">
        <v>10.555</v>
      </c>
      <c r="D16" s="1883" t="s">
        <v>2073</v>
      </c>
      <c r="E16" s="1884"/>
      <c r="F16" s="1884">
        <v>42084</v>
      </c>
      <c r="G16" s="1884"/>
      <c r="H16" s="1884"/>
      <c r="I16" s="1884">
        <v>42084</v>
      </c>
      <c r="J16" s="1884"/>
      <c r="K16" s="1884"/>
      <c r="L16" s="1881">
        <f t="shared" si="0"/>
        <v>42084</v>
      </c>
      <c r="M16" s="1884"/>
    </row>
    <row r="17" spans="1:14" ht="20.100000000000001" customHeight="1" x14ac:dyDescent="0.2">
      <c r="B17" s="1158" t="s">
        <v>2116</v>
      </c>
      <c r="C17" s="1882">
        <v>10.555</v>
      </c>
      <c r="D17" s="1883" t="s">
        <v>2074</v>
      </c>
      <c r="E17" s="1884">
        <v>396863</v>
      </c>
      <c r="F17" s="1884">
        <v>88442</v>
      </c>
      <c r="G17" s="1884">
        <v>396863</v>
      </c>
      <c r="H17" s="1884"/>
      <c r="I17" s="1884">
        <v>88442</v>
      </c>
      <c r="J17" s="1884"/>
      <c r="K17" s="1884"/>
      <c r="L17" s="1881">
        <f t="shared" si="0"/>
        <v>485305</v>
      </c>
      <c r="M17" s="1884"/>
    </row>
    <row r="18" spans="1:14" ht="20.100000000000001" customHeight="1" x14ac:dyDescent="0.2">
      <c r="B18" s="1158" t="s">
        <v>2116</v>
      </c>
      <c r="C18" s="1882">
        <v>10.555</v>
      </c>
      <c r="D18" s="1883" t="s">
        <v>2075</v>
      </c>
      <c r="E18" s="1884"/>
      <c r="F18" s="1884">
        <v>297122</v>
      </c>
      <c r="G18" s="1884"/>
      <c r="H18" s="1884"/>
      <c r="I18" s="1884">
        <v>297122</v>
      </c>
      <c r="J18" s="1884"/>
      <c r="K18" s="1884"/>
      <c r="L18" s="1881">
        <f t="shared" si="0"/>
        <v>297122</v>
      </c>
      <c r="M18" s="1884"/>
    </row>
    <row r="19" spans="1:14" ht="20.100000000000001" customHeight="1" x14ac:dyDescent="0.2">
      <c r="B19" s="1158" t="s">
        <v>2117</v>
      </c>
      <c r="C19" s="1882"/>
      <c r="D19" s="1883" t="s">
        <v>2118</v>
      </c>
      <c r="E19" s="1884">
        <v>7120</v>
      </c>
      <c r="F19" s="1884"/>
      <c r="G19" s="1884">
        <v>7120</v>
      </c>
      <c r="H19" s="1884"/>
      <c r="I19" s="1884"/>
      <c r="J19" s="1884"/>
      <c r="K19" s="1884"/>
      <c r="L19" s="1881">
        <f t="shared" si="0"/>
        <v>7120</v>
      </c>
      <c r="M19" s="1884"/>
    </row>
    <row r="20" spans="1:14" ht="20.100000000000001" customHeight="1" x14ac:dyDescent="0.2">
      <c r="B20" s="1158" t="s">
        <v>2119</v>
      </c>
      <c r="C20" s="1882"/>
      <c r="D20" s="1883"/>
      <c r="E20" s="1884">
        <f>SUM(E16:E19)</f>
        <v>403983</v>
      </c>
      <c r="F20" s="1884">
        <f t="shared" ref="F20:I20" si="1">SUM(F16:F19)</f>
        <v>427648</v>
      </c>
      <c r="G20" s="1884">
        <f t="shared" si="1"/>
        <v>403983</v>
      </c>
      <c r="H20" s="1884"/>
      <c r="I20" s="1884">
        <f t="shared" si="1"/>
        <v>427648</v>
      </c>
      <c r="J20" s="1884"/>
      <c r="K20" s="1884"/>
      <c r="L20" s="1881">
        <f t="shared" si="0"/>
        <v>831631</v>
      </c>
      <c r="M20" s="1884"/>
    </row>
    <row r="21" spans="1:14" ht="20.100000000000001" customHeight="1" x14ac:dyDescent="0.2">
      <c r="B21" s="1158" t="s">
        <v>2120</v>
      </c>
      <c r="C21" s="1882">
        <v>10.553000000000001</v>
      </c>
      <c r="D21" s="1883" t="s">
        <v>2121</v>
      </c>
      <c r="E21" s="1884">
        <v>110865</v>
      </c>
      <c r="F21" s="1884">
        <v>24070</v>
      </c>
      <c r="G21" s="1884">
        <v>110865</v>
      </c>
      <c r="H21" s="1884"/>
      <c r="I21" s="1884">
        <v>24071</v>
      </c>
      <c r="J21" s="1884"/>
      <c r="K21" s="1884"/>
      <c r="L21" s="1881">
        <f t="shared" si="0"/>
        <v>134936</v>
      </c>
      <c r="M21" s="1884"/>
    </row>
    <row r="22" spans="1:14" ht="20.100000000000001" customHeight="1" x14ac:dyDescent="0.2">
      <c r="B22" s="1158" t="s">
        <v>2120</v>
      </c>
      <c r="C22" s="1882">
        <v>10.553000000000001</v>
      </c>
      <c r="D22" s="1883" t="s">
        <v>2122</v>
      </c>
      <c r="E22" s="1884"/>
      <c r="F22" s="1884">
        <v>87537</v>
      </c>
      <c r="G22" s="1884"/>
      <c r="H22" s="1884"/>
      <c r="I22" s="1884">
        <v>87537</v>
      </c>
      <c r="J22" s="1884"/>
      <c r="K22" s="1884"/>
      <c r="L22" s="1881">
        <f t="shared" si="0"/>
        <v>87537</v>
      </c>
      <c r="M22" s="1884"/>
    </row>
    <row r="23" spans="1:14" ht="20.100000000000001" customHeight="1" x14ac:dyDescent="0.2">
      <c r="B23" s="1158" t="s">
        <v>2123</v>
      </c>
      <c r="C23" s="1882"/>
      <c r="D23" s="1883"/>
      <c r="E23" s="1884">
        <f>SUM(E21:E22)</f>
        <v>110865</v>
      </c>
      <c r="F23" s="1884">
        <f t="shared" ref="F23:I23" si="2">SUM(F21:F22)</f>
        <v>111607</v>
      </c>
      <c r="G23" s="1884">
        <f t="shared" si="2"/>
        <v>110865</v>
      </c>
      <c r="H23" s="1884"/>
      <c r="I23" s="1884">
        <f t="shared" si="2"/>
        <v>111608</v>
      </c>
      <c r="J23" s="1884"/>
      <c r="K23" s="1884"/>
      <c r="L23" s="1881">
        <f t="shared" si="0"/>
        <v>222473</v>
      </c>
      <c r="M23" s="1884"/>
    </row>
    <row r="24" spans="1:14" ht="20.100000000000001" customHeight="1" x14ac:dyDescent="0.2">
      <c r="B24" s="1158" t="s">
        <v>2124</v>
      </c>
      <c r="C24" s="1882">
        <v>10.558999999999999</v>
      </c>
      <c r="D24" s="1883" t="s">
        <v>2125</v>
      </c>
      <c r="E24" s="1884"/>
      <c r="F24" s="1884">
        <v>167776</v>
      </c>
      <c r="G24" s="1884"/>
      <c r="H24" s="1884"/>
      <c r="I24" s="1884">
        <v>167776</v>
      </c>
      <c r="J24" s="1884"/>
      <c r="K24" s="1884"/>
      <c r="L24" s="1881">
        <f t="shared" si="0"/>
        <v>167776</v>
      </c>
      <c r="M24" s="1884"/>
    </row>
    <row r="25" spans="1:14" ht="20.100000000000001" customHeight="1" x14ac:dyDescent="0.2">
      <c r="A25" s="295">
        <v>0</v>
      </c>
      <c r="B25" s="1158" t="s">
        <v>2126</v>
      </c>
      <c r="C25" s="1882"/>
      <c r="D25" s="1883"/>
      <c r="E25" s="1884">
        <f>E14+E20+E23+E24</f>
        <v>514848</v>
      </c>
      <c r="F25" s="1884">
        <f t="shared" ref="F25:I25" si="3">F14+F20+F23+F24</f>
        <v>732834</v>
      </c>
      <c r="G25" s="1884">
        <f t="shared" si="3"/>
        <v>514848</v>
      </c>
      <c r="H25" s="1884"/>
      <c r="I25" s="1884">
        <f t="shared" si="3"/>
        <v>732835</v>
      </c>
      <c r="J25" s="1884"/>
      <c r="K25" s="1884"/>
      <c r="L25" s="1881">
        <f t="shared" si="0"/>
        <v>1247683</v>
      </c>
      <c r="M25" s="1884"/>
    </row>
    <row r="26" spans="1:14" ht="20.100000000000001" customHeight="1" x14ac:dyDescent="0.2">
      <c r="B26" s="1158" t="s">
        <v>2127</v>
      </c>
      <c r="C26" s="1882">
        <v>10.558</v>
      </c>
      <c r="D26" s="1883" t="s">
        <v>2128</v>
      </c>
      <c r="E26" s="1884">
        <v>6230</v>
      </c>
      <c r="F26" s="1884">
        <v>808</v>
      </c>
      <c r="G26" s="1884">
        <v>6230</v>
      </c>
      <c r="H26" s="1884"/>
      <c r="I26" s="1884">
        <v>808</v>
      </c>
      <c r="J26" s="1884"/>
      <c r="K26" s="1884"/>
      <c r="L26" s="1881">
        <f t="shared" si="0"/>
        <v>7038</v>
      </c>
      <c r="M26" s="1884"/>
    </row>
    <row r="27" spans="1:14" ht="20.100000000000001" customHeight="1" x14ac:dyDescent="0.2">
      <c r="B27" s="1158" t="s">
        <v>2127</v>
      </c>
      <c r="C27" s="1882">
        <v>10.558</v>
      </c>
      <c r="D27" s="1883" t="s">
        <v>2129</v>
      </c>
      <c r="E27" s="1884"/>
      <c r="F27" s="1884">
        <v>2522</v>
      </c>
      <c r="G27" s="1884"/>
      <c r="H27" s="1884"/>
      <c r="I27" s="1884">
        <v>2522</v>
      </c>
      <c r="J27" s="1884"/>
      <c r="K27" s="1884"/>
      <c r="L27" s="1881">
        <f>+G27+I27+K27</f>
        <v>2522</v>
      </c>
      <c r="M27" s="1884"/>
      <c r="N27" s="1159"/>
    </row>
    <row r="28" spans="1:14" ht="20.100000000000001" customHeight="1" x14ac:dyDescent="0.2">
      <c r="B28" s="1158" t="s">
        <v>2130</v>
      </c>
      <c r="C28" s="1882"/>
      <c r="D28" s="1883"/>
      <c r="E28" s="1884">
        <v>521078</v>
      </c>
      <c r="F28" s="1884">
        <v>736164</v>
      </c>
      <c r="G28" s="1884">
        <v>521078</v>
      </c>
      <c r="H28" s="1884"/>
      <c r="I28" s="1884">
        <v>736165</v>
      </c>
      <c r="J28" s="1884"/>
      <c r="K28" s="1884"/>
      <c r="L28" s="1881">
        <f>+G28+I28+K28</f>
        <v>1257243</v>
      </c>
      <c r="M28" s="1884"/>
      <c r="N28" s="1159"/>
    </row>
    <row r="30" spans="1:14" ht="12.75" customHeight="1" x14ac:dyDescent="0.2">
      <c r="B30" s="1160"/>
      <c r="C30" s="1161"/>
      <c r="D30" s="1162"/>
      <c r="E30" s="1163"/>
      <c r="F30" s="1163"/>
      <c r="G30" s="1163"/>
      <c r="H30" s="1163"/>
      <c r="I30" s="1163"/>
      <c r="J30" s="1163"/>
      <c r="K30" s="1163"/>
      <c r="L30" s="1163"/>
      <c r="M30" s="1163"/>
      <c r="N30" s="1159"/>
    </row>
    <row r="31" spans="1:14" x14ac:dyDescent="0.2">
      <c r="B31" s="1078"/>
      <c r="C31" s="1164"/>
      <c r="D31" s="1165"/>
      <c r="E31" s="1078"/>
      <c r="F31" s="1078"/>
      <c r="G31" s="1071"/>
      <c r="H31" s="1071"/>
      <c r="I31" s="1071"/>
      <c r="J31" s="1071"/>
      <c r="K31" s="1071"/>
      <c r="L31" s="1071"/>
      <c r="M31" s="1078"/>
      <c r="N31" s="1159"/>
    </row>
    <row r="32" spans="1:14" ht="13.5" customHeight="1" x14ac:dyDescent="0.2">
      <c r="B32" s="1103" t="s">
        <v>1714</v>
      </c>
      <c r="C32" s="1164"/>
      <c r="D32" s="1165"/>
      <c r="E32" s="1078"/>
      <c r="F32" s="1078"/>
      <c r="G32" s="1071"/>
      <c r="H32" s="1071"/>
      <c r="I32" s="1071"/>
      <c r="J32" s="1071"/>
      <c r="K32" s="1071"/>
      <c r="L32" s="1071"/>
      <c r="M32" s="1078"/>
      <c r="N32" s="1159"/>
    </row>
    <row r="33" spans="2:14" ht="8.25" customHeight="1" x14ac:dyDescent="0.2">
      <c r="B33" s="1103"/>
      <c r="C33" s="1164"/>
      <c r="D33" s="1165"/>
      <c r="E33" s="1078"/>
      <c r="F33" s="1078"/>
      <c r="G33" s="1071"/>
      <c r="H33" s="1071"/>
      <c r="I33" s="1071"/>
      <c r="J33" s="1071"/>
      <c r="K33" s="1071"/>
      <c r="L33" s="1071"/>
      <c r="M33" s="1078"/>
      <c r="N33" s="1159"/>
    </row>
    <row r="34" spans="2:14" x14ac:dyDescent="0.2">
      <c r="B34" s="1166" t="s">
        <v>1812</v>
      </c>
      <c r="C34" s="1167"/>
      <c r="D34" s="1168"/>
      <c r="E34" s="1169"/>
      <c r="F34" s="1169"/>
      <c r="G34" s="1169"/>
      <c r="H34" s="1169"/>
      <c r="I34" s="295"/>
      <c r="J34" s="295"/>
    </row>
    <row r="35" spans="2:14" x14ac:dyDescent="0.2">
      <c r="B35" s="1098"/>
      <c r="C35" s="1170"/>
      <c r="D35" s="1171"/>
      <c r="E35" s="1099"/>
      <c r="F35" s="1099"/>
      <c r="G35" s="295"/>
      <c r="H35" s="295"/>
      <c r="I35" s="295"/>
      <c r="J35" s="295"/>
    </row>
    <row r="36" spans="2:14" ht="13.5" customHeight="1" x14ac:dyDescent="0.2">
      <c r="B36" s="1097" t="s">
        <v>1237</v>
      </c>
      <c r="G36" s="295"/>
      <c r="H36" s="295"/>
      <c r="I36" s="295"/>
      <c r="J36" s="295"/>
    </row>
    <row r="37" spans="2:14" ht="13.5" customHeight="1" x14ac:dyDescent="0.2">
      <c r="B37" s="1174"/>
      <c r="C37" s="1175"/>
      <c r="D37" s="1176"/>
      <c r="E37" s="1118"/>
      <c r="F37" s="1118"/>
      <c r="G37" s="1118"/>
      <c r="H37" s="1118"/>
      <c r="I37" s="1118"/>
      <c r="J37" s="1118"/>
      <c r="K37" s="1177"/>
      <c r="L37" s="1177"/>
      <c r="M37" s="1118"/>
    </row>
    <row r="38" spans="2:14" ht="9.6" customHeight="1" x14ac:dyDescent="0.2">
      <c r="B38" s="1178"/>
      <c r="G38" s="295"/>
      <c r="H38" s="295"/>
      <c r="I38" s="295"/>
      <c r="J38" s="295"/>
    </row>
    <row r="39" spans="2:14" ht="11.25" customHeight="1" x14ac:dyDescent="0.2">
      <c r="B39" s="1179" t="s">
        <v>1715</v>
      </c>
      <c r="C39" s="1180"/>
      <c r="D39" s="1180"/>
      <c r="E39" s="1180"/>
      <c r="F39" s="1180"/>
      <c r="G39" s="1180"/>
      <c r="H39" s="1180"/>
      <c r="I39" s="1181"/>
      <c r="J39" s="1181"/>
      <c r="K39" s="1181"/>
      <c r="L39" s="1181"/>
      <c r="M39" s="1181"/>
    </row>
    <row r="40" spans="2:14" ht="11.25" customHeight="1" x14ac:dyDescent="0.2">
      <c r="B40" s="1182" t="s">
        <v>1570</v>
      </c>
      <c r="C40" s="1181"/>
      <c r="D40" s="1181"/>
      <c r="E40" s="1181"/>
      <c r="F40" s="1181"/>
      <c r="G40" s="1181"/>
      <c r="H40" s="1181"/>
      <c r="I40" s="1181"/>
      <c r="J40" s="1181"/>
      <c r="K40" s="1181"/>
      <c r="L40" s="1181"/>
      <c r="M40" s="1181"/>
    </row>
    <row r="41" spans="2:14" ht="3.95" customHeight="1" x14ac:dyDescent="0.2">
      <c r="B41" s="1182"/>
      <c r="C41" s="1181"/>
      <c r="D41" s="1181"/>
      <c r="E41" s="1181"/>
      <c r="F41" s="1181"/>
      <c r="G41" s="1181"/>
      <c r="H41" s="1181"/>
      <c r="I41" s="1181"/>
      <c r="J41" s="1181"/>
      <c r="K41" s="1181"/>
      <c r="L41" s="1181"/>
      <c r="M41" s="1181"/>
    </row>
    <row r="42" spans="2:14" ht="11.25" customHeight="1" x14ac:dyDescent="0.2">
      <c r="B42" s="1179" t="s">
        <v>1716</v>
      </c>
      <c r="C42" s="1181"/>
      <c r="D42" s="1181"/>
      <c r="E42" s="1181"/>
      <c r="F42" s="1181"/>
      <c r="G42" s="1181"/>
      <c r="H42" s="1181"/>
      <c r="I42" s="1181"/>
      <c r="J42" s="1181"/>
      <c r="K42" s="1181"/>
      <c r="L42" s="1181"/>
      <c r="M42" s="1181"/>
    </row>
    <row r="43" spans="2:14" ht="11.25" customHeight="1" x14ac:dyDescent="0.2">
      <c r="B43" s="1121" t="s">
        <v>1571</v>
      </c>
      <c r="C43" s="1183"/>
      <c r="D43" s="1184"/>
      <c r="E43" s="1121"/>
      <c r="F43" s="1121"/>
      <c r="G43" s="1121"/>
      <c r="H43" s="1121"/>
      <c r="I43" s="1121"/>
      <c r="J43" s="1121"/>
      <c r="K43" s="1185"/>
      <c r="L43" s="1185"/>
      <c r="M43" s="1121"/>
    </row>
    <row r="44" spans="2:14" ht="3.95" customHeight="1" x14ac:dyDescent="0.2">
      <c r="B44" s="1121"/>
      <c r="C44" s="1183"/>
      <c r="D44" s="1184"/>
      <c r="E44" s="1121"/>
      <c r="F44" s="1121"/>
      <c r="G44" s="1121"/>
      <c r="H44" s="1121"/>
      <c r="I44" s="1121"/>
      <c r="J44" s="1121"/>
      <c r="K44" s="1185"/>
      <c r="L44" s="1185"/>
      <c r="M44" s="1121"/>
    </row>
    <row r="45" spans="2:14" ht="11.25" customHeight="1" x14ac:dyDescent="0.2">
      <c r="B45" s="1186" t="s">
        <v>1717</v>
      </c>
      <c r="C45" s="1183"/>
      <c r="D45" s="1184"/>
      <c r="E45" s="1121"/>
      <c r="F45" s="1121"/>
      <c r="G45" s="1121"/>
      <c r="H45" s="1121"/>
      <c r="I45" s="1121"/>
      <c r="J45" s="1121"/>
      <c r="K45" s="1185"/>
      <c r="L45" s="1185"/>
      <c r="M45" s="1121"/>
    </row>
    <row r="46" spans="2:14" ht="3.95" customHeight="1" x14ac:dyDescent="0.2">
      <c r="B46" s="1186"/>
      <c r="C46" s="1183"/>
      <c r="D46" s="1184"/>
      <c r="E46" s="1121"/>
      <c r="F46" s="1121"/>
      <c r="G46" s="1121"/>
      <c r="H46" s="1121"/>
      <c r="I46" s="1121"/>
      <c r="J46" s="1121"/>
      <c r="K46" s="1185"/>
      <c r="L46" s="1185"/>
      <c r="M46" s="1121"/>
    </row>
    <row r="47" spans="2:14" ht="11.25" customHeight="1" x14ac:dyDescent="0.2">
      <c r="B47" s="1187" t="s">
        <v>1718</v>
      </c>
      <c r="C47" s="1183"/>
      <c r="D47" s="1184"/>
      <c r="E47" s="1121"/>
      <c r="F47" s="1121"/>
      <c r="G47" s="1121"/>
      <c r="H47" s="1121"/>
      <c r="I47" s="1121"/>
      <c r="J47" s="1121"/>
      <c r="K47" s="1185"/>
      <c r="L47" s="1185"/>
      <c r="M47" s="1121"/>
    </row>
    <row r="48" spans="2:14" ht="11.25" customHeight="1" x14ac:dyDescent="0.2">
      <c r="B48" s="1121" t="s">
        <v>1572</v>
      </c>
      <c r="G48" s="295"/>
      <c r="H48" s="295"/>
      <c r="I48" s="295"/>
      <c r="J48" s="295"/>
    </row>
    <row r="49" spans="2:13" ht="11.1" customHeight="1" x14ac:dyDescent="0.2">
      <c r="B49" s="1121"/>
      <c r="G49" s="295"/>
      <c r="H49" s="295"/>
      <c r="I49" s="295"/>
      <c r="J49" s="295"/>
    </row>
    <row r="50" spans="2:13" ht="11.1" customHeight="1" x14ac:dyDescent="0.2">
      <c r="B50" s="1121"/>
      <c r="G50" s="295"/>
      <c r="H50" s="295"/>
      <c r="I50" s="295"/>
      <c r="J50" s="295"/>
    </row>
    <row r="51" spans="2:13" ht="13.5" customHeight="1" x14ac:dyDescent="0.2">
      <c r="M51" s="1188"/>
    </row>
    <row r="52" spans="2:13" ht="13.5" customHeight="1" x14ac:dyDescent="0.2">
      <c r="M52" s="1188"/>
    </row>
    <row r="53" spans="2:13" ht="13.5" customHeight="1" x14ac:dyDescent="0.2">
      <c r="M53" s="1188"/>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1494-48EE-4FCC-8FEE-16D7DEC3972D}">
  <dimension ref="A1:N154"/>
  <sheetViews>
    <sheetView showGridLines="0" topLeftCell="A4" zoomScaleNormal="100" workbookViewId="0">
      <selection activeCell="K17" sqref="K1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Canton Union SD 66</v>
      </c>
      <c r="C1" s="2664"/>
      <c r="D1" s="2664"/>
      <c r="E1" s="2664"/>
      <c r="F1" s="2664"/>
      <c r="G1" s="2664"/>
      <c r="H1" s="2664"/>
      <c r="I1" s="2664"/>
      <c r="J1" s="2664"/>
      <c r="K1" s="2664"/>
      <c r="L1" s="2664"/>
      <c r="M1" s="2664"/>
    </row>
    <row r="2" spans="2:14" ht="15" x14ac:dyDescent="0.2">
      <c r="B2" s="2665">
        <f>'Single Audit Cover'!E7</f>
        <v>26029066025</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2131</v>
      </c>
      <c r="C11" s="1879"/>
      <c r="D11" s="1880"/>
      <c r="E11" s="1881"/>
      <c r="F11" s="1881"/>
      <c r="G11" s="1881"/>
      <c r="H11" s="1881"/>
      <c r="I11" s="1881"/>
      <c r="J11" s="1881"/>
      <c r="K11" s="1881"/>
      <c r="L11" s="1881">
        <f>+G11+I11+K11</f>
        <v>0</v>
      </c>
      <c r="M11" s="1881"/>
    </row>
    <row r="12" spans="2:14" ht="20.100000000000001" customHeight="1" x14ac:dyDescent="0.2">
      <c r="B12" s="1158" t="s">
        <v>2132</v>
      </c>
      <c r="C12" s="1882"/>
      <c r="D12" s="1883"/>
      <c r="E12" s="1884"/>
      <c r="F12" s="1884"/>
      <c r="G12" s="1884"/>
      <c r="H12" s="1884"/>
      <c r="I12" s="1884"/>
      <c r="J12" s="1884"/>
      <c r="K12" s="1884"/>
      <c r="L12" s="1881">
        <f t="shared" ref="L12:L26" si="0">+G12+I12+K12</f>
        <v>0</v>
      </c>
      <c r="M12" s="1884"/>
    </row>
    <row r="13" spans="2:14" ht="20.100000000000001" customHeight="1" x14ac:dyDescent="0.2">
      <c r="B13" s="1158" t="s">
        <v>2133</v>
      </c>
      <c r="C13" s="1882">
        <v>93.778000000000006</v>
      </c>
      <c r="D13" s="1883" t="s">
        <v>2134</v>
      </c>
      <c r="E13" s="1884">
        <v>21008</v>
      </c>
      <c r="F13" s="1884">
        <v>8175</v>
      </c>
      <c r="G13" s="1884">
        <v>29183</v>
      </c>
      <c r="H13" s="1884"/>
      <c r="I13" s="1884"/>
      <c r="J13" s="1884"/>
      <c r="K13" s="1884"/>
      <c r="L13" s="1881">
        <f t="shared" si="0"/>
        <v>29183</v>
      </c>
      <c r="M13" s="1884"/>
    </row>
    <row r="14" spans="2:14" ht="20.100000000000001" customHeight="1" x14ac:dyDescent="0.2">
      <c r="B14" s="1158" t="s">
        <v>2133</v>
      </c>
      <c r="C14" s="1882">
        <v>93.778000000000006</v>
      </c>
      <c r="D14" s="1883" t="s">
        <v>2135</v>
      </c>
      <c r="E14" s="1884"/>
      <c r="F14" s="1884">
        <v>24042</v>
      </c>
      <c r="G14" s="1884"/>
      <c r="H14" s="1884"/>
      <c r="I14" s="1884">
        <v>38396</v>
      </c>
      <c r="J14" s="1884"/>
      <c r="K14" s="1884"/>
      <c r="L14" s="1881">
        <f t="shared" si="0"/>
        <v>38396</v>
      </c>
      <c r="M14" s="1884"/>
    </row>
    <row r="15" spans="2:14" ht="20.100000000000001" customHeight="1" x14ac:dyDescent="0.2">
      <c r="B15" s="1158" t="s">
        <v>2136</v>
      </c>
      <c r="C15" s="1882"/>
      <c r="D15" s="1883"/>
      <c r="E15" s="1884">
        <f>SUM(E13:E14)</f>
        <v>21008</v>
      </c>
      <c r="F15" s="1884">
        <f t="shared" ref="F15:I15" si="1">SUM(F13:F14)</f>
        <v>32217</v>
      </c>
      <c r="G15" s="1884">
        <f t="shared" si="1"/>
        <v>29183</v>
      </c>
      <c r="H15" s="1884"/>
      <c r="I15" s="1884">
        <f t="shared" si="1"/>
        <v>38396</v>
      </c>
      <c r="J15" s="1884"/>
      <c r="K15" s="1884"/>
      <c r="L15" s="1881">
        <f t="shared" si="0"/>
        <v>67579</v>
      </c>
      <c r="M15" s="1884"/>
    </row>
    <row r="16" spans="2:14" ht="20.100000000000001" customHeight="1" x14ac:dyDescent="0.2">
      <c r="B16" s="1158" t="s">
        <v>2137</v>
      </c>
      <c r="C16" s="1882"/>
      <c r="D16" s="1883"/>
      <c r="E16" s="1884">
        <v>1379788</v>
      </c>
      <c r="F16" s="1884">
        <v>2052985</v>
      </c>
      <c r="G16" s="1884">
        <v>1707656</v>
      </c>
      <c r="I16" s="1884">
        <v>2025314</v>
      </c>
      <c r="J16" s="1884"/>
      <c r="K16" s="1884">
        <v>26501</v>
      </c>
      <c r="L16" s="1881">
        <f>+G16+I16+K16</f>
        <v>3759471</v>
      </c>
      <c r="M16" s="1884"/>
    </row>
    <row r="17" spans="1:14" ht="20.100000000000001" customHeight="1" x14ac:dyDescent="0.2">
      <c r="B17" s="1158"/>
      <c r="C17" s="1882"/>
      <c r="D17" s="1883"/>
      <c r="E17" s="1884"/>
      <c r="F17" s="1884"/>
      <c r="G17" s="1884"/>
      <c r="H17" s="1884"/>
      <c r="I17" s="1884"/>
      <c r="J17" s="1884"/>
      <c r="K17" s="1884"/>
      <c r="L17" s="1881">
        <f t="shared" si="0"/>
        <v>0</v>
      </c>
      <c r="M17" s="1884"/>
    </row>
    <row r="18" spans="1:14" ht="20.100000000000001" customHeight="1" x14ac:dyDescent="0.2">
      <c r="B18" s="1158"/>
      <c r="C18" s="1882"/>
      <c r="D18" s="1883"/>
      <c r="E18" s="1884"/>
      <c r="F18" s="1884"/>
      <c r="G18" s="1884"/>
      <c r="H18" s="1884"/>
      <c r="I18" s="1884"/>
      <c r="J18" s="1884"/>
      <c r="K18" s="1884"/>
      <c r="L18" s="1881">
        <f t="shared" si="0"/>
        <v>0</v>
      </c>
      <c r="M18" s="1884"/>
    </row>
    <row r="19" spans="1:14" ht="20.100000000000001" customHeight="1" x14ac:dyDescent="0.2">
      <c r="B19" s="1158"/>
      <c r="C19" s="1882"/>
      <c r="D19" s="1883"/>
      <c r="E19" s="1884"/>
      <c r="F19" s="1884"/>
      <c r="G19" s="1884"/>
      <c r="H19" s="1884"/>
      <c r="I19" s="1884"/>
      <c r="J19" s="1884"/>
      <c r="K19" s="1884"/>
      <c r="L19" s="1881">
        <f t="shared" si="0"/>
        <v>0</v>
      </c>
      <c r="M19" s="1884"/>
    </row>
    <row r="20" spans="1:14" ht="20.100000000000001" customHeight="1" x14ac:dyDescent="0.2">
      <c r="B20" s="1158"/>
      <c r="C20" s="1882"/>
      <c r="D20" s="1883"/>
      <c r="E20" s="1884"/>
      <c r="F20" s="1884"/>
      <c r="G20" s="1884"/>
      <c r="H20" s="1884"/>
      <c r="I20" s="1884"/>
      <c r="J20" s="1884"/>
      <c r="K20" s="1884"/>
      <c r="L20" s="1881">
        <f t="shared" si="0"/>
        <v>0</v>
      </c>
      <c r="M20" s="1884"/>
    </row>
    <row r="21" spans="1:14" ht="20.100000000000001" customHeight="1" x14ac:dyDescent="0.2">
      <c r="B21" s="1158"/>
      <c r="C21" s="1882"/>
      <c r="D21" s="1883"/>
      <c r="E21" s="1884"/>
      <c r="F21" s="1884"/>
      <c r="G21" s="1884"/>
      <c r="H21" s="1884"/>
      <c r="I21" s="1884"/>
      <c r="J21" s="1884"/>
      <c r="K21" s="1884"/>
      <c r="L21" s="1881">
        <f t="shared" si="0"/>
        <v>0</v>
      </c>
      <c r="M21" s="1884"/>
    </row>
    <row r="22" spans="1:14" ht="20.100000000000001" customHeight="1" x14ac:dyDescent="0.2">
      <c r="B22" s="1158"/>
      <c r="C22" s="1882"/>
      <c r="D22" s="1883"/>
      <c r="E22" s="1884"/>
      <c r="F22" s="1884"/>
      <c r="G22" s="1884"/>
      <c r="H22" s="1884"/>
      <c r="I22" s="1884"/>
      <c r="J22" s="1884"/>
      <c r="K22" s="1884"/>
      <c r="L22" s="1881">
        <f t="shared" si="0"/>
        <v>0</v>
      </c>
      <c r="M22" s="1884"/>
    </row>
    <row r="23" spans="1:14" ht="20.100000000000001" customHeight="1" x14ac:dyDescent="0.2">
      <c r="B23" s="1158"/>
      <c r="C23" s="1882"/>
      <c r="D23" s="1883"/>
      <c r="E23" s="1884"/>
      <c r="F23" s="1884"/>
      <c r="G23" s="1884"/>
      <c r="H23" s="1884"/>
      <c r="I23" s="1884"/>
      <c r="J23" s="1884"/>
      <c r="K23" s="1884"/>
      <c r="L23" s="1881">
        <f t="shared" si="0"/>
        <v>0</v>
      </c>
      <c r="M23" s="1884"/>
    </row>
    <row r="24" spans="1:14" ht="20.100000000000001" customHeight="1" x14ac:dyDescent="0.2">
      <c r="B24" s="1158"/>
      <c r="C24" s="1882"/>
      <c r="D24" s="1883"/>
      <c r="E24" s="1884"/>
      <c r="F24" s="1884"/>
      <c r="G24" s="1884"/>
      <c r="H24" s="1884"/>
      <c r="I24" s="1884"/>
      <c r="J24" s="1884"/>
      <c r="K24" s="1884"/>
      <c r="L24" s="1881">
        <f t="shared" si="0"/>
        <v>0</v>
      </c>
      <c r="M24" s="1884"/>
    </row>
    <row r="25" spans="1:14" ht="20.100000000000001" customHeight="1" x14ac:dyDescent="0.2">
      <c r="A25" s="295">
        <v>0</v>
      </c>
      <c r="B25" s="1158"/>
      <c r="C25" s="1882"/>
      <c r="D25" s="1883"/>
      <c r="E25" s="1884"/>
      <c r="F25" s="1884"/>
      <c r="G25" s="1884"/>
      <c r="H25" s="1884"/>
      <c r="I25" s="1884"/>
      <c r="J25" s="1884"/>
      <c r="K25" s="1884"/>
      <c r="L25" s="1881">
        <f t="shared" si="0"/>
        <v>0</v>
      </c>
      <c r="M25" s="1884"/>
    </row>
    <row r="26" spans="1:14" ht="20.100000000000001" customHeight="1" x14ac:dyDescent="0.2">
      <c r="B26" s="1158"/>
      <c r="C26" s="1882"/>
      <c r="D26" s="1883"/>
      <c r="E26" s="1884"/>
      <c r="F26" s="1884"/>
      <c r="G26" s="1884"/>
      <c r="H26" s="1884"/>
      <c r="I26" s="1884"/>
      <c r="J26" s="1884"/>
      <c r="K26" s="1884"/>
      <c r="L26" s="1881">
        <f t="shared" si="0"/>
        <v>0</v>
      </c>
      <c r="M26" s="1884"/>
    </row>
    <row r="27" spans="1:14" ht="20.100000000000001" customHeight="1" x14ac:dyDescent="0.2">
      <c r="B27" s="1158"/>
      <c r="C27" s="1882"/>
      <c r="D27" s="1883"/>
      <c r="E27" s="1884"/>
      <c r="F27" s="1884"/>
      <c r="G27" s="1884"/>
      <c r="H27" s="1884"/>
      <c r="I27" s="1884"/>
      <c r="J27" s="1884"/>
      <c r="K27" s="1884"/>
      <c r="L27" s="1881">
        <f>+G27+I27+K27</f>
        <v>0</v>
      </c>
      <c r="M27" s="1884"/>
      <c r="N27" s="1159"/>
    </row>
    <row r="28" spans="1:14" ht="20.100000000000001" customHeight="1" x14ac:dyDescent="0.2">
      <c r="B28" s="1158"/>
      <c r="C28" s="1882"/>
      <c r="D28" s="1883"/>
      <c r="E28" s="1884"/>
      <c r="F28" s="1884"/>
      <c r="G28" s="1884"/>
      <c r="H28" s="1884"/>
      <c r="I28" s="1884"/>
      <c r="J28" s="1884"/>
      <c r="K28" s="1884"/>
      <c r="L28" s="1881">
        <f>+G28+I28+K28</f>
        <v>0</v>
      </c>
      <c r="M28" s="1884"/>
      <c r="N28" s="1159"/>
    </row>
    <row r="30" spans="1:14" ht="12.75" customHeight="1" x14ac:dyDescent="0.2">
      <c r="B30" s="1160"/>
      <c r="C30" s="1161"/>
      <c r="D30" s="1162"/>
      <c r="E30" s="1163"/>
      <c r="F30" s="1163"/>
      <c r="G30" s="1163"/>
      <c r="H30" s="1163"/>
      <c r="I30" s="1163"/>
      <c r="J30" s="1163"/>
      <c r="K30" s="1163"/>
      <c r="L30" s="1163"/>
      <c r="M30" s="1163"/>
      <c r="N30" s="1159"/>
    </row>
    <row r="31" spans="1:14" x14ac:dyDescent="0.2">
      <c r="B31" s="1078"/>
      <c r="C31" s="1164"/>
      <c r="D31" s="1165"/>
      <c r="E31" s="1078"/>
      <c r="F31" s="1078"/>
      <c r="G31" s="1071"/>
      <c r="H31" s="1071"/>
      <c r="I31" s="1071"/>
      <c r="J31" s="1071"/>
      <c r="K31" s="1071"/>
      <c r="L31" s="1071"/>
      <c r="M31" s="1078"/>
      <c r="N31" s="1159"/>
    </row>
    <row r="32" spans="1:14" ht="13.5" customHeight="1" x14ac:dyDescent="0.2">
      <c r="B32" s="1103" t="s">
        <v>1714</v>
      </c>
      <c r="C32" s="1164"/>
      <c r="D32" s="1165"/>
      <c r="E32" s="1078"/>
      <c r="F32" s="1078"/>
      <c r="G32" s="1071"/>
      <c r="H32" s="1071"/>
      <c r="I32" s="1071"/>
      <c r="J32" s="1071"/>
      <c r="K32" s="1071"/>
      <c r="L32" s="1071"/>
      <c r="M32" s="1078"/>
      <c r="N32" s="1159"/>
    </row>
    <row r="33" spans="2:14" ht="8.25" customHeight="1" x14ac:dyDescent="0.2">
      <c r="B33" s="1103"/>
      <c r="C33" s="1164"/>
      <c r="D33" s="1165"/>
      <c r="E33" s="1078"/>
      <c r="F33" s="1078"/>
      <c r="G33" s="1071"/>
      <c r="H33" s="1071"/>
      <c r="I33" s="1071"/>
      <c r="J33" s="1071"/>
      <c r="K33" s="1071"/>
      <c r="L33" s="1071"/>
      <c r="M33" s="1078"/>
      <c r="N33" s="1159"/>
    </row>
    <row r="34" spans="2:14" x14ac:dyDescent="0.2">
      <c r="B34" s="1166" t="s">
        <v>1812</v>
      </c>
      <c r="C34" s="1167"/>
      <c r="D34" s="1168"/>
      <c r="E34" s="1169"/>
      <c r="F34" s="1169"/>
      <c r="G34" s="1169"/>
      <c r="H34" s="1169"/>
      <c r="I34" s="295"/>
      <c r="J34" s="295"/>
    </row>
    <row r="35" spans="2:14" x14ac:dyDescent="0.2">
      <c r="B35" s="1098"/>
      <c r="C35" s="1170"/>
      <c r="D35" s="1171"/>
      <c r="E35" s="1099"/>
      <c r="F35" s="1099"/>
      <c r="G35" s="295"/>
      <c r="H35" s="295"/>
      <c r="I35" s="295"/>
      <c r="J35" s="295"/>
    </row>
    <row r="36" spans="2:14" ht="13.5" customHeight="1" x14ac:dyDescent="0.2">
      <c r="B36" s="1097" t="s">
        <v>1237</v>
      </c>
      <c r="G36" s="295"/>
      <c r="H36" s="295"/>
      <c r="I36" s="295"/>
      <c r="J36" s="295"/>
    </row>
    <row r="37" spans="2:14" ht="13.5" customHeight="1" x14ac:dyDescent="0.2">
      <c r="B37" s="1174"/>
      <c r="C37" s="1175"/>
      <c r="D37" s="1176"/>
      <c r="E37" s="1118"/>
      <c r="F37" s="1118"/>
      <c r="G37" s="1118"/>
      <c r="H37" s="1118"/>
      <c r="I37" s="1118"/>
      <c r="J37" s="1118"/>
      <c r="K37" s="1177"/>
      <c r="L37" s="1177"/>
      <c r="M37" s="1118"/>
    </row>
    <row r="38" spans="2:14" ht="9.6" customHeight="1" x14ac:dyDescent="0.2">
      <c r="B38" s="1178"/>
      <c r="G38" s="295"/>
      <c r="H38" s="295"/>
      <c r="I38" s="295"/>
      <c r="J38" s="295"/>
    </row>
    <row r="39" spans="2:14" ht="11.25" customHeight="1" x14ac:dyDescent="0.2">
      <c r="B39" s="1179" t="s">
        <v>1715</v>
      </c>
      <c r="C39" s="1180"/>
      <c r="D39" s="1180"/>
      <c r="E39" s="1180"/>
      <c r="F39" s="1180"/>
      <c r="G39" s="1180"/>
      <c r="H39" s="1180"/>
      <c r="I39" s="1181"/>
      <c r="J39" s="1181"/>
      <c r="K39" s="1181"/>
      <c r="L39" s="1181"/>
      <c r="M39" s="1181"/>
    </row>
    <row r="40" spans="2:14" ht="11.25" customHeight="1" x14ac:dyDescent="0.2">
      <c r="B40" s="1182" t="s">
        <v>1570</v>
      </c>
      <c r="C40" s="1181"/>
      <c r="D40" s="1181"/>
      <c r="E40" s="1181"/>
      <c r="F40" s="1181"/>
      <c r="G40" s="1181"/>
      <c r="H40" s="1181"/>
      <c r="I40" s="1181"/>
      <c r="J40" s="1181"/>
      <c r="K40" s="1181"/>
      <c r="L40" s="1181"/>
      <c r="M40" s="1181"/>
    </row>
    <row r="41" spans="2:14" ht="3.95" customHeight="1" x14ac:dyDescent="0.2">
      <c r="B41" s="1182"/>
      <c r="C41" s="1181"/>
      <c r="D41" s="1181"/>
      <c r="E41" s="1181"/>
      <c r="F41" s="1181"/>
      <c r="G41" s="1181"/>
      <c r="H41" s="1181"/>
      <c r="I41" s="1181"/>
      <c r="J41" s="1181"/>
      <c r="K41" s="1181"/>
      <c r="L41" s="1181"/>
      <c r="M41" s="1181"/>
    </row>
    <row r="42" spans="2:14" ht="11.25" customHeight="1" x14ac:dyDescent="0.2">
      <c r="B42" s="1179" t="s">
        <v>1716</v>
      </c>
      <c r="C42" s="1181"/>
      <c r="D42" s="1181"/>
      <c r="E42" s="1181"/>
      <c r="F42" s="1181"/>
      <c r="G42" s="1181"/>
      <c r="H42" s="1181"/>
      <c r="I42" s="1181"/>
      <c r="J42" s="1181"/>
      <c r="K42" s="1181"/>
      <c r="L42" s="1181"/>
      <c r="M42" s="1181"/>
    </row>
    <row r="43" spans="2:14" ht="11.25" customHeight="1" x14ac:dyDescent="0.2">
      <c r="B43" s="1121" t="s">
        <v>1571</v>
      </c>
      <c r="C43" s="1183"/>
      <c r="D43" s="1184"/>
      <c r="E43" s="1121"/>
      <c r="F43" s="1121"/>
      <c r="G43" s="1121"/>
      <c r="H43" s="1121"/>
      <c r="I43" s="1121"/>
      <c r="J43" s="1121"/>
      <c r="K43" s="1185"/>
      <c r="L43" s="1185"/>
      <c r="M43" s="1121"/>
    </row>
    <row r="44" spans="2:14" ht="3.95" customHeight="1" x14ac:dyDescent="0.2">
      <c r="B44" s="1121"/>
      <c r="C44" s="1183"/>
      <c r="D44" s="1184"/>
      <c r="E44" s="1121"/>
      <c r="F44" s="1121"/>
      <c r="G44" s="1121"/>
      <c r="H44" s="1121"/>
      <c r="I44" s="1121"/>
      <c r="J44" s="1121"/>
      <c r="K44" s="1185"/>
      <c r="L44" s="1185"/>
      <c r="M44" s="1121"/>
    </row>
    <row r="45" spans="2:14" ht="11.25" customHeight="1" x14ac:dyDescent="0.2">
      <c r="B45" s="1186" t="s">
        <v>1717</v>
      </c>
      <c r="C45" s="1183"/>
      <c r="D45" s="1184"/>
      <c r="E45" s="1121"/>
      <c r="F45" s="1121"/>
      <c r="G45" s="1121"/>
      <c r="H45" s="1121"/>
      <c r="I45" s="1121"/>
      <c r="J45" s="1121"/>
      <c r="K45" s="1185"/>
      <c r="L45" s="1185"/>
      <c r="M45" s="1121"/>
    </row>
    <row r="46" spans="2:14" ht="3.95" customHeight="1" x14ac:dyDescent="0.2">
      <c r="B46" s="1186"/>
      <c r="C46" s="1183"/>
      <c r="D46" s="1184"/>
      <c r="E46" s="1121"/>
      <c r="F46" s="1121"/>
      <c r="G46" s="1121"/>
      <c r="H46" s="1121"/>
      <c r="I46" s="1121"/>
      <c r="J46" s="1121"/>
      <c r="K46" s="1185"/>
      <c r="L46" s="1185"/>
      <c r="M46" s="1121"/>
    </row>
    <row r="47" spans="2:14" ht="11.25" customHeight="1" x14ac:dyDescent="0.2">
      <c r="B47" s="1187" t="s">
        <v>1718</v>
      </c>
      <c r="C47" s="1183"/>
      <c r="D47" s="1184"/>
      <c r="E47" s="1121"/>
      <c r="F47" s="1121"/>
      <c r="G47" s="1121"/>
      <c r="H47" s="1121"/>
      <c r="I47" s="1121"/>
      <c r="J47" s="1121"/>
      <c r="K47" s="1185"/>
      <c r="L47" s="1185"/>
      <c r="M47" s="1121"/>
    </row>
    <row r="48" spans="2:14" ht="11.25" customHeight="1" x14ac:dyDescent="0.2">
      <c r="B48" s="1121" t="s">
        <v>1572</v>
      </c>
      <c r="G48" s="295"/>
      <c r="H48" s="295"/>
      <c r="I48" s="295"/>
      <c r="J48" s="295"/>
    </row>
    <row r="49" spans="2:13" ht="11.1" customHeight="1" x14ac:dyDescent="0.2">
      <c r="B49" s="1121"/>
      <c r="G49" s="295"/>
      <c r="H49" s="295"/>
      <c r="I49" s="295"/>
      <c r="J49" s="295"/>
    </row>
    <row r="50" spans="2:13" ht="11.1" customHeight="1" x14ac:dyDescent="0.2">
      <c r="B50" s="1121"/>
      <c r="G50" s="295"/>
      <c r="H50" s="295"/>
      <c r="I50" s="295"/>
      <c r="J50" s="295"/>
    </row>
    <row r="51" spans="2:13" ht="13.5" customHeight="1" x14ac:dyDescent="0.2">
      <c r="M51" s="1188"/>
    </row>
    <row r="52" spans="2:13" ht="13.5" customHeight="1" x14ac:dyDescent="0.2">
      <c r="M52" s="1188"/>
    </row>
    <row r="53" spans="2:13" ht="13.5" customHeight="1" x14ac:dyDescent="0.2">
      <c r="M53" s="1188"/>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K30" sqref="K30"/>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9" t="str">
        <f>'Single Audit Cover'!A7</f>
        <v>Canton Union SD 66</v>
      </c>
      <c r="B1" s="2669"/>
      <c r="C1" s="2669"/>
      <c r="D1" s="2669"/>
      <c r="E1" s="2669"/>
      <c r="F1" s="2669"/>
    </row>
    <row r="2" spans="1:7" ht="13.5" customHeight="1" x14ac:dyDescent="0.2">
      <c r="A2" s="2665">
        <f>'Single Audit Cover'!E7</f>
        <v>26029066025</v>
      </c>
      <c r="B2" s="2665"/>
      <c r="C2" s="2665"/>
      <c r="D2" s="2665"/>
      <c r="E2" s="2665"/>
      <c r="F2" s="2665"/>
      <c r="G2" s="1096"/>
    </row>
    <row r="3" spans="1:7" ht="15.75" customHeight="1" x14ac:dyDescent="0.2">
      <c r="A3" s="2670" t="s">
        <v>1262</v>
      </c>
      <c r="B3" s="2670"/>
      <c r="C3" s="2670"/>
      <c r="D3" s="2670"/>
      <c r="E3" s="2670"/>
      <c r="F3" s="2670"/>
    </row>
    <row r="4" spans="1:7" ht="13.5" customHeight="1" x14ac:dyDescent="0.2">
      <c r="A4" s="2671" t="str">
        <f>'Single Audit Cover'!A4</f>
        <v>Year Ending June 30, 2020</v>
      </c>
      <c r="B4" s="2671"/>
      <c r="C4" s="2671"/>
      <c r="D4" s="2671"/>
      <c r="E4" s="2671"/>
      <c r="F4" s="2671"/>
    </row>
    <row r="5" spans="1:7" ht="8.25" customHeight="1" x14ac:dyDescent="0.2">
      <c r="C5" s="295"/>
      <c r="D5" s="295"/>
    </row>
    <row r="6" spans="1:7" ht="13.5" customHeight="1" x14ac:dyDescent="0.2">
      <c r="A6" s="1097" t="s">
        <v>1708</v>
      </c>
      <c r="C6" s="295"/>
      <c r="D6" s="295"/>
    </row>
    <row r="7" spans="1:7" ht="60.95" customHeight="1" x14ac:dyDescent="0.2">
      <c r="A7" s="2668" t="s">
        <v>2138</v>
      </c>
      <c r="B7" s="2668"/>
      <c r="C7" s="2668"/>
      <c r="D7" s="2668"/>
      <c r="E7" s="2668"/>
      <c r="F7" s="2668"/>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2027</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8" t="s">
        <v>2139</v>
      </c>
      <c r="B13" s="2668"/>
      <c r="C13" s="2668"/>
      <c r="D13" s="2668"/>
      <c r="E13" s="2668"/>
      <c r="F13" s="2668"/>
    </row>
    <row r="14" spans="1:7" ht="9.75" customHeight="1" x14ac:dyDescent="0.2">
      <c r="C14" s="1081"/>
      <c r="D14" s="1081"/>
    </row>
    <row r="15" spans="1:7" ht="13.5" customHeight="1" x14ac:dyDescent="0.2">
      <c r="C15" s="1525" t="s">
        <v>1261</v>
      </c>
      <c r="D15" s="2673" t="s">
        <v>1260</v>
      </c>
      <c r="E15" s="2673"/>
      <c r="F15" s="2673"/>
    </row>
    <row r="16" spans="1:7" ht="13.5" customHeight="1" x14ac:dyDescent="0.2">
      <c r="A16" s="1103"/>
      <c r="B16" s="1097" t="s">
        <v>1259</v>
      </c>
      <c r="C16" s="1525" t="s">
        <v>1258</v>
      </c>
      <c r="D16" s="2674" t="s">
        <v>1574</v>
      </c>
      <c r="E16" s="2674"/>
      <c r="F16" s="2674"/>
    </row>
    <row r="17" spans="1:6" ht="20.45" customHeight="1" x14ac:dyDescent="0.2">
      <c r="A17" s="1104"/>
      <c r="B17" s="1105" t="s">
        <v>2140</v>
      </c>
      <c r="C17" s="1106"/>
      <c r="D17" s="2672"/>
      <c r="E17" s="2672"/>
      <c r="F17" s="2672"/>
    </row>
    <row r="18" spans="1:6" ht="20.65" customHeight="1" x14ac:dyDescent="0.2">
      <c r="A18" s="1104"/>
      <c r="B18" s="1105"/>
      <c r="C18" s="1106"/>
      <c r="D18" s="2672"/>
      <c r="E18" s="2672"/>
      <c r="F18" s="2672"/>
    </row>
    <row r="19" spans="1:6" ht="20.65" customHeight="1" x14ac:dyDescent="0.2">
      <c r="A19" s="1104"/>
      <c r="B19" s="1105"/>
      <c r="C19" s="1106"/>
      <c r="D19" s="2672"/>
      <c r="E19" s="2672"/>
      <c r="F19" s="2672"/>
    </row>
    <row r="20" spans="1:6" ht="20.65" customHeight="1" x14ac:dyDescent="0.2">
      <c r="A20" s="1104"/>
      <c r="B20" s="1105"/>
      <c r="C20" s="1106"/>
      <c r="D20" s="2672"/>
      <c r="E20" s="2672"/>
      <c r="F20" s="2672"/>
    </row>
    <row r="21" spans="1:6" ht="20.65" customHeight="1" x14ac:dyDescent="0.2">
      <c r="A21" s="1104"/>
      <c r="B21" s="1105"/>
      <c r="C21" s="1106"/>
      <c r="D21" s="2672"/>
      <c r="E21" s="2672"/>
      <c r="F21" s="2672"/>
    </row>
    <row r="22" spans="1:6" ht="20.65" customHeight="1" x14ac:dyDescent="0.2">
      <c r="A22" s="1104"/>
      <c r="B22" s="1105"/>
      <c r="C22" s="1106"/>
      <c r="D22" s="2672"/>
      <c r="E22" s="2672"/>
      <c r="F22" s="2672"/>
    </row>
    <row r="23" spans="1:6" ht="20.65" customHeight="1" x14ac:dyDescent="0.2">
      <c r="A23" s="1104"/>
      <c r="B23" s="1105"/>
      <c r="C23" s="1106"/>
      <c r="D23" s="2672"/>
      <c r="E23" s="2672"/>
      <c r="F23" s="2672"/>
    </row>
    <row r="24" spans="1:6" ht="20.65" customHeight="1" x14ac:dyDescent="0.2">
      <c r="A24" s="1104"/>
      <c r="B24" s="1105"/>
      <c r="C24" s="1106"/>
      <c r="D24" s="2672"/>
      <c r="E24" s="2672"/>
      <c r="F24" s="2672"/>
    </row>
    <row r="25" spans="1:6" ht="20.65" customHeight="1" x14ac:dyDescent="0.2">
      <c r="A25" s="1104"/>
      <c r="B25" s="1105"/>
      <c r="C25" s="1106"/>
      <c r="D25" s="2672"/>
      <c r="E25" s="2672"/>
      <c r="F25" s="2672"/>
    </row>
    <row r="26" spans="1:6" ht="20.65" customHeight="1" x14ac:dyDescent="0.2">
      <c r="A26" s="1104"/>
      <c r="B26" s="1105"/>
      <c r="C26" s="1106"/>
      <c r="D26" s="2672"/>
      <c r="E26" s="2672"/>
      <c r="F26" s="2672"/>
    </row>
    <row r="27" spans="1:6" ht="20.65" customHeight="1" x14ac:dyDescent="0.2">
      <c r="A27" s="1104"/>
      <c r="B27" s="1105"/>
      <c r="C27" s="1106"/>
      <c r="D27" s="2672"/>
      <c r="E27" s="2672"/>
      <c r="F27" s="2672"/>
    </row>
    <row r="28" spans="1:6" ht="20.65" customHeight="1" x14ac:dyDescent="0.2">
      <c r="A28" s="1104"/>
      <c r="B28" s="1105"/>
      <c r="C28" s="1106"/>
      <c r="D28" s="2672"/>
      <c r="E28" s="2672"/>
      <c r="F28" s="2672"/>
    </row>
    <row r="29" spans="1:6" ht="20.65" customHeight="1" x14ac:dyDescent="0.2">
      <c r="A29" s="1104"/>
      <c r="B29" s="1105"/>
      <c r="C29" s="1106"/>
      <c r="D29" s="2672"/>
      <c r="E29" s="2672"/>
      <c r="F29" s="2672"/>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6" t="s">
        <v>2141</v>
      </c>
      <c r="B32" s="2676"/>
      <c r="C32" s="2676"/>
      <c r="D32" s="2676"/>
      <c r="E32" s="2676"/>
      <c r="F32" s="2676"/>
    </row>
    <row r="33" spans="1:6" ht="13.5" customHeight="1" x14ac:dyDescent="0.2">
      <c r="A33" s="306" t="s">
        <v>1420</v>
      </c>
      <c r="B33" s="306"/>
      <c r="C33" s="1109">
        <v>42084</v>
      </c>
      <c r="D33" s="1576"/>
      <c r="E33" s="1107"/>
    </row>
    <row r="34" spans="1:6" ht="13.5" customHeight="1" x14ac:dyDescent="0.2">
      <c r="A34" s="306" t="s">
        <v>1811</v>
      </c>
      <c r="B34" s="306"/>
      <c r="C34" s="1110">
        <v>25803</v>
      </c>
      <c r="D34" s="1576" t="s">
        <v>1575</v>
      </c>
      <c r="E34" s="2677">
        <f>+C33+C34</f>
        <v>67887</v>
      </c>
      <c r="F34" s="2678"/>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v>0</v>
      </c>
      <c r="D38" s="1576"/>
      <c r="E38" s="1107"/>
    </row>
    <row r="39" spans="1:6" ht="14.25" customHeight="1" x14ac:dyDescent="0.2">
      <c r="A39" s="306"/>
      <c r="B39" s="306" t="s">
        <v>1422</v>
      </c>
      <c r="C39" s="1113">
        <v>0</v>
      </c>
      <c r="D39" s="1576"/>
      <c r="E39" s="1107"/>
    </row>
    <row r="40" spans="1:6" ht="14.25" customHeight="1" x14ac:dyDescent="0.2">
      <c r="A40" s="306"/>
      <c r="B40" s="306" t="s">
        <v>1423</v>
      </c>
      <c r="C40" s="1113">
        <v>0</v>
      </c>
      <c r="D40" s="1576"/>
      <c r="E40" s="1107"/>
    </row>
    <row r="41" spans="1:6" ht="14.25" customHeight="1" x14ac:dyDescent="0.2">
      <c r="A41" s="306"/>
      <c r="B41" s="306" t="s">
        <v>1424</v>
      </c>
      <c r="C41" s="1113">
        <v>0</v>
      </c>
      <c r="D41" s="1576"/>
      <c r="E41" s="1107"/>
    </row>
    <row r="42" spans="1:6" ht="14.25" customHeight="1" x14ac:dyDescent="0.2">
      <c r="A42" s="306" t="s">
        <v>1425</v>
      </c>
      <c r="B42" s="306"/>
      <c r="C42" s="1574">
        <v>0</v>
      </c>
      <c r="D42" s="1576"/>
      <c r="E42" s="1107"/>
    </row>
    <row r="43" spans="1:6" ht="14.25" customHeight="1" x14ac:dyDescent="0.2">
      <c r="A43" s="306" t="s">
        <v>1426</v>
      </c>
      <c r="B43" s="306"/>
      <c r="C43" s="1114" t="s">
        <v>879</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9" t="s">
        <v>1576</v>
      </c>
      <c r="C49" s="2679"/>
      <c r="D49" s="2679"/>
      <c r="E49" s="1213"/>
    </row>
    <row r="50" spans="1:5" s="1121" customFormat="1" ht="3.75" customHeight="1" x14ac:dyDescent="0.2">
      <c r="A50" s="1120"/>
      <c r="B50" s="1524"/>
      <c r="C50" s="1524"/>
      <c r="D50" s="1524"/>
      <c r="E50" s="1213"/>
    </row>
    <row r="51" spans="1:5" s="1121" customFormat="1" ht="20.25" customHeight="1" x14ac:dyDescent="0.2">
      <c r="A51" s="1122">
        <v>6</v>
      </c>
      <c r="B51" s="2675" t="s">
        <v>1537</v>
      </c>
      <c r="C51" s="2675"/>
      <c r="D51" s="2675"/>
    </row>
    <row r="52" spans="1:5" ht="14.25" customHeight="1" x14ac:dyDescent="0.2">
      <c r="A52" s="1122"/>
      <c r="B52" s="2675"/>
      <c r="C52" s="2675"/>
      <c r="D52" s="26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40" sqref="B40"/>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4" t="str">
        <f>'Single Audit Cover'!A7</f>
        <v>Canton Union SD 66</v>
      </c>
      <c r="C1" s="2685"/>
      <c r="D1" s="2685"/>
      <c r="E1" s="2685"/>
      <c r="F1" s="2685"/>
      <c r="G1" s="2685"/>
      <c r="H1" s="2685"/>
      <c r="I1" s="2685"/>
      <c r="J1" s="1223"/>
    </row>
    <row r="2" spans="2:10" s="295" customFormat="1" ht="12.75" customHeight="1" x14ac:dyDescent="0.2">
      <c r="B2" s="2686">
        <f>'Single Audit Cover'!E7</f>
        <v>26029066025</v>
      </c>
      <c r="C2" s="2687"/>
      <c r="D2" s="2687"/>
      <c r="E2" s="2687"/>
      <c r="F2" s="2687"/>
      <c r="G2" s="2687"/>
      <c r="H2" s="2687"/>
      <c r="I2" s="2687"/>
      <c r="J2" s="1223"/>
    </row>
    <row r="3" spans="2:10" s="295" customFormat="1" ht="12.75" customHeight="1" x14ac:dyDescent="0.2">
      <c r="B3" s="2688" t="s">
        <v>1276</v>
      </c>
      <c r="C3" s="2689"/>
      <c r="D3" s="2689"/>
      <c r="E3" s="2689"/>
      <c r="F3" s="2689"/>
      <c r="G3" s="2689"/>
      <c r="H3" s="2689"/>
      <c r="I3" s="2689"/>
      <c r="J3" s="1224"/>
    </row>
    <row r="4" spans="2:10" s="295" customFormat="1" ht="12.75" customHeight="1" x14ac:dyDescent="0.2">
      <c r="B4" s="2688" t="str">
        <f>'Single Audit Cover'!A4</f>
        <v>Year Ending June 30, 2020</v>
      </c>
      <c r="C4" s="2689"/>
      <c r="D4" s="2689"/>
      <c r="E4" s="2689"/>
      <c r="F4" s="2689"/>
      <c r="G4" s="2689"/>
      <c r="H4" s="2689"/>
      <c r="I4" s="2689"/>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8" t="s">
        <v>1275</v>
      </c>
      <c r="C7" s="2689"/>
      <c r="D7" s="2689"/>
      <c r="E7" s="2689"/>
      <c r="F7" s="2689"/>
      <c r="G7" s="2689"/>
      <c r="H7" s="2689"/>
      <c r="I7" s="2689"/>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0" t="s">
        <v>1156</v>
      </c>
      <c r="D11" s="2690"/>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2050</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2050</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2050</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2050</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2050</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1" t="s">
        <v>2051</v>
      </c>
      <c r="E29" s="2691"/>
      <c r="F29" s="2691"/>
      <c r="G29" s="2691"/>
      <c r="H29" s="2691"/>
      <c r="I29" s="2691"/>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2050</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692" t="s">
        <v>1728</v>
      </c>
      <c r="D37" s="2693"/>
      <c r="E37" s="2693"/>
      <c r="F37" s="2694"/>
      <c r="G37" s="2692" t="s">
        <v>1578</v>
      </c>
      <c r="H37" s="2693"/>
      <c r="I37" s="2694"/>
    </row>
    <row r="38" spans="2:9" ht="16.5" customHeight="1" x14ac:dyDescent="0.2">
      <c r="B38" s="1245" t="s">
        <v>2052</v>
      </c>
      <c r="C38" s="2680" t="s">
        <v>912</v>
      </c>
      <c r="D38" s="2681"/>
      <c r="E38" s="2681"/>
      <c r="F38" s="2682"/>
      <c r="G38" s="2695">
        <v>779747</v>
      </c>
      <c r="H38" s="2696"/>
      <c r="I38" s="2697"/>
    </row>
    <row r="39" spans="2:9" ht="16.5" customHeight="1" x14ac:dyDescent="0.2">
      <c r="B39" s="1245" t="s">
        <v>2142</v>
      </c>
      <c r="C39" s="2680" t="s">
        <v>2143</v>
      </c>
      <c r="D39" s="2681"/>
      <c r="E39" s="2681"/>
      <c r="F39" s="2682"/>
      <c r="G39" s="2683">
        <v>732835</v>
      </c>
      <c r="H39" s="2683"/>
      <c r="I39" s="2683"/>
    </row>
    <row r="40" spans="2:9" ht="16.5" customHeight="1" x14ac:dyDescent="0.2">
      <c r="B40" s="1245"/>
      <c r="C40" s="2680"/>
      <c r="D40" s="2681"/>
      <c r="E40" s="2681"/>
      <c r="F40" s="2682"/>
      <c r="G40" s="2683"/>
      <c r="H40" s="2683"/>
      <c r="I40" s="2683"/>
    </row>
    <row r="41" spans="2:9" ht="16.5" customHeight="1" x14ac:dyDescent="0.2">
      <c r="B41" s="1245"/>
      <c r="C41" s="2680"/>
      <c r="D41" s="2681"/>
      <c r="E41" s="2681"/>
      <c r="F41" s="2682"/>
      <c r="G41" s="2683"/>
      <c r="H41" s="2683"/>
      <c r="I41" s="2683"/>
    </row>
    <row r="42" spans="2:9" ht="16.5" customHeight="1" x14ac:dyDescent="0.2">
      <c r="B42" s="1245"/>
      <c r="C42" s="2680"/>
      <c r="D42" s="2681"/>
      <c r="E42" s="2681"/>
      <c r="F42" s="2682"/>
      <c r="G42" s="2683"/>
      <c r="H42" s="2683"/>
      <c r="I42" s="2683"/>
    </row>
    <row r="43" spans="2:9" ht="16.5" customHeight="1" x14ac:dyDescent="0.2">
      <c r="B43" s="1245"/>
      <c r="C43" s="2698" t="s">
        <v>1579</v>
      </c>
      <c r="D43" s="2699"/>
      <c r="E43" s="2699"/>
      <c r="F43" s="2700"/>
      <c r="G43" s="2701">
        <f>SUM(G38:I42)</f>
        <v>1512582</v>
      </c>
      <c r="H43" s="2701"/>
      <c r="I43" s="2701"/>
    </row>
    <row r="44" spans="2:9" ht="12.75" customHeight="1" x14ac:dyDescent="0.2"/>
    <row r="45" spans="2:9" ht="12.75" customHeight="1" x14ac:dyDescent="0.2">
      <c r="B45" s="1985" t="str">
        <f>"Total Federal Expenditures for 7/1/"&amp;MID('AFR20'!E2,3,2)-1&amp;"-6/30/"&amp;MID('AFR20'!E2,3,2)</f>
        <v>Total Federal Expenditures for 7/1/19-6/30/20</v>
      </c>
      <c r="C45" s="1986"/>
      <c r="D45" s="2702">
        <v>2025314</v>
      </c>
      <c r="E45" s="2703"/>
    </row>
    <row r="46" spans="2:9" ht="5.25" customHeight="1" x14ac:dyDescent="0.2">
      <c r="B46" s="1246"/>
      <c r="D46" s="1247"/>
      <c r="E46" s="1248"/>
    </row>
    <row r="47" spans="2:9" ht="12.75" customHeight="1" x14ac:dyDescent="0.2">
      <c r="B47" s="1121" t="s">
        <v>1580</v>
      </c>
      <c r="C47" s="1121"/>
      <c r="D47" s="1249">
        <f>+G43/D45</f>
        <v>0.74683826804139997</v>
      </c>
      <c r="E47" s="1250"/>
      <c r="F47" s="1251"/>
      <c r="I47" s="1252"/>
    </row>
    <row r="48" spans="2:9" ht="9.9499999999999993" customHeight="1" x14ac:dyDescent="0.2"/>
    <row r="49" spans="1:9" x14ac:dyDescent="0.2">
      <c r="B49" s="1183" t="s">
        <v>1264</v>
      </c>
      <c r="C49" s="1103"/>
      <c r="D49" s="1103"/>
      <c r="E49" s="2704">
        <v>750000</v>
      </c>
      <c r="F49" s="2704"/>
      <c r="G49" s="2704"/>
      <c r="H49" s="300"/>
    </row>
    <row r="51" spans="1:9" ht="13.5" customHeight="1" x14ac:dyDescent="0.2">
      <c r="B51" s="1183" t="s">
        <v>1263</v>
      </c>
      <c r="C51" s="1103"/>
      <c r="E51" s="1239"/>
      <c r="F51" s="1121" t="s">
        <v>879</v>
      </c>
      <c r="G51" s="1239" t="s">
        <v>2050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4" t="str">
        <f>'Single Audit Cover'!A7</f>
        <v>Canton Union SD 66</v>
      </c>
      <c r="C1" s="2684"/>
      <c r="D1" s="2684"/>
      <c r="E1" s="2684"/>
      <c r="F1" s="2684"/>
      <c r="G1" s="2684"/>
      <c r="H1" s="2684"/>
      <c r="I1" s="2684"/>
      <c r="J1" s="2684"/>
      <c r="K1" s="2684"/>
      <c r="L1" s="1189"/>
      <c r="M1" s="1189"/>
    </row>
    <row r="2" spans="1:13" ht="12" customHeight="1" x14ac:dyDescent="0.2">
      <c r="B2" s="2686">
        <f>'Single Audit Cover'!E7</f>
        <v>26029066025</v>
      </c>
      <c r="C2" s="2686"/>
      <c r="D2" s="2686"/>
      <c r="E2" s="2686"/>
      <c r="F2" s="2686"/>
      <c r="G2" s="2686"/>
      <c r="H2" s="2686"/>
      <c r="I2" s="2686"/>
      <c r="J2" s="2686"/>
      <c r="K2" s="2686"/>
      <c r="L2" s="1190"/>
      <c r="M2" s="1191"/>
    </row>
    <row r="3" spans="1:13" ht="10.35" customHeight="1" x14ac:dyDescent="0.2">
      <c r="B3" s="2707" t="s">
        <v>1276</v>
      </c>
      <c r="C3" s="2707"/>
      <c r="D3" s="2707"/>
      <c r="E3" s="2707"/>
      <c r="F3" s="2707"/>
      <c r="G3" s="2707"/>
      <c r="H3" s="2707"/>
      <c r="I3" s="2707"/>
      <c r="J3" s="2707"/>
      <c r="K3" s="2707"/>
      <c r="L3" s="1192"/>
      <c r="M3" s="1192"/>
    </row>
    <row r="4" spans="1:13" ht="14.25" customHeight="1" x14ac:dyDescent="0.2">
      <c r="B4" s="2708" t="str">
        <f>'Single Audit Cover'!A4</f>
        <v>Year Ending June 30, 2020</v>
      </c>
      <c r="C4" s="2708"/>
      <c r="D4" s="2708"/>
      <c r="E4" s="2708"/>
      <c r="F4" s="2708"/>
      <c r="G4" s="2708"/>
      <c r="H4" s="2708"/>
      <c r="I4" s="2708"/>
      <c r="J4" s="2708"/>
      <c r="K4" s="2708"/>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8" t="s">
        <v>1287</v>
      </c>
      <c r="C7" s="2708"/>
      <c r="D7" s="2709"/>
      <c r="E7" s="2709"/>
      <c r="F7" s="2709"/>
      <c r="G7" s="2709"/>
      <c r="H7" s="2709"/>
      <c r="I7" s="2709"/>
      <c r="J7" s="2709"/>
      <c r="K7" s="2709"/>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7" t="str">
        <f>'AFR20'!$E$2&amp;"-"</f>
        <v>2020-</v>
      </c>
      <c r="D10" s="1200" t="s">
        <v>2144</v>
      </c>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6"/>
      <c r="C14" s="2706"/>
      <c r="D14" s="2706"/>
      <c r="E14" s="2706"/>
      <c r="F14" s="2706"/>
      <c r="G14" s="2706"/>
      <c r="H14" s="2706"/>
      <c r="I14" s="2706"/>
      <c r="J14" s="2706"/>
      <c r="K14" s="2706"/>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6"/>
      <c r="C17" s="2706"/>
      <c r="D17" s="2706"/>
      <c r="E17" s="2706"/>
      <c r="F17" s="2706"/>
      <c r="G17" s="2706"/>
      <c r="H17" s="2706"/>
      <c r="I17" s="2706"/>
      <c r="J17" s="2706"/>
      <c r="K17" s="2706"/>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0"/>
      <c r="C20" s="2710"/>
      <c r="D20" s="2706"/>
      <c r="E20" s="2706"/>
      <c r="F20" s="2706"/>
      <c r="G20" s="2706"/>
      <c r="H20" s="2706"/>
      <c r="I20" s="2706"/>
      <c r="J20" s="2706"/>
      <c r="K20" s="2706"/>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6"/>
      <c r="C23" s="2706"/>
      <c r="D23" s="2706"/>
      <c r="E23" s="2706"/>
      <c r="F23" s="2706"/>
      <c r="G23" s="2706"/>
      <c r="H23" s="2706"/>
      <c r="I23" s="2706"/>
      <c r="J23" s="2706"/>
      <c r="K23" s="2706"/>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6"/>
      <c r="C26" s="2706"/>
      <c r="D26" s="2706"/>
      <c r="E26" s="2706"/>
      <c r="F26" s="2706"/>
      <c r="G26" s="2706"/>
      <c r="H26" s="2706"/>
      <c r="I26" s="2706"/>
      <c r="J26" s="2706"/>
      <c r="K26" s="2706"/>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5"/>
      <c r="C29" s="2705"/>
      <c r="D29" s="2706"/>
      <c r="E29" s="2706"/>
      <c r="F29" s="2706"/>
      <c r="G29" s="2706"/>
      <c r="H29" s="2706"/>
      <c r="I29" s="2706"/>
      <c r="J29" s="2706"/>
      <c r="K29" s="2706"/>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5"/>
      <c r="C32" s="2705"/>
      <c r="D32" s="2706"/>
      <c r="E32" s="2706"/>
      <c r="F32" s="2706"/>
      <c r="G32" s="2706"/>
      <c r="H32" s="2706"/>
      <c r="I32" s="2706"/>
      <c r="J32" s="2706"/>
      <c r="K32" s="2706"/>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1" t="str">
        <f>'Single Audit Cover'!A7</f>
        <v>Canton Union SD 66</v>
      </c>
      <c r="C1" s="2711"/>
      <c r="D1" s="2711"/>
      <c r="E1" s="2711"/>
      <c r="F1" s="2711"/>
      <c r="G1" s="2711"/>
      <c r="H1" s="2711"/>
      <c r="I1" s="2711"/>
      <c r="J1" s="2711"/>
      <c r="K1" s="2711"/>
      <c r="L1" s="1266"/>
    </row>
    <row r="2" spans="1:12" ht="12.75" customHeight="1" x14ac:dyDescent="0.2">
      <c r="B2" s="2712">
        <f>'Single Audit Cover'!E7</f>
        <v>26029066025</v>
      </c>
      <c r="C2" s="2712"/>
      <c r="D2" s="2712"/>
      <c r="E2" s="2712"/>
      <c r="F2" s="2712"/>
      <c r="G2" s="2712"/>
      <c r="H2" s="2712"/>
      <c r="I2" s="2712"/>
      <c r="J2" s="2712"/>
      <c r="K2" s="2712"/>
      <c r="L2" s="1267"/>
    </row>
    <row r="3" spans="1:12" ht="12.75" customHeight="1" x14ac:dyDescent="0.2">
      <c r="B3" s="2707" t="s">
        <v>1276</v>
      </c>
      <c r="C3" s="2707"/>
      <c r="D3" s="2707"/>
      <c r="E3" s="2707"/>
      <c r="F3" s="2707"/>
      <c r="G3" s="2707"/>
      <c r="H3" s="2707"/>
      <c r="I3" s="2707"/>
      <c r="J3" s="2707"/>
      <c r="K3" s="2707"/>
      <c r="L3" s="1192"/>
    </row>
    <row r="4" spans="1:12" ht="12.75" customHeight="1" x14ac:dyDescent="0.2">
      <c r="B4" s="2707" t="str">
        <f>'Single Audit Cover'!A4</f>
        <v>Year Ending June 30, 2020</v>
      </c>
      <c r="C4" s="2707"/>
      <c r="D4" s="2707"/>
      <c r="E4" s="2707"/>
      <c r="F4" s="2707"/>
      <c r="G4" s="2707"/>
      <c r="H4" s="2707"/>
      <c r="I4" s="2707"/>
      <c r="J4" s="2707"/>
      <c r="K4" s="2707"/>
      <c r="L4" s="1192"/>
    </row>
    <row r="5" spans="1:12" ht="5.25" customHeight="1" x14ac:dyDescent="0.2">
      <c r="B5" s="1081" t="s">
        <v>1161</v>
      </c>
      <c r="C5" s="1081"/>
      <c r="L5" s="300"/>
    </row>
    <row r="6" spans="1:12" ht="30.75" customHeight="1" x14ac:dyDescent="0.2">
      <c r="A6" s="300"/>
      <c r="B6" s="2713" t="s">
        <v>1299</v>
      </c>
      <c r="C6" s="2713"/>
      <c r="D6" s="2713"/>
      <c r="E6" s="2713"/>
      <c r="F6" s="2713"/>
      <c r="G6" s="2713"/>
      <c r="H6" s="2713"/>
      <c r="I6" s="2713"/>
      <c r="J6" s="2713"/>
      <c r="K6" s="2713"/>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7" t="str">
        <f>'AFR20'!$E$2&amp;"-"</f>
        <v>2020-</v>
      </c>
      <c r="D8" s="1268" t="s">
        <v>2144</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1"/>
      <c r="G12" s="2691"/>
      <c r="H12" s="2691"/>
      <c r="I12" s="2691"/>
      <c r="J12" s="2691"/>
      <c r="K12" s="269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4"/>
      <c r="E14" s="2714"/>
      <c r="F14" s="2714"/>
      <c r="H14" s="1275" t="s">
        <v>1294</v>
      </c>
      <c r="I14" s="2715"/>
      <c r="J14" s="2715"/>
      <c r="K14" s="271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5"/>
      <c r="E16" s="2715"/>
      <c r="F16" s="2715"/>
      <c r="G16" s="2715"/>
      <c r="H16" s="2715"/>
      <c r="I16" s="2715"/>
      <c r="J16" s="2715"/>
      <c r="K16" s="2715"/>
      <c r="L16" s="300"/>
    </row>
    <row r="17" spans="2:12" ht="13.5" customHeight="1" x14ac:dyDescent="0.2">
      <c r="B17" s="1201" t="s">
        <v>1292</v>
      </c>
      <c r="C17" s="1201"/>
      <c r="D17" s="2716"/>
      <c r="E17" s="2716"/>
      <c r="F17" s="2716"/>
      <c r="G17" s="2716"/>
      <c r="H17" s="2716"/>
      <c r="I17" s="2716"/>
      <c r="J17" s="2716"/>
      <c r="K17" s="271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6"/>
      <c r="C20" s="2706"/>
      <c r="D20" s="2706"/>
      <c r="E20" s="2706"/>
      <c r="F20" s="2706"/>
      <c r="G20" s="2706"/>
      <c r="H20" s="2706"/>
      <c r="I20" s="2706"/>
      <c r="J20" s="2706"/>
      <c r="K20" s="2706"/>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06"/>
      <c r="C23" s="2706"/>
      <c r="D23" s="2706"/>
      <c r="E23" s="2706"/>
      <c r="F23" s="2706"/>
      <c r="G23" s="2706"/>
      <c r="H23" s="2706"/>
      <c r="I23" s="2706"/>
      <c r="J23" s="2706"/>
      <c r="K23" s="2706"/>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06"/>
      <c r="C26" s="2706"/>
      <c r="D26" s="2706"/>
      <c r="E26" s="2706"/>
      <c r="F26" s="2706"/>
      <c r="G26" s="2706"/>
      <c r="H26" s="2706"/>
      <c r="I26" s="2706"/>
      <c r="J26" s="2706"/>
      <c r="K26" s="2706"/>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06"/>
      <c r="C29" s="2706"/>
      <c r="D29" s="2706"/>
      <c r="E29" s="2706"/>
      <c r="F29" s="2706"/>
      <c r="G29" s="2706"/>
      <c r="H29" s="2706"/>
      <c r="I29" s="2706"/>
      <c r="J29" s="2706"/>
      <c r="K29" s="2706"/>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6"/>
      <c r="C32" s="2706"/>
      <c r="D32" s="2706"/>
      <c r="E32" s="2706"/>
      <c r="F32" s="2706"/>
      <c r="G32" s="2706"/>
      <c r="H32" s="2706"/>
      <c r="I32" s="2706"/>
      <c r="J32" s="2706"/>
      <c r="K32" s="2706"/>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6"/>
      <c r="C35" s="2706"/>
      <c r="D35" s="2706"/>
      <c r="E35" s="2706"/>
      <c r="F35" s="2706"/>
      <c r="G35" s="2706"/>
      <c r="H35" s="2706"/>
      <c r="I35" s="2706"/>
      <c r="J35" s="2706"/>
      <c r="K35" s="2706"/>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6"/>
      <c r="C38" s="2706"/>
      <c r="D38" s="2706"/>
      <c r="E38" s="2706"/>
      <c r="F38" s="2706"/>
      <c r="G38" s="2706"/>
      <c r="H38" s="2706"/>
      <c r="I38" s="2706"/>
      <c r="J38" s="2706"/>
      <c r="K38" s="2706"/>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06"/>
      <c r="C41" s="2706"/>
      <c r="D41" s="2706"/>
      <c r="E41" s="2706"/>
      <c r="F41" s="2706"/>
      <c r="G41" s="2706"/>
      <c r="H41" s="2706"/>
      <c r="I41" s="2706"/>
      <c r="J41" s="2706"/>
      <c r="K41" s="2706"/>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4" t="str">
        <f>'Single Audit Cover'!A7</f>
        <v>Canton Union SD 66</v>
      </c>
      <c r="C1" s="2684"/>
      <c r="D1" s="2684"/>
      <c r="E1" s="1285"/>
    </row>
    <row r="2" spans="2:5" s="1103" customFormat="1" ht="12.75" customHeight="1" x14ac:dyDescent="0.2">
      <c r="B2" s="2686">
        <f>'Single Audit Cover'!E7</f>
        <v>26029066025</v>
      </c>
      <c r="C2" s="2686"/>
      <c r="D2" s="2686"/>
      <c r="E2" s="1286"/>
    </row>
    <row r="3" spans="2:5" ht="12.75" customHeight="1" x14ac:dyDescent="0.2">
      <c r="B3" s="2707" t="s">
        <v>1743</v>
      </c>
      <c r="C3" s="2707"/>
      <c r="D3" s="2707"/>
      <c r="E3" s="1095"/>
    </row>
    <row r="4" spans="2:5" s="1103" customFormat="1" ht="12.75" customHeight="1" x14ac:dyDescent="0.2">
      <c r="B4" s="2717" t="str">
        <f>'Single Audit Cover'!A4</f>
        <v>Year Ending June 30, 2020</v>
      </c>
      <c r="C4" s="2717"/>
      <c r="D4" s="2717"/>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2140</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U28" sqref="U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383</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222417662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73">
        <f>ROUND(D10+F10+H10,5)</f>
        <v>2.5399999999999999E-2</v>
      </c>
      <c r="K10" s="217"/>
      <c r="L10" s="332">
        <v>5.0000000000000001E-4</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23545827</v>
      </c>
      <c r="E16" s="1597"/>
      <c r="F16" s="1596">
        <f>SUM('Acct Summary 7-8'!C17,'Acct Summary 7-8'!D17,'Acct Summary 7-8'!F17)</f>
        <v>22159541</v>
      </c>
      <c r="G16" s="1597"/>
      <c r="H16" s="1596">
        <f>SUM(D16-F16)</f>
        <v>1386286</v>
      </c>
      <c r="I16" s="1598"/>
      <c r="J16" s="1596">
        <f>SUM('Acct Summary 7-8'!C81,'Acct Summary 7-8'!D81,'Acct Summary 7-8'!F81,'Acct Summary 7-8'!I81)</f>
        <v>12681828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30693637.356000002</v>
      </c>
      <c r="I31" s="345"/>
      <c r="J31" s="217"/>
      <c r="K31" s="217"/>
      <c r="L31" s="217"/>
      <c r="M31" s="217"/>
    </row>
    <row r="32" spans="1:13" ht="13.35" customHeight="1" x14ac:dyDescent="0.2">
      <c r="B32" s="346" t="s">
        <v>2027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6725000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552</v>
      </c>
      <c r="B2" s="2279"/>
      <c r="C2" s="2279"/>
      <c r="D2" s="2279"/>
      <c r="E2" s="2279"/>
      <c r="F2" s="2279"/>
      <c r="G2" s="2279"/>
      <c r="H2" s="2279"/>
      <c r="I2" s="2279"/>
      <c r="J2" s="2279"/>
      <c r="K2" s="2279"/>
      <c r="L2" s="2279"/>
      <c r="M2" s="2279"/>
      <c r="N2" s="2279"/>
      <c r="O2" s="2279"/>
      <c r="P2" s="2279"/>
      <c r="Q2" s="2279"/>
      <c r="R2" s="2279"/>
    </row>
    <row r="3" spans="1:18" ht="12.75" x14ac:dyDescent="0.2">
      <c r="A3" s="2280" t="s">
        <v>1399</v>
      </c>
      <c r="B3" s="2280"/>
      <c r="C3" s="2280"/>
      <c r="D3" s="2280"/>
      <c r="E3" s="2280"/>
      <c r="F3" s="2280"/>
      <c r="G3" s="2280"/>
      <c r="H3" s="2280"/>
      <c r="I3" s="2280"/>
      <c r="J3" s="2280"/>
      <c r="K3" s="2280"/>
      <c r="L3" s="2280"/>
      <c r="M3" s="2280"/>
      <c r="N3" s="2280"/>
      <c r="O3" s="2280"/>
      <c r="P3" s="2280"/>
      <c r="Q3" s="2280"/>
      <c r="R3" s="2280"/>
    </row>
    <row r="4" spans="1:18" x14ac:dyDescent="0.2">
      <c r="A4" s="2281" t="s">
        <v>1540</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Canton Union SD 66</v>
      </c>
      <c r="E7" s="368"/>
      <c r="G7" s="247"/>
      <c r="H7" s="364"/>
      <c r="I7" s="364"/>
      <c r="J7" s="364"/>
      <c r="K7" s="364"/>
      <c r="L7" s="307"/>
      <c r="M7" s="307"/>
      <c r="N7" s="307"/>
      <c r="O7" s="307"/>
      <c r="P7" s="307"/>
    </row>
    <row r="8" spans="1:18" ht="12.75" x14ac:dyDescent="0.2">
      <c r="A8" s="307"/>
      <c r="B8" s="307"/>
      <c r="C8" s="366" t="s">
        <v>1117</v>
      </c>
      <c r="D8" s="369">
        <f>COVER!A13</f>
        <v>26029066025</v>
      </c>
      <c r="E8" s="370"/>
      <c r="G8" s="307"/>
      <c r="H8" s="307"/>
      <c r="I8" s="307"/>
      <c r="J8" s="307"/>
      <c r="K8" s="307"/>
      <c r="L8" s="307"/>
      <c r="M8" s="307"/>
      <c r="N8" s="307"/>
      <c r="O8" s="307"/>
      <c r="P8" s="307"/>
    </row>
    <row r="9" spans="1:18" ht="12.75" x14ac:dyDescent="0.2">
      <c r="A9" s="307"/>
      <c r="B9" s="307"/>
      <c r="C9" s="366" t="s">
        <v>708</v>
      </c>
      <c r="D9" s="371" t="str">
        <f>COVER!A15</f>
        <v>Fulton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12681828</v>
      </c>
      <c r="I12" s="380"/>
      <c r="J12" s="380"/>
      <c r="K12" s="1609">
        <f>TRUNC((H12/H13*100000),5)/100000</f>
        <v>0.53860193570000003</v>
      </c>
      <c r="L12" s="381"/>
      <c r="M12" s="337" t="s">
        <v>1136</v>
      </c>
      <c r="N12" s="337"/>
      <c r="O12" s="1612">
        <v>0.35</v>
      </c>
      <c r="P12" s="213"/>
      <c r="Q12" s="213"/>
    </row>
    <row r="13" spans="1:18" s="382" customFormat="1" ht="12.75" x14ac:dyDescent="0.2">
      <c r="A13" s="213"/>
      <c r="B13" s="377"/>
      <c r="C13" s="2277" t="s">
        <v>1315</v>
      </c>
      <c r="D13" s="2278"/>
      <c r="E13" s="213"/>
      <c r="F13" s="383" t="s">
        <v>788</v>
      </c>
      <c r="G13" s="378"/>
      <c r="H13" s="1601">
        <f>SUM('Acct Summary 7-8'!C8+'Acct Summary 7-8'!D8+'Acct Summary 7-8'!F8+'Acct Summary 7-8'!I8)+H14</f>
        <v>23545827</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22159541</v>
      </c>
      <c r="I17" s="380"/>
      <c r="J17" s="389"/>
      <c r="K17" s="1609">
        <f>TRUNC((H17/H18*100000),5)/100000</f>
        <v>0.94112391969999998</v>
      </c>
      <c r="L17" s="381"/>
      <c r="M17" s="390" t="s">
        <v>1163</v>
      </c>
      <c r="O17" s="1615" t="str">
        <f>IF(AND(O16="2", J20 &gt; 2),"1",IF(AND(O16 = "1", J20 &gt; 2),"2",IF(AND(O16="1", J20 &gt;1),"1","0")))</f>
        <v>0</v>
      </c>
      <c r="P17" s="213"/>
    </row>
    <row r="18" spans="1:18" s="382" customFormat="1" ht="11.25" x14ac:dyDescent="0.2">
      <c r="A18" s="213"/>
      <c r="B18" s="377"/>
      <c r="C18" s="2277" t="s">
        <v>1308</v>
      </c>
      <c r="D18" s="2278"/>
      <c r="E18" s="213"/>
      <c r="F18" s="391" t="s">
        <v>789</v>
      </c>
      <c r="G18" s="378"/>
      <c r="H18" s="1601">
        <f>SUM('Acct Summary 7-8'!C8+'Acct Summary 7-8'!D8+'Acct Summary 7-8'!F8+'Acct Summary 7-8'!I8)+H19</f>
        <v>23545827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4" t="s">
        <v>1398</v>
      </c>
      <c r="D24" s="2274"/>
      <c r="E24" s="213"/>
      <c r="F24" s="213" t="s">
        <v>442</v>
      </c>
      <c r="G24" s="378"/>
      <c r="H24" s="1601">
        <f>SUM('Assets-Liab 5-6'!C4+'Assets-Liab 5-6'!D4+'Assets-Liab 5-6'!F4+'Assets-Liab 5-6'!I4+'Assets-Liab 5-6'!C5+'Assets-Liab 5-6'!D5+'Assets-Liab 5-6'!F5+'Assets-Liab 5-6'!I5)</f>
        <v>12681828</v>
      </c>
      <c r="I24" s="394"/>
      <c r="J24" s="394"/>
      <c r="K24" s="1605">
        <f>TRUNC(((H24/H25*100000)/100000),2)</f>
        <v>206.02</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61554.280559999999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4801997.3225800004</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6725000</v>
      </c>
      <c r="I32" s="392"/>
      <c r="J32" s="392"/>
      <c r="K32" s="1605">
        <f>TRUNC(100-((((H32/H33*100))*100)/100),2)</f>
        <v>78.08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30693637.356000002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4" activePane="bottomLeft" state="frozen"/>
      <selection pane="bottomLeft" activeCell="C49" sqref="C4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4" t="s">
        <v>967</v>
      </c>
      <c r="B3" s="2285"/>
      <c r="C3" s="1351"/>
      <c r="D3" s="1352"/>
      <c r="E3" s="1352"/>
      <c r="F3" s="1352"/>
      <c r="G3" s="1352"/>
      <c r="H3" s="1352"/>
      <c r="I3" s="1352"/>
      <c r="J3" s="1352"/>
      <c r="K3" s="1352"/>
      <c r="L3" s="1352"/>
      <c r="M3" s="1353"/>
      <c r="N3" s="1354"/>
    </row>
    <row r="4" spans="1:14" ht="13.5" customHeight="1" x14ac:dyDescent="0.2">
      <c r="A4" s="427" t="s">
        <v>1635</v>
      </c>
      <c r="B4" s="428"/>
      <c r="C4" s="1622">
        <v>5322622</v>
      </c>
      <c r="D4" s="1623">
        <v>454272</v>
      </c>
      <c r="E4" s="1623">
        <v>109548</v>
      </c>
      <c r="F4" s="1623">
        <v>508468</v>
      </c>
      <c r="G4" s="1623">
        <v>585330</v>
      </c>
      <c r="H4" s="1623">
        <v>1319291</v>
      </c>
      <c r="I4" s="1623">
        <v>1464462</v>
      </c>
      <c r="J4" s="1624">
        <v>400047</v>
      </c>
      <c r="K4" s="1623">
        <v>13364</v>
      </c>
      <c r="L4" s="1623">
        <v>1258176</v>
      </c>
      <c r="M4" s="1625"/>
      <c r="N4" s="1626"/>
    </row>
    <row r="5" spans="1:14" x14ac:dyDescent="0.2">
      <c r="A5" s="427" t="s">
        <v>985</v>
      </c>
      <c r="B5" s="429">
        <v>120</v>
      </c>
      <c r="C5" s="1622">
        <v>4932004</v>
      </c>
      <c r="D5" s="1623"/>
      <c r="E5" s="1623"/>
      <c r="F5" s="1623"/>
      <c r="G5" s="1623"/>
      <c r="H5" s="1623"/>
      <c r="I5" s="1623"/>
      <c r="J5" s="1624"/>
      <c r="K5" s="1627"/>
      <c r="L5" s="1628">
        <v>53926</v>
      </c>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10254626</v>
      </c>
      <c r="D13" s="1637">
        <f t="shared" ref="D13:L13" si="0">SUM(D4:D12)</f>
        <v>454272</v>
      </c>
      <c r="E13" s="1637">
        <f t="shared" si="0"/>
        <v>109548</v>
      </c>
      <c r="F13" s="1637">
        <f t="shared" si="0"/>
        <v>508468</v>
      </c>
      <c r="G13" s="1637">
        <f t="shared" si="0"/>
        <v>585330</v>
      </c>
      <c r="H13" s="1637">
        <f t="shared" si="0"/>
        <v>1319291</v>
      </c>
      <c r="I13" s="1637">
        <f t="shared" si="0"/>
        <v>1464462</v>
      </c>
      <c r="J13" s="1637">
        <f t="shared" si="0"/>
        <v>400047</v>
      </c>
      <c r="K13" s="1637">
        <f t="shared" si="0"/>
        <v>13364</v>
      </c>
      <c r="L13" s="1637">
        <f t="shared" si="0"/>
        <v>1312102</v>
      </c>
      <c r="M13" s="1625"/>
      <c r="N13" s="1626"/>
    </row>
    <row r="14" spans="1:14" ht="18" customHeight="1" thickTop="1" x14ac:dyDescent="0.2">
      <c r="A14" s="2286" t="s">
        <v>146</v>
      </c>
      <c r="B14" s="2287"/>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253690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26753798</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7267229</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5924220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109548</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6615452</v>
      </c>
    </row>
    <row r="23" spans="1:14" ht="13.5" customHeight="1" thickBot="1" x14ac:dyDescent="0.25">
      <c r="A23" s="1475" t="s">
        <v>638</v>
      </c>
      <c r="B23" s="1478"/>
      <c r="C23" s="1625"/>
      <c r="D23" s="1625"/>
      <c r="E23" s="1625"/>
      <c r="F23" s="1625"/>
      <c r="G23" s="1625"/>
      <c r="H23" s="1625"/>
      <c r="I23" s="1625"/>
      <c r="J23" s="1625"/>
      <c r="K23" s="1625"/>
      <c r="L23" s="1625"/>
      <c r="M23" s="1644">
        <f>SUM(M15:M22)</f>
        <v>40198937</v>
      </c>
      <c r="N23" s="1644">
        <f>SUM(N21:N22)</f>
        <v>6725000</v>
      </c>
    </row>
    <row r="24" spans="1:14" ht="18" customHeight="1" thickTop="1" x14ac:dyDescent="0.2">
      <c r="A24" s="2288" t="s">
        <v>594</v>
      </c>
      <c r="B24" s="2289"/>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448739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448739</v>
      </c>
      <c r="M34" s="1625"/>
      <c r="N34" s="1635"/>
    </row>
    <row r="35" spans="1:14" ht="18" customHeight="1" thickTop="1" x14ac:dyDescent="0.2">
      <c r="A35" s="2290" t="s">
        <v>526</v>
      </c>
      <c r="B35" s="2291"/>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6725000</v>
      </c>
    </row>
    <row r="37" spans="1:14" ht="13.5" thickBot="1" x14ac:dyDescent="0.25">
      <c r="A37" s="1475" t="s">
        <v>648</v>
      </c>
      <c r="B37" s="1478"/>
      <c r="C37" s="1632"/>
      <c r="D37" s="1632"/>
      <c r="E37" s="1632"/>
      <c r="F37" s="1632"/>
      <c r="G37" s="1632"/>
      <c r="H37" s="1632"/>
      <c r="I37" s="1632"/>
      <c r="J37" s="1632"/>
      <c r="K37" s="1632"/>
      <c r="L37" s="1635"/>
      <c r="M37" s="1625"/>
      <c r="N37" s="1644">
        <f>SUM(N36:N36)</f>
        <v>6725000</v>
      </c>
    </row>
    <row r="38" spans="1:14" s="307" customFormat="1" ht="13.5" customHeight="1" thickTop="1" x14ac:dyDescent="0.2">
      <c r="A38" s="438" t="s">
        <v>417</v>
      </c>
      <c r="B38" s="432">
        <v>714</v>
      </c>
      <c r="C38" s="1623">
        <v>1381107</v>
      </c>
      <c r="D38" s="1623"/>
      <c r="E38" s="1623"/>
      <c r="F38" s="1623"/>
      <c r="G38" s="1623">
        <v>317364</v>
      </c>
      <c r="H38" s="1623">
        <v>866081</v>
      </c>
      <c r="I38" s="1623"/>
      <c r="J38" s="1624"/>
      <c r="K38" s="1623"/>
      <c r="L38" s="1636">
        <v>863363</v>
      </c>
      <c r="M38" s="1654"/>
      <c r="N38" s="1654"/>
    </row>
    <row r="39" spans="1:14" s="307" customFormat="1" ht="13.5" customHeight="1" x14ac:dyDescent="0.2">
      <c r="A39" s="438" t="s">
        <v>339</v>
      </c>
      <c r="B39" s="432">
        <v>730</v>
      </c>
      <c r="C39" s="1623">
        <v>8873519</v>
      </c>
      <c r="D39" s="1623">
        <v>454272</v>
      </c>
      <c r="E39" s="1623">
        <v>109548</v>
      </c>
      <c r="F39" s="1623">
        <v>508468</v>
      </c>
      <c r="G39" s="1623">
        <v>267966</v>
      </c>
      <c r="H39" s="1623">
        <v>453210</v>
      </c>
      <c r="I39" s="1623">
        <v>1464462</v>
      </c>
      <c r="J39" s="1624">
        <v>400047</v>
      </c>
      <c r="K39" s="1623">
        <v>13364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40198937</v>
      </c>
      <c r="N40" s="1654"/>
    </row>
    <row r="41" spans="1:14" ht="13.5" customHeight="1" thickBot="1" x14ac:dyDescent="0.25">
      <c r="A41" s="1475" t="s">
        <v>650</v>
      </c>
      <c r="B41" s="1454"/>
      <c r="C41" s="1644">
        <f>(SUM(C34,C37,C38,C39))</f>
        <v>10254626</v>
      </c>
      <c r="D41" s="1644">
        <f t="shared" ref="D41:L41" si="2">SUM(D34,D37,D38:D39)</f>
        <v>454272</v>
      </c>
      <c r="E41" s="1644">
        <f t="shared" si="2"/>
        <v>109548</v>
      </c>
      <c r="F41" s="1644">
        <f t="shared" si="2"/>
        <v>508468</v>
      </c>
      <c r="G41" s="1644">
        <f t="shared" si="2"/>
        <v>585330</v>
      </c>
      <c r="H41" s="1644">
        <f t="shared" si="2"/>
        <v>1319291</v>
      </c>
      <c r="I41" s="1644">
        <f t="shared" si="2"/>
        <v>1464462</v>
      </c>
      <c r="J41" s="1644">
        <f t="shared" si="2"/>
        <v>400047</v>
      </c>
      <c r="K41" s="1644">
        <f t="shared" si="2"/>
        <v>13364</v>
      </c>
      <c r="L41" s="1644">
        <f t="shared" si="2"/>
        <v>1312102</v>
      </c>
      <c r="M41" s="1644">
        <f>SUM(M40)</f>
        <v>40198937</v>
      </c>
      <c r="N41" s="1644">
        <f>SUM(N37)</f>
        <v>6725000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2" t="s">
        <v>1167</v>
      </c>
      <c r="B3" s="2313"/>
      <c r="C3" s="1356"/>
      <c r="D3" s="1357"/>
      <c r="E3" s="1357"/>
      <c r="F3" s="1357"/>
      <c r="G3" s="1357"/>
      <c r="H3" s="1357"/>
      <c r="I3" s="1357"/>
      <c r="J3" s="1357"/>
      <c r="K3" s="1358"/>
      <c r="L3" s="446"/>
    </row>
    <row r="4" spans="1:13" ht="15.75" customHeight="1" x14ac:dyDescent="0.2">
      <c r="A4" s="1587" t="s">
        <v>1485</v>
      </c>
      <c r="B4" s="1588">
        <v>1000</v>
      </c>
      <c r="C4" s="1656">
        <f>'Revenues 9-14'!C109</f>
        <v>7898398</v>
      </c>
      <c r="D4" s="1656">
        <f>'Revenues 9-14'!D109</f>
        <v>1984798</v>
      </c>
      <c r="E4" s="1656">
        <f>'Revenues 9-14'!E109</f>
        <v>1101405</v>
      </c>
      <c r="F4" s="1656">
        <f>'Revenues 9-14'!F109</f>
        <v>486289</v>
      </c>
      <c r="G4" s="1656">
        <f>'Revenues 9-14'!G109</f>
        <v>1099097</v>
      </c>
      <c r="H4" s="1656">
        <f>'Revenues 9-14'!H109</f>
        <v>720283</v>
      </c>
      <c r="I4" s="1656">
        <f>'Revenues 9-14'!I109</f>
        <v>119238</v>
      </c>
      <c r="J4" s="1656">
        <f>'Revenues 9-14'!J109</f>
        <v>1123081</v>
      </c>
      <c r="K4" s="1656">
        <f>'Revenues 9-14'!K109</f>
        <v>112133</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10094311</v>
      </c>
      <c r="D6" s="1657">
        <f>'Revenues 9-14'!D170</f>
        <v>50000</v>
      </c>
      <c r="E6" s="1657">
        <f>'Revenues 9-14'!E170</f>
        <v>0</v>
      </c>
      <c r="F6" s="1657">
        <f>'Revenues 9-14'!F170</f>
        <v>719947</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2188817</v>
      </c>
      <c r="D7" s="1657">
        <f>'Revenues 9-14'!D267</f>
        <v>0</v>
      </c>
      <c r="E7" s="1657">
        <f>'Revenues 9-14'!E267</f>
        <v>0</v>
      </c>
      <c r="F7" s="1657">
        <f>'Revenues 9-14'!F267</f>
        <v>4029</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20181526</v>
      </c>
      <c r="D8" s="1644">
        <f t="shared" ref="D8:K8" si="0">SUM(D4:D7)</f>
        <v>2034798</v>
      </c>
      <c r="E8" s="1644">
        <f t="shared" si="0"/>
        <v>1101405</v>
      </c>
      <c r="F8" s="1644">
        <f t="shared" si="0"/>
        <v>1210265</v>
      </c>
      <c r="G8" s="1644">
        <f t="shared" si="0"/>
        <v>1099097</v>
      </c>
      <c r="H8" s="1644">
        <f t="shared" si="0"/>
        <v>720283</v>
      </c>
      <c r="I8" s="1644">
        <f t="shared" si="0"/>
        <v>119238</v>
      </c>
      <c r="J8" s="1644">
        <f t="shared" si="0"/>
        <v>1123081</v>
      </c>
      <c r="K8" s="1644">
        <f t="shared" si="0"/>
        <v>112133</v>
      </c>
      <c r="L8" s="325"/>
    </row>
    <row r="9" spans="1:13" ht="15.75" thickTop="1" x14ac:dyDescent="0.2">
      <c r="A9" s="449" t="s">
        <v>1637</v>
      </c>
      <c r="B9" s="450">
        <v>3998</v>
      </c>
      <c r="C9" s="1636">
        <v>1244830</v>
      </c>
      <c r="D9" s="1663"/>
      <c r="E9" s="1636"/>
      <c r="F9" s="1636"/>
      <c r="G9" s="1664"/>
      <c r="H9" s="1636"/>
      <c r="I9" s="1659" t="s">
        <v>1161</v>
      </c>
      <c r="J9" s="1633"/>
      <c r="K9" s="1636"/>
      <c r="L9" s="325"/>
    </row>
    <row r="10" spans="1:13" s="452" customFormat="1" ht="13.5" thickBot="1" x14ac:dyDescent="0.25">
      <c r="A10" s="1475" t="s">
        <v>1165</v>
      </c>
      <c r="B10" s="1456"/>
      <c r="C10" s="1644">
        <f>SUM(C8:C9)</f>
        <v>21426356</v>
      </c>
      <c r="D10" s="1644">
        <f t="shared" ref="D10:K10" si="1">SUM(D8:D9)</f>
        <v>2034798</v>
      </c>
      <c r="E10" s="1644">
        <f t="shared" si="1"/>
        <v>1101405</v>
      </c>
      <c r="F10" s="1644">
        <f t="shared" si="1"/>
        <v>1210265</v>
      </c>
      <c r="G10" s="1644">
        <f t="shared" si="1"/>
        <v>1099097</v>
      </c>
      <c r="H10" s="1644">
        <f t="shared" si="1"/>
        <v>720283</v>
      </c>
      <c r="I10" s="1644">
        <f t="shared" si="1"/>
        <v>119238</v>
      </c>
      <c r="J10" s="1644">
        <f t="shared" si="1"/>
        <v>1123081</v>
      </c>
      <c r="K10" s="1644">
        <f t="shared" si="1"/>
        <v>112133</v>
      </c>
      <c r="L10" s="451"/>
    </row>
    <row r="11" spans="1:13" s="452" customFormat="1" ht="16.7" customHeight="1" thickTop="1" x14ac:dyDescent="0.2">
      <c r="A11" s="2286" t="s">
        <v>1168</v>
      </c>
      <c r="B11" s="2287"/>
      <c r="C11" s="1652"/>
      <c r="D11" s="1653"/>
      <c r="E11" s="1653"/>
      <c r="F11" s="1653"/>
      <c r="G11" s="1653"/>
      <c r="H11" s="1653"/>
      <c r="I11" s="1653"/>
      <c r="J11" s="1653"/>
      <c r="K11" s="1665"/>
      <c r="L11" s="451"/>
    </row>
    <row r="12" spans="1:13" ht="15.75" customHeight="1" x14ac:dyDescent="0.2">
      <c r="A12" s="1359" t="s">
        <v>453</v>
      </c>
      <c r="B12" s="1361">
        <v>1000</v>
      </c>
      <c r="C12" s="1656">
        <f>'Expenditures 15-22'!K33</f>
        <v>13825864</v>
      </c>
      <c r="D12" s="1666" t="s">
        <v>1161</v>
      </c>
      <c r="E12" s="1625" t="s">
        <v>1161</v>
      </c>
      <c r="F12" s="1625" t="s">
        <v>1161</v>
      </c>
      <c r="G12" s="1656">
        <f>'Expenditures 15-22'!K229</f>
        <v>446820</v>
      </c>
      <c r="H12" s="1667"/>
      <c r="I12" s="1625" t="s">
        <v>1161</v>
      </c>
      <c r="J12" s="1625" t="s">
        <v>1161</v>
      </c>
      <c r="K12" s="1667" t="s">
        <v>1161</v>
      </c>
      <c r="L12" s="325"/>
    </row>
    <row r="13" spans="1:13" ht="15.75" customHeight="1" x14ac:dyDescent="0.2">
      <c r="A13" s="1359" t="s">
        <v>454</v>
      </c>
      <c r="B13" s="1361">
        <v>2000</v>
      </c>
      <c r="C13" s="1657">
        <f>'Expenditures 15-22'!K74</f>
        <v>4202582</v>
      </c>
      <c r="D13" s="1657">
        <f>'Expenditures 15-22'!K129</f>
        <v>1810508</v>
      </c>
      <c r="E13" s="1626" t="s">
        <v>1161</v>
      </c>
      <c r="F13" s="1657">
        <f>'Expenditures 15-22'!K184</f>
        <v>1380575</v>
      </c>
      <c r="G13" s="1657">
        <f>'Expenditures 15-22'!K279</f>
        <v>433211</v>
      </c>
      <c r="H13" s="1657">
        <f>'Expenditures 15-22'!K303</f>
        <v>599322</v>
      </c>
      <c r="I13" s="1625" t="s">
        <v>1161</v>
      </c>
      <c r="J13" s="1657">
        <f>'Expenditures 15-22'!K330</f>
        <v>984714</v>
      </c>
      <c r="K13" s="1668">
        <f>'Expenditures 15-22'!K352</f>
        <v>1435256</v>
      </c>
      <c r="L13" s="325"/>
    </row>
    <row r="14" spans="1:13" ht="15.75" customHeight="1" x14ac:dyDescent="0.2">
      <c r="A14" s="1359" t="s">
        <v>446</v>
      </c>
      <c r="B14" s="1361">
        <v>3000</v>
      </c>
      <c r="C14" s="1657">
        <f>'Expenditures 15-22'!K75</f>
        <v>10386</v>
      </c>
      <c r="D14" s="1657">
        <f>'Expenditures 15-22'!K130</f>
        <v>0</v>
      </c>
      <c r="E14" s="1666" t="s">
        <v>1161</v>
      </c>
      <c r="F14" s="1657">
        <f>'Expenditures 15-22'!K185</f>
        <v>0</v>
      </c>
      <c r="G14" s="1657">
        <f>'Expenditures 15-22'!K280</f>
        <v>86</v>
      </c>
      <c r="H14" s="1662"/>
      <c r="I14" s="1625" t="s">
        <v>1161</v>
      </c>
      <c r="J14" s="1625" t="s">
        <v>1161</v>
      </c>
      <c r="K14" s="1662" t="s">
        <v>1161</v>
      </c>
      <c r="L14" s="325"/>
    </row>
    <row r="15" spans="1:13" ht="15.75" customHeight="1" x14ac:dyDescent="0.2">
      <c r="A15" s="1359" t="s">
        <v>107</v>
      </c>
      <c r="B15" s="1361">
        <v>4000</v>
      </c>
      <c r="C15" s="1657">
        <f>'Expenditures 15-22'!K102</f>
        <v>929626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1105308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18968458</v>
      </c>
      <c r="D17" s="1644">
        <f t="shared" si="2"/>
        <v>1810508</v>
      </c>
      <c r="E17" s="1644">
        <f t="shared" si="2"/>
        <v>1105308</v>
      </c>
      <c r="F17" s="1644">
        <f t="shared" si="2"/>
        <v>1380575</v>
      </c>
      <c r="G17" s="1644">
        <f t="shared" si="2"/>
        <v>880117</v>
      </c>
      <c r="H17" s="1644">
        <f t="shared" si="2"/>
        <v>599322</v>
      </c>
      <c r="I17" s="1625"/>
      <c r="J17" s="1644">
        <f>SUM(J12:J16)</f>
        <v>984714</v>
      </c>
      <c r="K17" s="1644">
        <f>SUM(K12:K16)</f>
        <v>1435256</v>
      </c>
      <c r="L17" s="325"/>
    </row>
    <row r="18" spans="1:12" ht="15" customHeight="1" thickTop="1" x14ac:dyDescent="0.2">
      <c r="A18" s="1479" t="s">
        <v>1638</v>
      </c>
      <c r="B18" s="1480">
        <v>4180</v>
      </c>
      <c r="C18" s="1656">
        <f t="shared" ref="C18:H18" si="3">C9</f>
        <v>1244830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20213288</v>
      </c>
      <c r="D19" s="1644">
        <f t="shared" si="4"/>
        <v>1810508</v>
      </c>
      <c r="E19" s="1644">
        <f t="shared" si="4"/>
        <v>1105308</v>
      </c>
      <c r="F19" s="1644">
        <f t="shared" si="4"/>
        <v>1380575</v>
      </c>
      <c r="G19" s="1644">
        <f t="shared" si="4"/>
        <v>880117</v>
      </c>
      <c r="H19" s="1644">
        <f t="shared" si="4"/>
        <v>599322</v>
      </c>
      <c r="I19" s="1625"/>
      <c r="J19" s="1644">
        <f>SUM(J17:J18)</f>
        <v>984714</v>
      </c>
      <c r="K19" s="1644">
        <f>SUM(K17:K18)</f>
        <v>1435256</v>
      </c>
      <c r="L19" s="325"/>
    </row>
    <row r="20" spans="1:12" ht="16.5" thickTop="1" thickBot="1" x14ac:dyDescent="0.25">
      <c r="A20" s="2302" t="s">
        <v>1639</v>
      </c>
      <c r="B20" s="2303"/>
      <c r="C20" s="1672">
        <f>C8-C17</f>
        <v>1213068</v>
      </c>
      <c r="D20" s="1672">
        <f t="shared" ref="D20:K20" si="5">D8-D17</f>
        <v>224290</v>
      </c>
      <c r="E20" s="1672">
        <f t="shared" si="5"/>
        <v>-3903</v>
      </c>
      <c r="F20" s="1672">
        <f t="shared" si="5"/>
        <v>-170310</v>
      </c>
      <c r="G20" s="1672">
        <f t="shared" si="5"/>
        <v>218980</v>
      </c>
      <c r="H20" s="1672">
        <f t="shared" si="5"/>
        <v>120961</v>
      </c>
      <c r="I20" s="1672">
        <f t="shared" si="5"/>
        <v>119238</v>
      </c>
      <c r="J20" s="1672">
        <f t="shared" si="5"/>
        <v>138367</v>
      </c>
      <c r="K20" s="1672">
        <f t="shared" si="5"/>
        <v>-1323123</v>
      </c>
      <c r="L20" s="325"/>
    </row>
    <row r="21" spans="1:12" ht="16.7" customHeight="1" thickTop="1" x14ac:dyDescent="0.2">
      <c r="A21" s="2314" t="s">
        <v>591</v>
      </c>
      <c r="B21" s="2315"/>
      <c r="C21" s="1652"/>
      <c r="D21" s="1653"/>
      <c r="E21" s="1653"/>
      <c r="F21" s="1653"/>
      <c r="G21" s="1653"/>
      <c r="H21" s="1653"/>
      <c r="I21" s="1653"/>
      <c r="J21" s="1653"/>
      <c r="K21" s="1665"/>
      <c r="L21" s="453"/>
    </row>
    <row r="22" spans="1:12" ht="15.75" customHeight="1" collapsed="1" x14ac:dyDescent="0.2">
      <c r="A22" s="2310" t="s">
        <v>592</v>
      </c>
      <c r="B22" s="2311"/>
      <c r="C22" s="1632"/>
      <c r="D22" s="1632"/>
      <c r="E22" s="1632"/>
      <c r="F22" s="1632"/>
      <c r="G22" s="1632"/>
      <c r="H22" s="1632"/>
      <c r="I22" s="1632"/>
      <c r="J22" s="1632"/>
      <c r="K22" s="1632"/>
      <c r="L22" s="325"/>
    </row>
    <row r="23" spans="1:12" s="433" customFormat="1" ht="15.75" customHeight="1" x14ac:dyDescent="0.2">
      <c r="A23" s="2306" t="s">
        <v>290</v>
      </c>
      <c r="B23" s="2307"/>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308" t="s">
        <v>974</v>
      </c>
      <c r="B32" s="2309"/>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6" t="s">
        <v>371</v>
      </c>
      <c r="B44" s="2317"/>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0" t="s">
        <v>108</v>
      </c>
      <c r="B45" s="2311"/>
      <c r="C45" s="1675"/>
      <c r="D45" s="1675"/>
      <c r="E45" s="1675"/>
      <c r="F45" s="1675"/>
      <c r="G45" s="1675"/>
      <c r="H45" s="1675"/>
      <c r="I45" s="1675"/>
      <c r="J45" s="1675"/>
      <c r="K45" s="1675"/>
      <c r="L45" s="325"/>
    </row>
    <row r="46" spans="1:12" s="433" customFormat="1" ht="15.75" customHeight="1" x14ac:dyDescent="0.2">
      <c r="A46" s="2318" t="s">
        <v>109</v>
      </c>
      <c r="B46" s="2319"/>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2" t="s">
        <v>437</v>
      </c>
      <c r="B76" s="2293"/>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4" t="s">
        <v>1169</v>
      </c>
      <c r="B77" s="2295"/>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8" t="s">
        <v>593</v>
      </c>
      <c r="B78" s="2299"/>
      <c r="C78" s="1679">
        <f t="shared" ref="C78:K78" si="9">C20+C77</f>
        <v>1213068</v>
      </c>
      <c r="D78" s="1679">
        <f t="shared" si="9"/>
        <v>224290</v>
      </c>
      <c r="E78" s="1679">
        <f t="shared" si="9"/>
        <v>-3903</v>
      </c>
      <c r="F78" s="1679">
        <f t="shared" si="9"/>
        <v>-170310</v>
      </c>
      <c r="G78" s="1679">
        <f t="shared" si="9"/>
        <v>218980</v>
      </c>
      <c r="H78" s="1679">
        <f t="shared" si="9"/>
        <v>120961</v>
      </c>
      <c r="I78" s="1679">
        <f t="shared" si="9"/>
        <v>119238</v>
      </c>
      <c r="J78" s="1679">
        <f t="shared" si="9"/>
        <v>138367</v>
      </c>
      <c r="K78" s="1679">
        <f t="shared" si="9"/>
        <v>-1323123</v>
      </c>
      <c r="L78" s="457"/>
    </row>
    <row r="79" spans="1:12" ht="13.5" thickTop="1" x14ac:dyDescent="0.2">
      <c r="A79" s="1902" t="str">
        <f>"Fund Balances - July 1, "&amp;'AFR20'!E2-1</f>
        <v>Fund Balances - July 1, 2019</v>
      </c>
      <c r="B79" s="458"/>
      <c r="C79" s="1633">
        <v>9041558</v>
      </c>
      <c r="D79" s="1680">
        <v>229982</v>
      </c>
      <c r="E79" s="1680">
        <v>113451</v>
      </c>
      <c r="F79" s="1680">
        <v>678778</v>
      </c>
      <c r="G79" s="1680">
        <v>366350</v>
      </c>
      <c r="H79" s="1680">
        <v>1198330</v>
      </c>
      <c r="I79" s="1680">
        <v>1345224</v>
      </c>
      <c r="J79" s="1680">
        <v>261680</v>
      </c>
      <c r="K79" s="1680">
        <v>1336487</v>
      </c>
      <c r="L79" s="325"/>
    </row>
    <row r="80" spans="1:12" x14ac:dyDescent="0.2">
      <c r="A80" s="2304" t="s">
        <v>1772</v>
      </c>
      <c r="B80" s="2305"/>
      <c r="C80" s="1624"/>
      <c r="D80" s="1624"/>
      <c r="E80" s="1624"/>
      <c r="F80" s="1624"/>
      <c r="G80" s="1624"/>
      <c r="H80" s="1624"/>
      <c r="I80" s="1624"/>
      <c r="J80" s="1624"/>
      <c r="K80" s="1624"/>
      <c r="L80" s="325"/>
    </row>
    <row r="81" spans="1:12" ht="13.5" thickBot="1" x14ac:dyDescent="0.25">
      <c r="A81" s="2296" t="str">
        <f>"Fund Balances - June 30, "&amp;'AFR20'!E2</f>
        <v>Fund Balances - June 30, 2020</v>
      </c>
      <c r="B81" s="2297"/>
      <c r="C81" s="1644">
        <f>(SUM(C78:C80))</f>
        <v>10254626</v>
      </c>
      <c r="D81" s="1644">
        <f>SUM(D78:D80)</f>
        <v>454272</v>
      </c>
      <c r="E81" s="1644">
        <f t="shared" ref="E81:K81" si="10">SUM(E78:E80)</f>
        <v>109548</v>
      </c>
      <c r="F81" s="1644">
        <f t="shared" si="10"/>
        <v>508468</v>
      </c>
      <c r="G81" s="1644">
        <f t="shared" si="10"/>
        <v>585330</v>
      </c>
      <c r="H81" s="1644">
        <f t="shared" si="10"/>
        <v>1319291</v>
      </c>
      <c r="I81" s="1644">
        <f t="shared" si="10"/>
        <v>1464462</v>
      </c>
      <c r="J81" s="1644">
        <f t="shared" si="10"/>
        <v>400047</v>
      </c>
      <c r="K81" s="1644">
        <f t="shared" si="10"/>
        <v>13364</v>
      </c>
      <c r="L81" s="325"/>
    </row>
    <row r="82" spans="1:12" ht="0.75" customHeight="1" thickTop="1" thickBot="1" x14ac:dyDescent="0.25">
      <c r="A82" s="459" t="s">
        <v>340</v>
      </c>
      <c r="B82" s="460"/>
      <c r="C82" s="461">
        <f>(C81-C79)</f>
        <v>1213068</v>
      </c>
      <c r="D82" s="461">
        <f t="shared" ref="D82:K82" si="11">(D81-D79)</f>
        <v>224290</v>
      </c>
      <c r="E82" s="461">
        <f t="shared" si="11"/>
        <v>-3903</v>
      </c>
      <c r="F82" s="461">
        <f t="shared" si="11"/>
        <v>-170310</v>
      </c>
      <c r="G82" s="461">
        <f t="shared" si="11"/>
        <v>218980</v>
      </c>
      <c r="H82" s="461">
        <f t="shared" si="11"/>
        <v>120961</v>
      </c>
      <c r="I82" s="461">
        <f t="shared" si="11"/>
        <v>119238</v>
      </c>
      <c r="J82" s="461">
        <f t="shared" si="11"/>
        <v>138367</v>
      </c>
      <c r="K82" s="461">
        <f t="shared" si="11"/>
        <v>-1323123</v>
      </c>
    </row>
    <row r="83" spans="1:12" ht="14.25" hidden="1" thickTop="1" thickBot="1" x14ac:dyDescent="0.25">
      <c r="A83" s="462" t="s">
        <v>341</v>
      </c>
      <c r="B83" s="428"/>
      <c r="C83" s="463">
        <f>C82/C81</f>
        <v>0.11829470913907537</v>
      </c>
      <c r="D83" s="463">
        <f t="shared" ref="D83:K83" si="12">D82/D81</f>
        <v>0.49373503099464638</v>
      </c>
      <c r="E83" s="463">
        <f t="shared" si="12"/>
        <v>-3.5628217767553948E-2</v>
      </c>
      <c r="F83" s="463">
        <f t="shared" si="12"/>
        <v>-0.3349473319854937</v>
      </c>
      <c r="G83" s="463">
        <f t="shared" si="12"/>
        <v>0.37411374780038609</v>
      </c>
      <c r="H83" s="463">
        <f t="shared" si="12"/>
        <v>9.1686367905185431E-2</v>
      </c>
      <c r="I83" s="463">
        <f t="shared" si="12"/>
        <v>8.142102697099686E-2</v>
      </c>
      <c r="J83" s="463">
        <f t="shared" si="12"/>
        <v>0.34587685946901237</v>
      </c>
      <c r="K83" s="463">
        <f t="shared" si="12"/>
        <v>-99.006510026938045</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98" activePane="bottomLeft" state="frozen"/>
      <selection pane="bottomLeft" activeCell="C206" sqref="C20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1779</v>
      </c>
      <c r="B1" s="416"/>
      <c r="C1" s="417" t="s">
        <v>422</v>
      </c>
      <c r="D1" s="417" t="s">
        <v>423</v>
      </c>
      <c r="E1" s="417" t="s">
        <v>424</v>
      </c>
      <c r="F1" s="417" t="s">
        <v>425</v>
      </c>
      <c r="G1" s="417" t="s">
        <v>426</v>
      </c>
      <c r="H1" s="417" t="s">
        <v>427</v>
      </c>
      <c r="I1" s="417" t="s">
        <v>428</v>
      </c>
      <c r="J1" s="417" t="s">
        <v>429</v>
      </c>
      <c r="K1" s="417" t="s">
        <v>751</v>
      </c>
    </row>
    <row r="2" spans="1:12" ht="36" x14ac:dyDescent="0.2">
      <c r="A2" s="230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3923938</v>
      </c>
      <c r="D5" s="1636">
        <v>1066286</v>
      </c>
      <c r="E5" s="1623">
        <v>789263</v>
      </c>
      <c r="F5" s="1681">
        <v>426509</v>
      </c>
      <c r="G5" s="1623">
        <v>427365</v>
      </c>
      <c r="H5" s="1623"/>
      <c r="I5" s="1623">
        <v>106625</v>
      </c>
      <c r="J5" s="1624">
        <v>1085693</v>
      </c>
      <c r="K5" s="1623">
        <v>106625</v>
      </c>
    </row>
    <row r="6" spans="1:12" ht="15" x14ac:dyDescent="0.2">
      <c r="A6" s="427" t="s">
        <v>1646</v>
      </c>
      <c r="B6" s="429">
        <v>1130</v>
      </c>
      <c r="C6" s="1623">
        <v>106625</v>
      </c>
      <c r="D6" s="1623"/>
      <c r="E6" s="1630"/>
      <c r="F6" s="1630"/>
      <c r="G6" s="1625"/>
      <c r="H6" s="1625"/>
      <c r="I6" s="1625"/>
      <c r="J6" s="1625"/>
      <c r="K6" s="1625"/>
    </row>
    <row r="7" spans="1:12" x14ac:dyDescent="0.2">
      <c r="A7" s="427" t="s">
        <v>110</v>
      </c>
      <c r="B7" s="471">
        <v>1140</v>
      </c>
      <c r="C7" s="1623">
        <v>85302</v>
      </c>
      <c r="D7" s="1623"/>
      <c r="E7" s="1625"/>
      <c r="F7" s="1624"/>
      <c r="G7" s="1624"/>
      <c r="H7" s="1624"/>
      <c r="I7" s="1625"/>
      <c r="J7" s="1625"/>
      <c r="K7" s="1625"/>
    </row>
    <row r="8" spans="1:12" x14ac:dyDescent="0.2">
      <c r="A8" s="427" t="s">
        <v>410</v>
      </c>
      <c r="B8" s="429">
        <v>1150</v>
      </c>
      <c r="C8" s="1630"/>
      <c r="D8" s="1630"/>
      <c r="E8" s="1632"/>
      <c r="F8" s="1632"/>
      <c r="G8" s="1636">
        <v>432482</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4115865</v>
      </c>
      <c r="D12" s="1683">
        <f t="shared" si="0"/>
        <v>1066286</v>
      </c>
      <c r="E12" s="1683">
        <f t="shared" si="0"/>
        <v>789263</v>
      </c>
      <c r="F12" s="1683">
        <f t="shared" si="0"/>
        <v>426509</v>
      </c>
      <c r="G12" s="1683">
        <f t="shared" si="0"/>
        <v>859847</v>
      </c>
      <c r="H12" s="1683">
        <f t="shared" si="0"/>
        <v>0</v>
      </c>
      <c r="I12" s="1683">
        <f t="shared" si="0"/>
        <v>106625</v>
      </c>
      <c r="J12" s="1683">
        <f t="shared" si="0"/>
        <v>1085693</v>
      </c>
      <c r="K12" s="1644">
        <f t="shared" si="0"/>
        <v>106625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2813814</v>
      </c>
      <c r="D16" s="1623">
        <v>800000</v>
      </c>
      <c r="E16" s="1623"/>
      <c r="F16" s="1623"/>
      <c r="G16" s="1623">
        <v>230000</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2813814</v>
      </c>
      <c r="D18" s="1685">
        <f t="shared" ref="D18:K18" si="1">SUM(D14:D17)</f>
        <v>800000</v>
      </c>
      <c r="E18" s="1685">
        <f t="shared" si="1"/>
        <v>0</v>
      </c>
      <c r="F18" s="1685">
        <f t="shared" si="1"/>
        <v>0</v>
      </c>
      <c r="G18" s="1685">
        <f t="shared" si="1"/>
        <v>230000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20500</v>
      </c>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v>51087</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71587</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106474</v>
      </c>
      <c r="D65" s="1623">
        <v>8795</v>
      </c>
      <c r="E65" s="1623">
        <v>4840</v>
      </c>
      <c r="F65" s="1624">
        <v>6155</v>
      </c>
      <c r="G65" s="1623">
        <v>9250</v>
      </c>
      <c r="H65" s="1623">
        <v>8486</v>
      </c>
      <c r="I65" s="1623">
        <v>12613</v>
      </c>
      <c r="J65" s="1624">
        <v>8775</v>
      </c>
      <c r="K65" s="1623">
        <v>3141</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106474</v>
      </c>
      <c r="D67" s="1644">
        <f t="shared" ref="D67:K67" si="2">SUM(D65:D66)</f>
        <v>8795</v>
      </c>
      <c r="E67" s="1644">
        <f t="shared" si="2"/>
        <v>4840</v>
      </c>
      <c r="F67" s="1644">
        <f t="shared" si="2"/>
        <v>6155</v>
      </c>
      <c r="G67" s="1644">
        <f t="shared" si="2"/>
        <v>9250</v>
      </c>
      <c r="H67" s="1644">
        <f t="shared" si="2"/>
        <v>8486</v>
      </c>
      <c r="I67" s="1644">
        <f t="shared" si="2"/>
        <v>12613</v>
      </c>
      <c r="J67" s="1644">
        <f t="shared" si="2"/>
        <v>8775</v>
      </c>
      <c r="K67" s="1644">
        <f t="shared" si="2"/>
        <v>3141</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117197</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v>16026</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2003</v>
      </c>
      <c r="D73" s="1625"/>
      <c r="E73" s="1625"/>
      <c r="F73" s="1625"/>
      <c r="G73" s="1625"/>
      <c r="H73" s="1625"/>
      <c r="I73" s="1625"/>
      <c r="J73" s="1625"/>
      <c r="K73" s="1625"/>
    </row>
    <row r="74" spans="1:11" ht="12.75" customHeight="1" x14ac:dyDescent="0.2">
      <c r="A74" s="427" t="s">
        <v>25</v>
      </c>
      <c r="B74" s="429">
        <v>1690</v>
      </c>
      <c r="C74" s="1682">
        <v>22875</v>
      </c>
      <c r="D74" s="1625"/>
      <c r="E74" s="1625"/>
      <c r="F74" s="1625"/>
      <c r="G74" s="1625"/>
      <c r="H74" s="1625"/>
      <c r="I74" s="1625"/>
      <c r="J74" s="1625"/>
      <c r="K74" s="1625"/>
    </row>
    <row r="75" spans="1:11" ht="12.75" customHeight="1" thickBot="1" x14ac:dyDescent="0.25">
      <c r="A75" s="1455" t="s">
        <v>544</v>
      </c>
      <c r="B75" s="1456"/>
      <c r="C75" s="1644">
        <f>SUM(C69:C74)</f>
        <v>158101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68635</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26635</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95270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141789</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v>3231</v>
      </c>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145020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1748</v>
      </c>
      <c r="D95" s="1682">
        <v>92809</v>
      </c>
      <c r="E95" s="1667"/>
      <c r="F95" s="1667"/>
      <c r="G95" s="1667"/>
      <c r="H95" s="1667"/>
      <c r="I95" s="1667"/>
      <c r="J95" s="1667"/>
      <c r="K95" s="1667"/>
    </row>
    <row r="96" spans="1:11" ht="12.75" customHeight="1" x14ac:dyDescent="0.2">
      <c r="A96" s="427" t="s">
        <v>388</v>
      </c>
      <c r="B96" s="429">
        <v>1920</v>
      </c>
      <c r="C96" s="1682">
        <v>310160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v>39311</v>
      </c>
      <c r="D98" s="1623"/>
      <c r="E98" s="1662"/>
      <c r="F98" s="1623"/>
      <c r="G98" s="1662"/>
      <c r="H98" s="1662"/>
      <c r="I98" s="1660"/>
      <c r="J98" s="1662"/>
      <c r="K98" s="1662"/>
    </row>
    <row r="99" spans="1:12" ht="12.75" customHeight="1" x14ac:dyDescent="0.2">
      <c r="A99" s="427" t="s">
        <v>816</v>
      </c>
      <c r="B99" s="429">
        <v>1950</v>
      </c>
      <c r="C99" s="1648">
        <v>1727</v>
      </c>
      <c r="D99" s="1623">
        <v>15758</v>
      </c>
      <c r="E99" s="1623">
        <v>2852</v>
      </c>
      <c r="F99" s="1623"/>
      <c r="G99" s="1623"/>
      <c r="H99" s="1623"/>
      <c r="I99" s="1625"/>
      <c r="J99" s="1624">
        <v>28613</v>
      </c>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9950</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v>250000</v>
      </c>
      <c r="F103" s="1625"/>
      <c r="G103" s="1625"/>
      <c r="H103" s="1648">
        <v>711797</v>
      </c>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29371</v>
      </c>
      <c r="D107" s="1623">
        <v>1150</v>
      </c>
      <c r="E107" s="1623">
        <v>54450</v>
      </c>
      <c r="F107" s="1623">
        <v>53625</v>
      </c>
      <c r="G107" s="1623"/>
      <c r="H107" s="1623"/>
      <c r="I107" s="1623"/>
      <c r="J107" s="1624"/>
      <c r="K107" s="1623">
        <v>2367</v>
      </c>
    </row>
    <row r="108" spans="1:12" ht="12.75" customHeight="1" thickBot="1" x14ac:dyDescent="0.25">
      <c r="A108" s="1455" t="s">
        <v>484</v>
      </c>
      <c r="B108" s="1457"/>
      <c r="C108" s="1683">
        <f>SUM(C95:C107)</f>
        <v>392267</v>
      </c>
      <c r="D108" s="1683">
        <f t="shared" ref="D108:K108" si="3">SUM(D95:D107)</f>
        <v>109717</v>
      </c>
      <c r="E108" s="1683">
        <f t="shared" si="3"/>
        <v>307302</v>
      </c>
      <c r="F108" s="1683">
        <f t="shared" si="3"/>
        <v>53625</v>
      </c>
      <c r="G108" s="1683">
        <f t="shared" si="3"/>
        <v>0</v>
      </c>
      <c r="H108" s="1683">
        <f t="shared" si="3"/>
        <v>711797</v>
      </c>
      <c r="I108" s="1683">
        <f t="shared" si="3"/>
        <v>0</v>
      </c>
      <c r="J108" s="1683">
        <f t="shared" si="3"/>
        <v>28613</v>
      </c>
      <c r="K108" s="1644">
        <f t="shared" si="3"/>
        <v>2367</v>
      </c>
    </row>
    <row r="109" spans="1:12" ht="14.25" thickTop="1" thickBot="1" x14ac:dyDescent="0.25">
      <c r="A109" s="1458" t="s">
        <v>246</v>
      </c>
      <c r="B109" s="1459" t="s">
        <v>566</v>
      </c>
      <c r="C109" s="1691">
        <f t="shared" ref="C109:K109" si="4">SUM(C12,C18,C40,C63,C67,C75,C82,C93,C108,)</f>
        <v>7898398</v>
      </c>
      <c r="D109" s="1691">
        <f t="shared" si="4"/>
        <v>1984798</v>
      </c>
      <c r="E109" s="1691">
        <f t="shared" si="4"/>
        <v>1101405</v>
      </c>
      <c r="F109" s="1691">
        <f t="shared" si="4"/>
        <v>486289</v>
      </c>
      <c r="G109" s="1691">
        <f t="shared" si="4"/>
        <v>1099097</v>
      </c>
      <c r="H109" s="1691">
        <f t="shared" si="4"/>
        <v>720283</v>
      </c>
      <c r="I109" s="1691">
        <f t="shared" si="4"/>
        <v>119238</v>
      </c>
      <c r="J109" s="1691">
        <f t="shared" si="4"/>
        <v>1123081</v>
      </c>
      <c r="K109" s="1679">
        <f t="shared" si="4"/>
        <v>112133</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9257308</v>
      </c>
      <c r="D117" s="1636"/>
      <c r="E117" s="1623"/>
      <c r="F117" s="1636"/>
      <c r="G117" s="1636"/>
      <c r="H117" s="1623"/>
      <c r="I117" s="1625"/>
      <c r="J117" s="1624"/>
      <c r="K117" s="1623"/>
    </row>
    <row r="118" spans="1:11" ht="12.75" customHeight="1" x14ac:dyDescent="0.2">
      <c r="A118" s="427" t="s">
        <v>1776</v>
      </c>
      <c r="B118" s="478">
        <v>3002</v>
      </c>
      <c r="C118" s="1682"/>
      <c r="D118" s="1623"/>
      <c r="E118" s="1623"/>
      <c r="F118" s="1623"/>
      <c r="G118" s="1623"/>
      <c r="H118" s="1623"/>
      <c r="I118" s="1625"/>
      <c r="J118" s="1624"/>
      <c r="K118" s="1623"/>
    </row>
    <row r="119" spans="1:11" ht="12.75" customHeight="1" x14ac:dyDescent="0.2">
      <c r="A119" s="427" t="s">
        <v>1777</v>
      </c>
      <c r="B119" s="478">
        <v>3005</v>
      </c>
      <c r="C119" s="1682"/>
      <c r="D119" s="1623"/>
      <c r="E119" s="1623"/>
      <c r="F119" s="1623"/>
      <c r="G119" s="1623"/>
      <c r="H119" s="1623"/>
      <c r="I119" s="1625"/>
      <c r="J119" s="1624"/>
      <c r="K119" s="1623"/>
    </row>
    <row r="120" spans="1:11" ht="12.7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9257308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55832</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417635</v>
      </c>
      <c r="D128" s="1690"/>
      <c r="E128" s="1625"/>
      <c r="F128" s="1623">
        <v>31815</v>
      </c>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v>9688</v>
      </c>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483155</v>
      </c>
      <c r="D132" s="1683">
        <f>SUM(D125:D131)</f>
        <v>0</v>
      </c>
      <c r="E132" s="1626" t="s">
        <v>1161</v>
      </c>
      <c r="F132" s="1683">
        <f>SUM(F125:F131)</f>
        <v>31815</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17504</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11388</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28892</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7712</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19603</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289373</v>
      </c>
      <c r="G152" s="1624"/>
      <c r="H152" s="1625"/>
      <c r="I152" s="1625"/>
      <c r="J152" s="1625"/>
      <c r="K152" s="1625"/>
    </row>
    <row r="153" spans="1:11" ht="12.75" customHeight="1" x14ac:dyDescent="0.2">
      <c r="A153" s="427" t="s">
        <v>1050</v>
      </c>
      <c r="B153" s="478">
        <v>3510</v>
      </c>
      <c r="C153" s="1682"/>
      <c r="D153" s="1623"/>
      <c r="E153" s="1690"/>
      <c r="F153" s="1623">
        <v>398759</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688132</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297641</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0" t="s">
        <v>395</v>
      </c>
      <c r="B169" s="2321"/>
      <c r="C169" s="1708">
        <f t="shared" ref="C169:K169" si="6">SUM(C132,C141,C145,C146:C150,C155,C156:C167,C168)</f>
        <v>837003</v>
      </c>
      <c r="D169" s="1708">
        <f t="shared" si="6"/>
        <v>50000</v>
      </c>
      <c r="E169" s="1708">
        <f t="shared" si="6"/>
        <v>0</v>
      </c>
      <c r="F169" s="1708">
        <f t="shared" si="6"/>
        <v>719947</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10094311</v>
      </c>
      <c r="D170" s="1691">
        <f t="shared" si="7"/>
        <v>50000</v>
      </c>
      <c r="E170" s="1691">
        <f t="shared" si="7"/>
        <v>0</v>
      </c>
      <c r="F170" s="1691">
        <f t="shared" si="7"/>
        <v>719947</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2" t="s">
        <v>1478</v>
      </c>
      <c r="B172" s="2323"/>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6" t="s">
        <v>1649</v>
      </c>
      <c r="B175" s="2327"/>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0" t="s">
        <v>1648</v>
      </c>
      <c r="B176" s="2331"/>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8" t="s">
        <v>780</v>
      </c>
      <c r="B181" s="2329"/>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4" t="s">
        <v>1780</v>
      </c>
      <c r="B182" s="2325"/>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v>40761</v>
      </c>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40761</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385564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111607</v>
      </c>
      <c r="D193" s="1625"/>
      <c r="E193" s="1690"/>
      <c r="F193" s="1625"/>
      <c r="G193" s="1714"/>
      <c r="H193" s="1625"/>
      <c r="I193" s="1625"/>
      <c r="J193" s="1625"/>
      <c r="K193" s="1625"/>
    </row>
    <row r="194" spans="1:11" ht="12.75" customHeight="1" x14ac:dyDescent="0.2">
      <c r="A194" s="427" t="s">
        <v>1437</v>
      </c>
      <c r="B194" s="429">
        <v>4225</v>
      </c>
      <c r="C194" s="1682">
        <v>167776</v>
      </c>
      <c r="D194" s="1625"/>
      <c r="E194" s="1690"/>
      <c r="F194" s="1625"/>
      <c r="G194" s="1714"/>
      <c r="H194" s="1625"/>
      <c r="I194" s="1625"/>
      <c r="J194" s="1625"/>
      <c r="K194" s="1625"/>
    </row>
    <row r="195" spans="1:11" ht="12.75" customHeight="1" x14ac:dyDescent="0.2">
      <c r="A195" s="427" t="s">
        <v>1438</v>
      </c>
      <c r="B195" s="429">
        <v>4226</v>
      </c>
      <c r="C195" s="1682">
        <v>3330</v>
      </c>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668277</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958282</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v>6442</v>
      </c>
      <c r="D203" s="1623"/>
      <c r="E203" s="1625"/>
      <c r="F203" s="1623"/>
      <c r="G203" s="1623"/>
      <c r="H203" s="1625"/>
      <c r="I203" s="1625"/>
      <c r="J203" s="1625"/>
      <c r="K203" s="1625"/>
    </row>
    <row r="204" spans="1:11" ht="12.75" customHeight="1" thickBot="1" x14ac:dyDescent="0.25">
      <c r="A204" s="1455" t="s">
        <v>397</v>
      </c>
      <c r="B204" s="1456"/>
      <c r="C204" s="1683">
        <f>SUM(C200:C203)</f>
        <v>964724</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55427</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55427</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v>116435</v>
      </c>
      <c r="D214" s="1623"/>
      <c r="E214" s="1625"/>
      <c r="F214" s="1623">
        <v>4029</v>
      </c>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116435</v>
      </c>
      <c r="D217" s="1683">
        <f>SUM(D211:D216)</f>
        <v>0</v>
      </c>
      <c r="E217" s="1625"/>
      <c r="F217" s="1683">
        <f>SUM(F211:F216)</f>
        <v>4029</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99428</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1896</v>
      </c>
      <c r="B261" s="429">
        <v>4981</v>
      </c>
      <c r="C261" s="1700"/>
      <c r="D261" s="1701"/>
      <c r="E261" s="1625"/>
      <c r="F261" s="1701"/>
      <c r="G261" s="1701"/>
      <c r="H261" s="1625"/>
      <c r="I261" s="1625"/>
      <c r="J261" s="1625"/>
      <c r="K261" s="1625"/>
    </row>
    <row r="262" spans="1:11" ht="12.75" customHeight="1" thickTop="1" thickBot="1" x14ac:dyDescent="0.25">
      <c r="A262" s="1590" t="s">
        <v>1897</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32217</v>
      </c>
      <c r="D263" s="1701"/>
      <c r="E263" s="1625"/>
      <c r="F263" s="1701"/>
      <c r="G263" s="1701"/>
      <c r="H263" s="1625"/>
      <c r="I263" s="1625"/>
      <c r="J263" s="1625"/>
      <c r="K263" s="1625"/>
    </row>
    <row r="264" spans="1:11" ht="12.75" customHeight="1" thickTop="1" thickBot="1" x14ac:dyDescent="0.25">
      <c r="A264" s="427" t="s">
        <v>374</v>
      </c>
      <c r="B264" s="429">
        <v>4992</v>
      </c>
      <c r="C264" s="1700">
        <v>207748</v>
      </c>
      <c r="D264" s="1701"/>
      <c r="E264" s="1625"/>
      <c r="F264" s="1701"/>
      <c r="G264" s="1701"/>
      <c r="H264" s="1625"/>
      <c r="I264" s="1625"/>
      <c r="J264" s="1625"/>
      <c r="K264" s="1625"/>
    </row>
    <row r="265" spans="1:11" s="489" customFormat="1" ht="12.75" customHeight="1" thickTop="1" thickBot="1" x14ac:dyDescent="0.25">
      <c r="A265" s="479" t="s">
        <v>75</v>
      </c>
      <c r="B265" s="475">
        <v>4998</v>
      </c>
      <c r="C265" s="1700">
        <v>3800</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2188817</v>
      </c>
      <c r="D266" s="1691">
        <f t="shared" si="10"/>
        <v>0</v>
      </c>
      <c r="E266" s="1691">
        <f t="shared" si="10"/>
        <v>0</v>
      </c>
      <c r="F266" s="1691">
        <f t="shared" si="10"/>
        <v>4029</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2188817</v>
      </c>
      <c r="D267" s="1691">
        <f>SUM(D175,D181,D266)</f>
        <v>0</v>
      </c>
      <c r="E267" s="1691">
        <f>SUM(E175,E266)</f>
        <v>0</v>
      </c>
      <c r="F267" s="1691">
        <f t="shared" ref="F267:K267" si="11">SUM(F175,F181,F266)</f>
        <v>4029</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20181526</v>
      </c>
      <c r="D268" s="1691">
        <f t="shared" si="12"/>
        <v>2034798</v>
      </c>
      <c r="E268" s="1691">
        <f t="shared" si="12"/>
        <v>1101405</v>
      </c>
      <c r="F268" s="1691">
        <f t="shared" si="12"/>
        <v>1210265</v>
      </c>
      <c r="G268" s="1691">
        <f t="shared" si="12"/>
        <v>1099097</v>
      </c>
      <c r="H268" s="1691">
        <f t="shared" si="12"/>
        <v>720283</v>
      </c>
      <c r="I268" s="1691">
        <f t="shared" si="12"/>
        <v>119238</v>
      </c>
      <c r="J268" s="1691">
        <f t="shared" si="12"/>
        <v>1123081</v>
      </c>
      <c r="K268" s="1679">
        <f t="shared" si="12"/>
        <v>112133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46" activePane="bottomLeft" state="frozen"/>
      <selection pane="bottomLeft" activeCell="A247" sqref="A247:XFD24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0" t="s">
        <v>294</v>
      </c>
      <c r="B3" s="234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6114407</v>
      </c>
      <c r="D5" s="1623">
        <v>1020342</v>
      </c>
      <c r="E5" s="1623">
        <v>189203</v>
      </c>
      <c r="F5" s="1623">
        <v>317515</v>
      </c>
      <c r="G5" s="1623">
        <v>43506</v>
      </c>
      <c r="H5" s="1623">
        <v>1423</v>
      </c>
      <c r="I5" s="1624"/>
      <c r="J5" s="1624"/>
      <c r="K5" s="1722">
        <f>SUM(C5:J5)</f>
        <v>7686396</v>
      </c>
      <c r="L5" s="1623">
        <v>8048410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147389</v>
      </c>
      <c r="D7" s="1624">
        <v>34904</v>
      </c>
      <c r="E7" s="1624"/>
      <c r="F7" s="1624"/>
      <c r="G7" s="1624"/>
      <c r="H7" s="1624"/>
      <c r="I7" s="1624"/>
      <c r="J7" s="1624"/>
      <c r="K7" s="1722">
        <f t="shared" ref="K7:K32" si="0">SUM(C7:J7)</f>
        <v>182293</v>
      </c>
      <c r="L7" s="1623">
        <v>181950</v>
      </c>
    </row>
    <row r="8" spans="1:14" x14ac:dyDescent="0.2">
      <c r="A8" s="1319" t="s">
        <v>163</v>
      </c>
      <c r="B8" s="503">
        <v>1200</v>
      </c>
      <c r="C8" s="1623">
        <v>3022891</v>
      </c>
      <c r="D8" s="1623">
        <v>567715</v>
      </c>
      <c r="E8" s="1623">
        <v>4344</v>
      </c>
      <c r="F8" s="1623">
        <v>32442</v>
      </c>
      <c r="G8" s="1623"/>
      <c r="H8" s="1623">
        <v>190</v>
      </c>
      <c r="I8" s="1624"/>
      <c r="J8" s="1624"/>
      <c r="K8" s="1722">
        <f t="shared" si="0"/>
        <v>3627582</v>
      </c>
      <c r="L8" s="1623">
        <v>3541035</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637899</v>
      </c>
      <c r="D10" s="1623">
        <v>115590</v>
      </c>
      <c r="E10" s="1623">
        <v>252113</v>
      </c>
      <c r="F10" s="1623">
        <v>79818</v>
      </c>
      <c r="G10" s="1623"/>
      <c r="H10" s="1623"/>
      <c r="I10" s="1624"/>
      <c r="J10" s="1624"/>
      <c r="K10" s="1722">
        <f t="shared" si="0"/>
        <v>1085420</v>
      </c>
      <c r="L10" s="1623">
        <v>1279300</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276485</v>
      </c>
      <c r="D13" s="1623">
        <v>61890</v>
      </c>
      <c r="E13" s="1623">
        <v>248</v>
      </c>
      <c r="F13" s="1623">
        <v>52064</v>
      </c>
      <c r="G13" s="1623">
        <v>13420</v>
      </c>
      <c r="H13" s="1623"/>
      <c r="I13" s="1624"/>
      <c r="J13" s="1624"/>
      <c r="K13" s="1722">
        <f t="shared" si="0"/>
        <v>404107</v>
      </c>
      <c r="L13" s="1623">
        <v>416645</v>
      </c>
    </row>
    <row r="14" spans="1:14" x14ac:dyDescent="0.2">
      <c r="A14" s="1319" t="s">
        <v>957</v>
      </c>
      <c r="B14" s="503">
        <v>1500</v>
      </c>
      <c r="C14" s="1623">
        <v>349572</v>
      </c>
      <c r="D14" s="1623">
        <v>22330</v>
      </c>
      <c r="E14" s="1623">
        <v>83140</v>
      </c>
      <c r="F14" s="1623">
        <v>29766</v>
      </c>
      <c r="G14" s="1623">
        <v>46690</v>
      </c>
      <c r="H14" s="1623">
        <v>6896</v>
      </c>
      <c r="I14" s="1624"/>
      <c r="J14" s="1624"/>
      <c r="K14" s="1722">
        <f t="shared" si="0"/>
        <v>538394</v>
      </c>
      <c r="L14" s="1623">
        <v>633015</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57351</v>
      </c>
      <c r="D17" s="1624">
        <v>15542</v>
      </c>
      <c r="E17" s="1624">
        <v>1707</v>
      </c>
      <c r="F17" s="1624"/>
      <c r="G17" s="1624">
        <v>23350</v>
      </c>
      <c r="H17" s="1624"/>
      <c r="I17" s="1624"/>
      <c r="J17" s="1624"/>
      <c r="K17" s="1722">
        <f t="shared" si="0"/>
        <v>97950</v>
      </c>
      <c r="L17" s="1623">
        <v>78440</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v>20000</v>
      </c>
    </row>
    <row r="22" spans="1:12" x14ac:dyDescent="0.2">
      <c r="A22" s="1320" t="s">
        <v>735</v>
      </c>
      <c r="B22" s="494" t="s">
        <v>722</v>
      </c>
      <c r="C22" s="1632"/>
      <c r="D22" s="1632"/>
      <c r="E22" s="1632"/>
      <c r="F22" s="1632"/>
      <c r="G22" s="1632"/>
      <c r="H22" s="1629">
        <v>203722</v>
      </c>
      <c r="I22" s="1723"/>
      <c r="J22" s="1632"/>
      <c r="K22" s="1722">
        <f t="shared" si="0"/>
        <v>203722</v>
      </c>
      <c r="L22" s="1627">
        <v>185000</v>
      </c>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10605994</v>
      </c>
      <c r="D33" s="1724">
        <f t="shared" ref="D33:L33" si="1">SUM(D5:D32)</f>
        <v>1838313</v>
      </c>
      <c r="E33" s="1724">
        <f t="shared" si="1"/>
        <v>530755</v>
      </c>
      <c r="F33" s="1724">
        <f t="shared" si="1"/>
        <v>511605</v>
      </c>
      <c r="G33" s="1724">
        <f t="shared" si="1"/>
        <v>126966</v>
      </c>
      <c r="H33" s="1724">
        <f t="shared" si="1"/>
        <v>212231</v>
      </c>
      <c r="I33" s="1724">
        <f t="shared" si="1"/>
        <v>0</v>
      </c>
      <c r="J33" s="1724">
        <f t="shared" si="1"/>
        <v>0</v>
      </c>
      <c r="K33" s="1724">
        <f t="shared" si="1"/>
        <v>13825864</v>
      </c>
      <c r="L33" s="1724">
        <f t="shared" si="1"/>
        <v>14383795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132341</v>
      </c>
      <c r="D36" s="1636">
        <v>15855</v>
      </c>
      <c r="E36" s="1636"/>
      <c r="F36" s="1636">
        <v>577</v>
      </c>
      <c r="G36" s="1636"/>
      <c r="H36" s="1636"/>
      <c r="I36" s="1624"/>
      <c r="J36" s="1624"/>
      <c r="K36" s="1722">
        <f t="shared" ref="K36:K41" si="2">SUM(C36:J36)</f>
        <v>148773</v>
      </c>
      <c r="L36" s="1623">
        <v>133245</v>
      </c>
    </row>
    <row r="37" spans="1:14" x14ac:dyDescent="0.2">
      <c r="A37" s="1319" t="s">
        <v>1083</v>
      </c>
      <c r="B37" s="503">
        <v>2120</v>
      </c>
      <c r="C37" s="1623">
        <v>323885</v>
      </c>
      <c r="D37" s="1623">
        <v>23812</v>
      </c>
      <c r="E37" s="1623">
        <v>247</v>
      </c>
      <c r="F37" s="1623">
        <v>389</v>
      </c>
      <c r="G37" s="1623"/>
      <c r="H37" s="1623"/>
      <c r="I37" s="1624"/>
      <c r="J37" s="1624"/>
      <c r="K37" s="1722">
        <f t="shared" si="2"/>
        <v>348333</v>
      </c>
      <c r="L37" s="1623">
        <v>351635</v>
      </c>
    </row>
    <row r="38" spans="1:14" x14ac:dyDescent="0.2">
      <c r="A38" s="1319" t="s">
        <v>196</v>
      </c>
      <c r="B38" s="503">
        <v>2130</v>
      </c>
      <c r="C38" s="1623"/>
      <c r="D38" s="1623"/>
      <c r="E38" s="1623">
        <v>9834</v>
      </c>
      <c r="F38" s="1623"/>
      <c r="G38" s="1623"/>
      <c r="H38" s="1623"/>
      <c r="I38" s="1624"/>
      <c r="J38" s="1624"/>
      <c r="K38" s="1722">
        <f t="shared" si="2"/>
        <v>9834</v>
      </c>
      <c r="L38" s="1623">
        <v>12700</v>
      </c>
    </row>
    <row r="39" spans="1:14" x14ac:dyDescent="0.2">
      <c r="A39" s="1319" t="s">
        <v>197</v>
      </c>
      <c r="B39" s="503">
        <v>2140</v>
      </c>
      <c r="C39" s="1623">
        <v>165262</v>
      </c>
      <c r="D39" s="1623">
        <v>10090</v>
      </c>
      <c r="E39" s="1623"/>
      <c r="F39" s="1623">
        <v>1941</v>
      </c>
      <c r="G39" s="1623"/>
      <c r="H39" s="1623"/>
      <c r="I39" s="1624"/>
      <c r="J39" s="1624"/>
      <c r="K39" s="1722">
        <f t="shared" si="2"/>
        <v>177293</v>
      </c>
      <c r="L39" s="1623">
        <v>185280</v>
      </c>
    </row>
    <row r="40" spans="1:14" x14ac:dyDescent="0.2">
      <c r="A40" s="1319" t="s">
        <v>198</v>
      </c>
      <c r="B40" s="503">
        <v>2150</v>
      </c>
      <c r="C40" s="1623">
        <v>234601</v>
      </c>
      <c r="D40" s="1623">
        <v>30559</v>
      </c>
      <c r="E40" s="1623"/>
      <c r="F40" s="1623">
        <v>1985</v>
      </c>
      <c r="G40" s="1623"/>
      <c r="H40" s="1623"/>
      <c r="I40" s="1624"/>
      <c r="J40" s="1624"/>
      <c r="K40" s="1722">
        <f t="shared" si="2"/>
        <v>267145</v>
      </c>
      <c r="L40" s="1623">
        <v>269725</v>
      </c>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856089</v>
      </c>
      <c r="D42" s="1724">
        <f t="shared" ref="D42:L42" si="3">SUM(D36:D41)</f>
        <v>80316</v>
      </c>
      <c r="E42" s="1724">
        <f t="shared" si="3"/>
        <v>10081</v>
      </c>
      <c r="F42" s="1724">
        <f t="shared" si="3"/>
        <v>4892</v>
      </c>
      <c r="G42" s="1724">
        <f t="shared" si="3"/>
        <v>0</v>
      </c>
      <c r="H42" s="1724">
        <f t="shared" si="3"/>
        <v>0</v>
      </c>
      <c r="I42" s="1724">
        <f t="shared" si="3"/>
        <v>0</v>
      </c>
      <c r="J42" s="1724">
        <f t="shared" si="3"/>
        <v>0</v>
      </c>
      <c r="K42" s="1724">
        <f t="shared" si="3"/>
        <v>951378</v>
      </c>
      <c r="L42" s="1724">
        <f t="shared" si="3"/>
        <v>952585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147999</v>
      </c>
      <c r="D44" s="1636">
        <v>38997</v>
      </c>
      <c r="E44" s="1636">
        <v>110044</v>
      </c>
      <c r="F44" s="1636">
        <v>6118</v>
      </c>
      <c r="G44" s="1636"/>
      <c r="H44" s="1636"/>
      <c r="I44" s="1624"/>
      <c r="J44" s="1624"/>
      <c r="K44" s="1728">
        <f>SUM(C44:J44)</f>
        <v>303158</v>
      </c>
      <c r="L44" s="1636">
        <v>373080</v>
      </c>
    </row>
    <row r="45" spans="1:14" x14ac:dyDescent="0.2">
      <c r="A45" s="1319" t="s">
        <v>810</v>
      </c>
      <c r="B45" s="503">
        <v>2220</v>
      </c>
      <c r="C45" s="1623">
        <v>442221</v>
      </c>
      <c r="D45" s="1623">
        <v>57028</v>
      </c>
      <c r="E45" s="1623">
        <v>16296</v>
      </c>
      <c r="F45" s="1623">
        <v>55552</v>
      </c>
      <c r="G45" s="1623">
        <v>93821</v>
      </c>
      <c r="H45" s="1623">
        <v>2852</v>
      </c>
      <c r="I45" s="1624"/>
      <c r="J45" s="1624"/>
      <c r="K45" s="1728">
        <f>SUM(C45:J45)</f>
        <v>667770</v>
      </c>
      <c r="L45" s="1623">
        <v>758430</v>
      </c>
    </row>
    <row r="46" spans="1:14" x14ac:dyDescent="0.2">
      <c r="A46" s="1319" t="s">
        <v>811</v>
      </c>
      <c r="B46" s="503">
        <v>2230</v>
      </c>
      <c r="C46" s="1623"/>
      <c r="D46" s="1623"/>
      <c r="E46" s="1623">
        <v>8096</v>
      </c>
      <c r="F46" s="1623">
        <v>1178</v>
      </c>
      <c r="G46" s="1623"/>
      <c r="H46" s="1623"/>
      <c r="I46" s="1624"/>
      <c r="J46" s="1624"/>
      <c r="K46" s="1728">
        <f>SUM(C46:J46)</f>
        <v>9274</v>
      </c>
      <c r="L46" s="1623">
        <v>26000</v>
      </c>
    </row>
    <row r="47" spans="1:14" ht="12.75" customHeight="1" thickBot="1" x14ac:dyDescent="0.25">
      <c r="A47" s="1429" t="s">
        <v>557</v>
      </c>
      <c r="B47" s="1430" t="s">
        <v>32</v>
      </c>
      <c r="C47" s="1724">
        <f>SUM(C44:C46)</f>
        <v>590220</v>
      </c>
      <c r="D47" s="1724">
        <f t="shared" ref="D47:K47" si="4">SUM(D44:D46)</f>
        <v>96025</v>
      </c>
      <c r="E47" s="1724">
        <f t="shared" si="4"/>
        <v>134436</v>
      </c>
      <c r="F47" s="1724">
        <f t="shared" si="4"/>
        <v>62848</v>
      </c>
      <c r="G47" s="1724">
        <f t="shared" si="4"/>
        <v>93821</v>
      </c>
      <c r="H47" s="1724">
        <f t="shared" si="4"/>
        <v>2852</v>
      </c>
      <c r="I47" s="1724">
        <f t="shared" si="4"/>
        <v>0</v>
      </c>
      <c r="J47" s="1724">
        <f t="shared" si="4"/>
        <v>0</v>
      </c>
      <c r="K47" s="1724">
        <f t="shared" si="4"/>
        <v>980202</v>
      </c>
      <c r="L47" s="1724">
        <f>SUM(L44:L46)</f>
        <v>1157510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2776</v>
      </c>
      <c r="D49" s="1636">
        <v>39766</v>
      </c>
      <c r="E49" s="1636">
        <v>49252</v>
      </c>
      <c r="F49" s="1636">
        <v>20677</v>
      </c>
      <c r="G49" s="1636"/>
      <c r="H49" s="1636">
        <v>14503</v>
      </c>
      <c r="I49" s="1624"/>
      <c r="J49" s="1624"/>
      <c r="K49" s="1728">
        <f>SUM(C49:J49)</f>
        <v>126974</v>
      </c>
      <c r="L49" s="1636">
        <v>139000</v>
      </c>
    </row>
    <row r="50" spans="1:14" x14ac:dyDescent="0.2">
      <c r="A50" s="1319" t="s">
        <v>813</v>
      </c>
      <c r="B50" s="503">
        <v>2320</v>
      </c>
      <c r="C50" s="1623">
        <v>163423</v>
      </c>
      <c r="D50" s="1623">
        <v>34913</v>
      </c>
      <c r="E50" s="1623">
        <v>8223</v>
      </c>
      <c r="F50" s="1623">
        <v>4474</v>
      </c>
      <c r="G50" s="1623"/>
      <c r="H50" s="1623">
        <v>473</v>
      </c>
      <c r="I50" s="1624"/>
      <c r="J50" s="1624"/>
      <c r="K50" s="1728">
        <f>SUM(C50:J50)</f>
        <v>211506</v>
      </c>
      <c r="L50" s="1623">
        <v>215140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166199</v>
      </c>
      <c r="D53" s="1724">
        <f t="shared" ref="D53:L53" si="5">SUM(D49:D52)</f>
        <v>74679</v>
      </c>
      <c r="E53" s="1724">
        <f t="shared" si="5"/>
        <v>57475</v>
      </c>
      <c r="F53" s="1724">
        <f t="shared" si="5"/>
        <v>25151</v>
      </c>
      <c r="G53" s="1724">
        <f t="shared" si="5"/>
        <v>0</v>
      </c>
      <c r="H53" s="1724">
        <f t="shared" si="5"/>
        <v>14976</v>
      </c>
      <c r="I53" s="1724">
        <f t="shared" si="5"/>
        <v>0</v>
      </c>
      <c r="J53" s="1724">
        <f t="shared" si="5"/>
        <v>0</v>
      </c>
      <c r="K53" s="1724">
        <f t="shared" si="5"/>
        <v>338480</v>
      </c>
      <c r="L53" s="1724">
        <f t="shared" si="5"/>
        <v>354140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787782</v>
      </c>
      <c r="D55" s="1636">
        <v>157716</v>
      </c>
      <c r="E55" s="1636">
        <v>890</v>
      </c>
      <c r="F55" s="1636">
        <v>712</v>
      </c>
      <c r="G55" s="1636"/>
      <c r="H55" s="1636"/>
      <c r="I55" s="1624"/>
      <c r="J55" s="1624"/>
      <c r="K55" s="1728">
        <f>SUM(C55:J55)</f>
        <v>947100</v>
      </c>
      <c r="L55" s="1636">
        <v>964400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787782</v>
      </c>
      <c r="D57" s="1729">
        <f t="shared" ref="D57:K57" si="6">SUM(D55:D56)</f>
        <v>157716</v>
      </c>
      <c r="E57" s="1729">
        <f t="shared" si="6"/>
        <v>890</v>
      </c>
      <c r="F57" s="1729">
        <f t="shared" si="6"/>
        <v>712</v>
      </c>
      <c r="G57" s="1729">
        <f t="shared" si="6"/>
        <v>0</v>
      </c>
      <c r="H57" s="1729">
        <f t="shared" si="6"/>
        <v>0</v>
      </c>
      <c r="I57" s="1729">
        <f t="shared" si="6"/>
        <v>0</v>
      </c>
      <c r="J57" s="1729">
        <f t="shared" si="6"/>
        <v>0</v>
      </c>
      <c r="K57" s="1729">
        <f t="shared" si="6"/>
        <v>947100</v>
      </c>
      <c r="L57" s="1724">
        <f>SUM(L55:L56)</f>
        <v>964400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v>38491</v>
      </c>
      <c r="F59" s="1636">
        <v>904</v>
      </c>
      <c r="G59" s="1636"/>
      <c r="H59" s="1636">
        <v>650</v>
      </c>
      <c r="I59" s="1624"/>
      <c r="J59" s="1624"/>
      <c r="K59" s="1728">
        <f t="shared" ref="K59:K64" si="7">SUM(C59:J59)</f>
        <v>40045</v>
      </c>
      <c r="L59" s="1636">
        <v>38400</v>
      </c>
      <c r="M59" s="501"/>
      <c r="N59" s="501"/>
    </row>
    <row r="60" spans="1:14" s="321" customFormat="1" x14ac:dyDescent="0.2">
      <c r="A60" s="1319" t="s">
        <v>460</v>
      </c>
      <c r="B60" s="503">
        <v>2520</v>
      </c>
      <c r="C60" s="1623">
        <v>171946</v>
      </c>
      <c r="D60" s="1623">
        <v>27493</v>
      </c>
      <c r="E60" s="1623">
        <v>3461</v>
      </c>
      <c r="F60" s="1623">
        <v>263</v>
      </c>
      <c r="G60" s="1623"/>
      <c r="H60" s="1623">
        <v>340</v>
      </c>
      <c r="I60" s="1624"/>
      <c r="J60" s="1624"/>
      <c r="K60" s="1728">
        <f t="shared" si="7"/>
        <v>203503</v>
      </c>
      <c r="L60" s="1623">
        <v>215250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v>40144</v>
      </c>
      <c r="F62" s="1623">
        <v>13527</v>
      </c>
      <c r="G62" s="1623"/>
      <c r="H62" s="1623"/>
      <c r="I62" s="1624"/>
      <c r="J62" s="1624"/>
      <c r="K62" s="1728">
        <f t="shared" si="7"/>
        <v>53671</v>
      </c>
      <c r="L62" s="1623">
        <v>110000</v>
      </c>
      <c r="M62" s="501"/>
      <c r="N62" s="501"/>
    </row>
    <row r="63" spans="1:14" s="501" customFormat="1" x14ac:dyDescent="0.2">
      <c r="A63" s="1319" t="s">
        <v>100</v>
      </c>
      <c r="B63" s="503">
        <v>2560</v>
      </c>
      <c r="C63" s="1623">
        <v>16024</v>
      </c>
      <c r="D63" s="1623">
        <v>822</v>
      </c>
      <c r="E63" s="1623">
        <v>663258</v>
      </c>
      <c r="F63" s="1623">
        <v>4533</v>
      </c>
      <c r="G63" s="1623">
        <v>3566</v>
      </c>
      <c r="H63" s="1623"/>
      <c r="I63" s="1624"/>
      <c r="J63" s="1624"/>
      <c r="K63" s="1728">
        <f t="shared" si="7"/>
        <v>688203</v>
      </c>
      <c r="L63" s="1623">
        <v>821720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187970</v>
      </c>
      <c r="D65" s="1724">
        <f t="shared" ref="D65:L65" si="8">SUM(D59:D64)</f>
        <v>28315</v>
      </c>
      <c r="E65" s="1724">
        <f t="shared" si="8"/>
        <v>745354</v>
      </c>
      <c r="F65" s="1724">
        <f t="shared" si="8"/>
        <v>19227</v>
      </c>
      <c r="G65" s="1724">
        <f t="shared" si="8"/>
        <v>3566</v>
      </c>
      <c r="H65" s="1724">
        <f t="shared" si="8"/>
        <v>990</v>
      </c>
      <c r="I65" s="1724">
        <f t="shared" si="8"/>
        <v>0</v>
      </c>
      <c r="J65" s="1724">
        <f t="shared" si="8"/>
        <v>0</v>
      </c>
      <c r="K65" s="1724">
        <f t="shared" si="8"/>
        <v>985422</v>
      </c>
      <c r="L65" s="1724">
        <f t="shared" si="8"/>
        <v>1185370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v>23500</v>
      </c>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23500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2588260</v>
      </c>
      <c r="D74" s="1731">
        <f t="shared" ref="D74:K74" si="10">SUM(D42,D47,D53,D57,D65,D72,D73)</f>
        <v>437051</v>
      </c>
      <c r="E74" s="1731">
        <f t="shared" si="10"/>
        <v>948236</v>
      </c>
      <c r="F74" s="1731">
        <f t="shared" si="10"/>
        <v>112830</v>
      </c>
      <c r="G74" s="1731">
        <f t="shared" si="10"/>
        <v>97387</v>
      </c>
      <c r="H74" s="1731">
        <f t="shared" si="10"/>
        <v>18818</v>
      </c>
      <c r="I74" s="1731">
        <f t="shared" si="10"/>
        <v>0</v>
      </c>
      <c r="J74" s="1731">
        <f t="shared" si="10"/>
        <v>0</v>
      </c>
      <c r="K74" s="1731">
        <f t="shared" si="10"/>
        <v>4202582</v>
      </c>
      <c r="L74" s="1731">
        <f>SUM(L42,L47,L53,L57,L65,L72,L73)</f>
        <v>4637505</v>
      </c>
    </row>
    <row r="75" spans="1:14" s="254" customFormat="1" ht="15.75" customHeight="1" thickTop="1" thickBot="1" x14ac:dyDescent="0.25">
      <c r="A75" s="1393" t="s">
        <v>47</v>
      </c>
      <c r="B75" s="1394" t="s">
        <v>571</v>
      </c>
      <c r="C75" s="1699">
        <v>4510</v>
      </c>
      <c r="D75" s="1699">
        <v>289</v>
      </c>
      <c r="E75" s="1699">
        <v>727</v>
      </c>
      <c r="F75" s="1699">
        <v>4860</v>
      </c>
      <c r="G75" s="1699"/>
      <c r="H75" s="1699"/>
      <c r="I75" s="1677"/>
      <c r="J75" s="1677"/>
      <c r="K75" s="1724">
        <f>SUM(C75:J75)</f>
        <v>10386</v>
      </c>
      <c r="L75" s="1701">
        <v>20390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77687</v>
      </c>
      <c r="F79" s="1723"/>
      <c r="G79" s="1723"/>
      <c r="H79" s="1623">
        <v>40738</v>
      </c>
      <c r="I79" s="1632"/>
      <c r="J79" s="1632"/>
      <c r="K79" s="1722">
        <f t="shared" si="11"/>
        <v>118425</v>
      </c>
      <c r="L79" s="1623">
        <v>188000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v>2500</v>
      </c>
      <c r="I81" s="1632"/>
      <c r="J81" s="1632"/>
      <c r="K81" s="1722">
        <f t="shared" si="11"/>
        <v>2500</v>
      </c>
      <c r="L81" s="1623">
        <v>2500</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v>57038</v>
      </c>
      <c r="F83" s="1723"/>
      <c r="G83" s="1723"/>
      <c r="H83" s="1623"/>
      <c r="I83" s="1632"/>
      <c r="J83" s="1632"/>
      <c r="K83" s="1722">
        <f t="shared" si="11"/>
        <v>57038</v>
      </c>
      <c r="L83" s="1623">
        <v>60000</v>
      </c>
    </row>
    <row r="84" spans="1:12" ht="13.5" thickBot="1" x14ac:dyDescent="0.25">
      <c r="A84" s="1429" t="s">
        <v>1471</v>
      </c>
      <c r="B84" s="1434">
        <v>4100</v>
      </c>
      <c r="C84" s="1723"/>
      <c r="D84" s="1723"/>
      <c r="E84" s="1724">
        <f>SUM(E78:E83)</f>
        <v>134725</v>
      </c>
      <c r="F84" s="1723"/>
      <c r="G84" s="1723"/>
      <c r="H84" s="1724">
        <f>SUM(H78:H83)</f>
        <v>43238</v>
      </c>
      <c r="I84" s="1632"/>
      <c r="J84" s="1632"/>
      <c r="K84" s="1724">
        <f>SUM(K78:K83)</f>
        <v>177963</v>
      </c>
      <c r="L84" s="1724">
        <f>SUM(L78:L83)</f>
        <v>250500</v>
      </c>
    </row>
    <row r="85" spans="1:12" ht="12.75" customHeight="1" thickTop="1" thickBot="1" x14ac:dyDescent="0.25">
      <c r="A85" s="1326" t="s">
        <v>253</v>
      </c>
      <c r="B85" s="517">
        <v>4210</v>
      </c>
      <c r="C85" s="1723"/>
      <c r="D85" s="1723"/>
      <c r="E85" s="1733"/>
      <c r="F85" s="1723"/>
      <c r="G85" s="1723"/>
      <c r="H85" s="1680">
        <v>9270</v>
      </c>
      <c r="I85" s="1632"/>
      <c r="J85" s="1632"/>
      <c r="K85" s="1731">
        <f>H85</f>
        <v>9270</v>
      </c>
      <c r="L85" s="1676">
        <v>25000</v>
      </c>
    </row>
    <row r="86" spans="1:12" ht="12.75" customHeight="1" thickTop="1" thickBot="1" x14ac:dyDescent="0.25">
      <c r="A86" s="1327" t="s">
        <v>694</v>
      </c>
      <c r="B86" s="518">
        <v>4220</v>
      </c>
      <c r="C86" s="1723"/>
      <c r="D86" s="1723"/>
      <c r="E86" s="1734"/>
      <c r="F86" s="1723"/>
      <c r="G86" s="1723"/>
      <c r="H86" s="1624">
        <v>742393</v>
      </c>
      <c r="I86" s="1632"/>
      <c r="J86" s="1632"/>
      <c r="K86" s="1731">
        <f t="shared" ref="K86:K98" si="12">H86</f>
        <v>742393</v>
      </c>
      <c r="L86" s="1676">
        <v>680000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v>15000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751663</v>
      </c>
      <c r="I92" s="1632"/>
      <c r="J92" s="1632"/>
      <c r="K92" s="1731">
        <f t="shared" si="12"/>
        <v>751663</v>
      </c>
      <c r="L92" s="1724">
        <f>SUM(L85:L91)</f>
        <v>720000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134725</v>
      </c>
      <c r="F102" s="1723"/>
      <c r="G102" s="1723"/>
      <c r="H102" s="1731">
        <f>SUM(H84,H92,H100,H101)</f>
        <v>794901</v>
      </c>
      <c r="I102" s="1632"/>
      <c r="J102" s="1632"/>
      <c r="K102" s="1731">
        <f>SUM(K84,K92,K100,K101)</f>
        <v>929626</v>
      </c>
      <c r="L102" s="1731">
        <f>SUM(L84,L92,L100,L101)</f>
        <v>970500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13198764</v>
      </c>
      <c r="D114" s="1724">
        <f t="shared" ref="D114:K114" si="13">SUM(D33,D74,D75,D102,D112,D113)</f>
        <v>2275653</v>
      </c>
      <c r="E114" s="1724">
        <f t="shared" si="13"/>
        <v>1614443</v>
      </c>
      <c r="F114" s="1724">
        <f t="shared" si="13"/>
        <v>629295</v>
      </c>
      <c r="G114" s="1724">
        <f t="shared" si="13"/>
        <v>224353</v>
      </c>
      <c r="H114" s="1724">
        <f>SUM(H33,H74,H75,H102,H112,H113)</f>
        <v>1025950</v>
      </c>
      <c r="I114" s="1724">
        <f t="shared" si="13"/>
        <v>0</v>
      </c>
      <c r="J114" s="1724">
        <f t="shared" si="13"/>
        <v>0</v>
      </c>
      <c r="K114" s="1724">
        <f t="shared" si="13"/>
        <v>18968458</v>
      </c>
      <c r="L114" s="1724">
        <f>SUM(L33,L74,L75,L102,L112,L113)</f>
        <v>20012190</v>
      </c>
    </row>
    <row r="115" spans="1:14" ht="13.5" thickTop="1" x14ac:dyDescent="0.2">
      <c r="A115" s="2332" t="s">
        <v>989</v>
      </c>
      <c r="B115" s="2333"/>
      <c r="C115" s="1725"/>
      <c r="D115" s="1725"/>
      <c r="E115" s="1725"/>
      <c r="F115" s="1725"/>
      <c r="G115" s="1725"/>
      <c r="H115" s="1725"/>
      <c r="I115" s="1725"/>
      <c r="J115" s="1725"/>
      <c r="K115" s="1739">
        <f>'Revenues 9-14'!C268-'Expenditures 15-22'!K114</f>
        <v>1213068</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7" t="s">
        <v>293</v>
      </c>
      <c r="B117" s="233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850339</v>
      </c>
      <c r="D124" s="1623">
        <v>124456</v>
      </c>
      <c r="E124" s="1623">
        <v>224683</v>
      </c>
      <c r="F124" s="1623">
        <v>559851</v>
      </c>
      <c r="G124" s="1623">
        <v>51179</v>
      </c>
      <c r="H124" s="1623"/>
      <c r="I124" s="1624"/>
      <c r="J124" s="1624"/>
      <c r="K124" s="1724">
        <f>SUM(C124:J124)</f>
        <v>1810508</v>
      </c>
      <c r="L124" s="1623">
        <v>2097120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850339</v>
      </c>
      <c r="D127" s="1724">
        <f t="shared" ref="D127:L127" si="14">SUM(D122:D126)</f>
        <v>124456</v>
      </c>
      <c r="E127" s="1724">
        <f t="shared" si="14"/>
        <v>224683</v>
      </c>
      <c r="F127" s="1724">
        <f t="shared" si="14"/>
        <v>559851</v>
      </c>
      <c r="G127" s="1724">
        <f t="shared" si="14"/>
        <v>51179</v>
      </c>
      <c r="H127" s="1724">
        <f t="shared" si="14"/>
        <v>0</v>
      </c>
      <c r="I127" s="1724">
        <f t="shared" si="14"/>
        <v>0</v>
      </c>
      <c r="J127" s="1724">
        <f t="shared" si="14"/>
        <v>0</v>
      </c>
      <c r="K127" s="1724">
        <f t="shared" si="14"/>
        <v>1810508</v>
      </c>
      <c r="L127" s="1724">
        <f t="shared" si="14"/>
        <v>2097120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850339</v>
      </c>
      <c r="D129" s="1731">
        <f t="shared" ref="D129:L129" si="15">SUM(D120,D127,D128)</f>
        <v>124456</v>
      </c>
      <c r="E129" s="1731">
        <f t="shared" si="15"/>
        <v>224683</v>
      </c>
      <c r="F129" s="1731">
        <f t="shared" si="15"/>
        <v>559851</v>
      </c>
      <c r="G129" s="1731">
        <f t="shared" si="15"/>
        <v>51179</v>
      </c>
      <c r="H129" s="1731">
        <f t="shared" si="15"/>
        <v>0</v>
      </c>
      <c r="I129" s="1731">
        <f t="shared" si="15"/>
        <v>0</v>
      </c>
      <c r="J129" s="1731">
        <f t="shared" si="15"/>
        <v>0</v>
      </c>
      <c r="K129" s="1731">
        <f t="shared" si="15"/>
        <v>1810508</v>
      </c>
      <c r="L129" s="1731">
        <f t="shared" si="15"/>
        <v>2097120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9" t="s">
        <v>616</v>
      </c>
      <c r="B151" s="2329"/>
      <c r="C151" s="1724">
        <f>SUM(C129,C130,C139,C149,C150)</f>
        <v>850339</v>
      </c>
      <c r="D151" s="1724">
        <f t="shared" ref="D151:K151" si="16">SUM(D129,D130,D139,D149,D150)</f>
        <v>124456</v>
      </c>
      <c r="E151" s="1724">
        <f t="shared" si="16"/>
        <v>224683</v>
      </c>
      <c r="F151" s="1724">
        <f t="shared" si="16"/>
        <v>559851</v>
      </c>
      <c r="G151" s="1724">
        <f t="shared" si="16"/>
        <v>51179</v>
      </c>
      <c r="H151" s="1724">
        <f t="shared" si="16"/>
        <v>0</v>
      </c>
      <c r="I151" s="1724">
        <f t="shared" si="16"/>
        <v>0</v>
      </c>
      <c r="J151" s="1724">
        <f t="shared" si="16"/>
        <v>0</v>
      </c>
      <c r="K151" s="1724">
        <f t="shared" si="16"/>
        <v>1810508</v>
      </c>
      <c r="L151" s="1724">
        <f>SUM(L129,L130,L139,L149,L150)</f>
        <v>2097120</v>
      </c>
    </row>
    <row r="152" spans="1:14" ht="12.75" customHeight="1" thickTop="1" x14ac:dyDescent="0.2">
      <c r="A152" s="2352" t="s">
        <v>1170</v>
      </c>
      <c r="B152" s="2353"/>
      <c r="C152" s="1725"/>
      <c r="D152" s="1725"/>
      <c r="E152" s="1725"/>
      <c r="F152" s="1725"/>
      <c r="G152" s="1725"/>
      <c r="H152" s="1725"/>
      <c r="I152" s="1725"/>
      <c r="J152" s="1723"/>
      <c r="K152" s="1739">
        <f>'Revenues 9-14'!D268-'Expenditures 15-22'!K151</f>
        <v>224290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7" t="s">
        <v>617</v>
      </c>
      <c r="B154" s="233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185614</v>
      </c>
      <c r="I169" s="1723"/>
      <c r="J169" s="1723"/>
      <c r="K169" s="1722">
        <f>SUM(C169:H169)</f>
        <v>185614</v>
      </c>
      <c r="L169" s="1745">
        <v>1085000</v>
      </c>
    </row>
    <row r="170" spans="1:14" ht="33.75" customHeight="1" x14ac:dyDescent="0.2">
      <c r="A170" s="543" t="s">
        <v>1654</v>
      </c>
      <c r="B170" s="545" t="s">
        <v>31</v>
      </c>
      <c r="C170" s="1723"/>
      <c r="D170" s="1723"/>
      <c r="E170" s="1723"/>
      <c r="F170" s="1723"/>
      <c r="G170" s="1723"/>
      <c r="H170" s="1696">
        <v>919194</v>
      </c>
      <c r="I170" s="1723"/>
      <c r="J170" s="1723"/>
      <c r="K170" s="1722">
        <f>SUM(C170:J170)</f>
        <v>919194</v>
      </c>
      <c r="L170" s="1696">
        <v>73000</v>
      </c>
    </row>
    <row r="171" spans="1:14" ht="15.75" customHeight="1" x14ac:dyDescent="0.2">
      <c r="A171" s="507" t="s">
        <v>761</v>
      </c>
      <c r="B171" s="546" t="s">
        <v>84</v>
      </c>
      <c r="C171" s="1723"/>
      <c r="D171" s="1723"/>
      <c r="E171" s="1623"/>
      <c r="F171" s="1723"/>
      <c r="G171" s="1723"/>
      <c r="H171" s="1696">
        <v>500</v>
      </c>
      <c r="I171" s="1632"/>
      <c r="J171" s="1723"/>
      <c r="K171" s="1722">
        <f>SUM(C171:J171)</f>
        <v>500</v>
      </c>
      <c r="L171" s="1696">
        <v>2000</v>
      </c>
    </row>
    <row r="172" spans="1:14" ht="12.75" customHeight="1" thickBot="1" x14ac:dyDescent="0.25">
      <c r="A172" s="1429" t="s">
        <v>633</v>
      </c>
      <c r="B172" s="1430" t="s">
        <v>489</v>
      </c>
      <c r="C172" s="1723"/>
      <c r="D172" s="1723"/>
      <c r="E172" s="1731">
        <f>SUM(E168,E169,E170,E171)</f>
        <v>0</v>
      </c>
      <c r="F172" s="1723"/>
      <c r="G172" s="1723"/>
      <c r="H172" s="1731">
        <f>SUM(H168,H169,H170,H171)</f>
        <v>1105308</v>
      </c>
      <c r="I172" s="1734"/>
      <c r="J172" s="1723"/>
      <c r="K172" s="1731">
        <f>SUM(K168,K169,K170,K171)</f>
        <v>1105308</v>
      </c>
      <c r="L172" s="1731">
        <f>SUM(L168,L169,L170,L171)</f>
        <v>1160000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1105308</v>
      </c>
      <c r="I174" s="1734"/>
      <c r="J174" s="1723"/>
      <c r="K174" s="1731">
        <f>SUM(K160,K172,K173)</f>
        <v>1105308</v>
      </c>
      <c r="L174" s="1731">
        <f>SUM(L160,L172,L173)</f>
        <v>1160000</v>
      </c>
    </row>
    <row r="175" spans="1:14" ht="13.5" thickTop="1" x14ac:dyDescent="0.2">
      <c r="A175" s="2332" t="s">
        <v>989</v>
      </c>
      <c r="B175" s="2333"/>
      <c r="C175" s="1723"/>
      <c r="D175" s="1723"/>
      <c r="E175" s="1723"/>
      <c r="F175" s="1723"/>
      <c r="G175" s="1723"/>
      <c r="H175" s="1725"/>
      <c r="I175" s="1723"/>
      <c r="J175" s="1723"/>
      <c r="K175" s="1739">
        <f>'Revenues 9-14'!E268-'Expenditures 15-22'!K174</f>
        <v>-3903</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736754</v>
      </c>
      <c r="D182" s="1623">
        <v>87521</v>
      </c>
      <c r="E182" s="1623">
        <v>184639</v>
      </c>
      <c r="F182" s="1623">
        <v>164847</v>
      </c>
      <c r="G182" s="1623">
        <v>206814</v>
      </c>
      <c r="H182" s="1623"/>
      <c r="I182" s="1624"/>
      <c r="J182" s="1624"/>
      <c r="K182" s="1722">
        <f>SUM(C182:J182)</f>
        <v>1380575</v>
      </c>
      <c r="L182" s="1623">
        <v>1415500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736754</v>
      </c>
      <c r="D184" s="1731">
        <f t="shared" ref="D184:J184" si="17">SUM(D180,D182,D183)</f>
        <v>87521</v>
      </c>
      <c r="E184" s="1731">
        <f t="shared" si="17"/>
        <v>184639</v>
      </c>
      <c r="F184" s="1731">
        <f t="shared" si="17"/>
        <v>164847</v>
      </c>
      <c r="G184" s="1731">
        <f t="shared" si="17"/>
        <v>206814</v>
      </c>
      <c r="H184" s="1731">
        <f t="shared" si="17"/>
        <v>0</v>
      </c>
      <c r="I184" s="1731">
        <f t="shared" si="17"/>
        <v>0</v>
      </c>
      <c r="J184" s="1731">
        <f t="shared" si="17"/>
        <v>0</v>
      </c>
      <c r="K184" s="1731">
        <f>SUM(K180,K182,K183)</f>
        <v>1380575</v>
      </c>
      <c r="L184" s="1731">
        <f>SUM(L180, L182:L183)</f>
        <v>1415500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736754</v>
      </c>
      <c r="D210" s="1724">
        <f>SUM(D184,D185)</f>
        <v>87521</v>
      </c>
      <c r="E210" s="1724">
        <f>SUM(E184,E185,E196)</f>
        <v>184639</v>
      </c>
      <c r="F210" s="1724">
        <f>SUM(F184,F185)</f>
        <v>164847</v>
      </c>
      <c r="G210" s="1724">
        <f>SUM(G184,G185)</f>
        <v>206814</v>
      </c>
      <c r="H210" s="1724">
        <f>SUM(H184,H185,H196,H208,H209)</f>
        <v>0</v>
      </c>
      <c r="I210" s="1724">
        <f>SUM(I184,I185)</f>
        <v>0</v>
      </c>
      <c r="J210" s="1724">
        <f>SUM(J184,J185)</f>
        <v>0</v>
      </c>
      <c r="K210" s="1722">
        <f>SUM(K184,K185,K196,K208,K209)</f>
        <v>1380575</v>
      </c>
      <c r="L210" s="1724">
        <f>SUM(L184,L185,L196,L208,L209)</f>
        <v>1415500</v>
      </c>
    </row>
    <row r="211" spans="1:14" ht="13.5" thickTop="1" x14ac:dyDescent="0.2">
      <c r="A211" s="2332" t="s">
        <v>989</v>
      </c>
      <c r="B211" s="2333"/>
      <c r="C211" s="1725"/>
      <c r="D211" s="1725"/>
      <c r="E211" s="1725"/>
      <c r="F211" s="1725"/>
      <c r="G211" s="1725"/>
      <c r="H211" s="1725"/>
      <c r="I211" s="1723"/>
      <c r="J211" s="1723"/>
      <c r="K211" s="1739">
        <f>'Revenues 9-14'!F268-'Expenditures 15-22'!K210</f>
        <v>-170310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4" t="s">
        <v>959</v>
      </c>
      <c r="B213" s="235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91232</v>
      </c>
      <c r="E215" s="1723"/>
      <c r="F215" s="1723"/>
      <c r="G215" s="1723"/>
      <c r="H215" s="1723"/>
      <c r="I215" s="1723"/>
      <c r="J215" s="1723"/>
      <c r="K215" s="1722">
        <f>D215</f>
        <v>91232</v>
      </c>
      <c r="L215" s="1623">
        <v>68900</v>
      </c>
    </row>
    <row r="216" spans="1:14" x14ac:dyDescent="0.2">
      <c r="A216" s="1319" t="s">
        <v>162</v>
      </c>
      <c r="B216" s="503" t="s">
        <v>961</v>
      </c>
      <c r="C216" s="1723"/>
      <c r="D216" s="1624">
        <v>10376</v>
      </c>
      <c r="E216" s="1723"/>
      <c r="F216" s="1723"/>
      <c r="G216" s="1723"/>
      <c r="H216" s="1723"/>
      <c r="I216" s="1723"/>
      <c r="J216" s="1723"/>
      <c r="K216" s="1722">
        <f t="shared" ref="K216:K228" si="19">D216</f>
        <v>10376</v>
      </c>
      <c r="L216" s="1623">
        <v>43130</v>
      </c>
    </row>
    <row r="217" spans="1:14" x14ac:dyDescent="0.2">
      <c r="A217" s="1319" t="s">
        <v>163</v>
      </c>
      <c r="B217" s="503">
        <v>1200</v>
      </c>
      <c r="C217" s="1723"/>
      <c r="D217" s="1623">
        <v>277823</v>
      </c>
      <c r="E217" s="1723"/>
      <c r="F217" s="1723"/>
      <c r="G217" s="1723"/>
      <c r="H217" s="1723"/>
      <c r="I217" s="1723"/>
      <c r="J217" s="1723"/>
      <c r="K217" s="1722">
        <f t="shared" si="19"/>
        <v>277823</v>
      </c>
      <c r="L217" s="1623">
        <v>256850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47302</v>
      </c>
      <c r="E219" s="1723"/>
      <c r="F219" s="1723"/>
      <c r="G219" s="1723"/>
      <c r="H219" s="1723"/>
      <c r="I219" s="1723"/>
      <c r="J219" s="1723"/>
      <c r="K219" s="1722">
        <f t="shared" si="19"/>
        <v>47302</v>
      </c>
      <c r="L219" s="1623">
        <v>53950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3678</v>
      </c>
      <c r="E222" s="1723"/>
      <c r="F222" s="1723"/>
      <c r="G222" s="1723"/>
      <c r="H222" s="1723"/>
      <c r="I222" s="1723"/>
      <c r="J222" s="1723"/>
      <c r="K222" s="1722">
        <f t="shared" si="19"/>
        <v>3678</v>
      </c>
      <c r="L222" s="1623">
        <v>5300</v>
      </c>
    </row>
    <row r="223" spans="1:14" x14ac:dyDescent="0.2">
      <c r="A223" s="1319" t="s">
        <v>957</v>
      </c>
      <c r="B223" s="503">
        <v>1500</v>
      </c>
      <c r="C223" s="1723"/>
      <c r="D223" s="1623">
        <v>15687</v>
      </c>
      <c r="E223" s="1723"/>
      <c r="F223" s="1723"/>
      <c r="G223" s="1723"/>
      <c r="H223" s="1723"/>
      <c r="I223" s="1723"/>
      <c r="J223" s="1723"/>
      <c r="K223" s="1722">
        <f t="shared" si="19"/>
        <v>15687</v>
      </c>
      <c r="L223" s="1623">
        <v>17800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722</v>
      </c>
      <c r="E226" s="1723"/>
      <c r="F226" s="1723"/>
      <c r="G226" s="1723"/>
      <c r="H226" s="1723"/>
      <c r="I226" s="1723"/>
      <c r="J226" s="1723"/>
      <c r="K226" s="1722">
        <f t="shared" si="19"/>
        <v>722</v>
      </c>
      <c r="L226" s="1623">
        <v>800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446820</v>
      </c>
      <c r="E229" s="1723"/>
      <c r="F229" s="1723"/>
      <c r="G229" s="1723"/>
      <c r="H229" s="1723"/>
      <c r="I229" s="1723"/>
      <c r="J229" s="1723"/>
      <c r="K229" s="1724">
        <f>SUM(K215:K228)</f>
        <v>446820</v>
      </c>
      <c r="L229" s="1724">
        <f>SUM(L215:L228)</f>
        <v>446730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1624</v>
      </c>
      <c r="E232" s="1723"/>
      <c r="F232" s="1723"/>
      <c r="G232" s="1723"/>
      <c r="H232" s="1723"/>
      <c r="I232" s="1723"/>
      <c r="J232" s="1723"/>
      <c r="K232" s="1722">
        <f t="shared" ref="K232:K237" si="20">D232</f>
        <v>1624</v>
      </c>
      <c r="L232" s="1623">
        <v>1800</v>
      </c>
    </row>
    <row r="233" spans="1:12" x14ac:dyDescent="0.2">
      <c r="A233" s="1319" t="s">
        <v>1083</v>
      </c>
      <c r="B233" s="503">
        <v>2120</v>
      </c>
      <c r="C233" s="1723"/>
      <c r="D233" s="1623">
        <v>16750</v>
      </c>
      <c r="E233" s="1723"/>
      <c r="F233" s="1723"/>
      <c r="G233" s="1723"/>
      <c r="H233" s="1723"/>
      <c r="I233" s="1723"/>
      <c r="J233" s="1723"/>
      <c r="K233" s="1722">
        <f t="shared" si="20"/>
        <v>16750</v>
      </c>
      <c r="L233" s="1623">
        <v>17100</v>
      </c>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v>8486</v>
      </c>
      <c r="E235" s="1723"/>
      <c r="F235" s="1723"/>
      <c r="G235" s="1723"/>
      <c r="H235" s="1723"/>
      <c r="I235" s="1723"/>
      <c r="J235" s="1723"/>
      <c r="K235" s="1722">
        <f t="shared" si="20"/>
        <v>8486</v>
      </c>
      <c r="L235" s="1623">
        <v>9800</v>
      </c>
    </row>
    <row r="236" spans="1:12" x14ac:dyDescent="0.2">
      <c r="A236" s="1319" t="s">
        <v>198</v>
      </c>
      <c r="B236" s="503">
        <v>2150</v>
      </c>
      <c r="C236" s="1723"/>
      <c r="D236" s="1623">
        <v>3233</v>
      </c>
      <c r="E236" s="1723"/>
      <c r="F236" s="1723"/>
      <c r="G236" s="1723"/>
      <c r="H236" s="1723"/>
      <c r="I236" s="1723"/>
      <c r="J236" s="1723"/>
      <c r="K236" s="1722">
        <f t="shared" si="20"/>
        <v>3233</v>
      </c>
      <c r="L236" s="1623">
        <v>4200</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30093</v>
      </c>
      <c r="E238" s="1723"/>
      <c r="F238" s="1723"/>
      <c r="G238" s="1723"/>
      <c r="H238" s="1723"/>
      <c r="I238" s="1723"/>
      <c r="J238" s="1723"/>
      <c r="K238" s="1724">
        <f>SUM(K232:K237)</f>
        <v>30093</v>
      </c>
      <c r="L238" s="1724">
        <f>SUM(L232:L237)</f>
        <v>32900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3502</v>
      </c>
      <c r="E240" s="1723"/>
      <c r="F240" s="1723"/>
      <c r="G240" s="1723"/>
      <c r="H240" s="1723"/>
      <c r="I240" s="1723"/>
      <c r="J240" s="1723"/>
      <c r="K240" s="1728">
        <f>D240</f>
        <v>3502</v>
      </c>
      <c r="L240" s="1636">
        <v>5150</v>
      </c>
    </row>
    <row r="241" spans="1:12" x14ac:dyDescent="0.2">
      <c r="A241" s="1319" t="s">
        <v>810</v>
      </c>
      <c r="B241" s="503">
        <v>2220</v>
      </c>
      <c r="C241" s="1723"/>
      <c r="D241" s="1623">
        <v>55941</v>
      </c>
      <c r="E241" s="1723"/>
      <c r="F241" s="1723"/>
      <c r="G241" s="1723"/>
      <c r="H241" s="1723"/>
      <c r="I241" s="1723"/>
      <c r="J241" s="1723"/>
      <c r="K241" s="1728">
        <f>D241</f>
        <v>55941</v>
      </c>
      <c r="L241" s="1623">
        <v>65200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59443</v>
      </c>
      <c r="E243" s="1723"/>
      <c r="F243" s="1723"/>
      <c r="G243" s="1723"/>
      <c r="H243" s="1723"/>
      <c r="I243" s="1723"/>
      <c r="J243" s="1723"/>
      <c r="K243" s="1724">
        <f>SUM(K240:K242)</f>
        <v>59443</v>
      </c>
      <c r="L243" s="1724">
        <f>SUM(L240:L242)</f>
        <v>70350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309</v>
      </c>
      <c r="E245" s="1723"/>
      <c r="F245" s="1723"/>
      <c r="G245" s="1723"/>
      <c r="H245" s="1723"/>
      <c r="I245" s="1723"/>
      <c r="J245" s="1723"/>
      <c r="K245" s="1728">
        <f>D245</f>
        <v>309</v>
      </c>
      <c r="L245" s="1636">
        <v>1150</v>
      </c>
    </row>
    <row r="246" spans="1:12" x14ac:dyDescent="0.2">
      <c r="A246" s="1319" t="s">
        <v>813</v>
      </c>
      <c r="B246" s="503">
        <v>2320</v>
      </c>
      <c r="C246" s="1723"/>
      <c r="D246" s="1623">
        <v>8602</v>
      </c>
      <c r="E246" s="1723"/>
      <c r="F246" s="1723"/>
      <c r="G246" s="1723"/>
      <c r="H246" s="1723"/>
      <c r="I246" s="1723"/>
      <c r="J246" s="1723"/>
      <c r="K246" s="1728">
        <f t="shared" ref="K246:K256" si="21">D246</f>
        <v>8602</v>
      </c>
      <c r="L246" s="1623">
        <v>10500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1782</v>
      </c>
      <c r="B249" s="557" t="s">
        <v>280</v>
      </c>
      <c r="C249" s="1723"/>
      <c r="D249" s="1629"/>
      <c r="E249" s="1723"/>
      <c r="F249" s="1723"/>
      <c r="G249" s="1723"/>
      <c r="H249" s="1723"/>
      <c r="I249" s="1723"/>
      <c r="J249" s="1723"/>
      <c r="K249" s="1728">
        <f t="shared" si="21"/>
        <v>0</v>
      </c>
      <c r="L249" s="1623"/>
    </row>
    <row r="250" spans="1:12" x14ac:dyDescent="0.2">
      <c r="A250" s="1320" t="s">
        <v>1783</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v>2628</v>
      </c>
      <c r="E252" s="1723"/>
      <c r="F252" s="1723"/>
      <c r="G252" s="1723"/>
      <c r="H252" s="1723"/>
      <c r="I252" s="1723"/>
      <c r="J252" s="1723"/>
      <c r="K252" s="1728">
        <f t="shared" si="21"/>
        <v>2628</v>
      </c>
      <c r="L252" s="1623">
        <v>2950</v>
      </c>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9239</v>
      </c>
      <c r="E254" s="1723"/>
      <c r="F254" s="1723"/>
      <c r="G254" s="1723"/>
      <c r="H254" s="1723"/>
      <c r="I254" s="1723"/>
      <c r="J254" s="1723"/>
      <c r="K254" s="1728">
        <f t="shared" si="21"/>
        <v>9239</v>
      </c>
      <c r="L254" s="1623">
        <v>11850</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20778</v>
      </c>
      <c r="E257" s="1723"/>
      <c r="F257" s="1723"/>
      <c r="G257" s="1723"/>
      <c r="H257" s="1723"/>
      <c r="I257" s="1723"/>
      <c r="J257" s="1723"/>
      <c r="K257" s="1724">
        <f>SUM(K245:K256)</f>
        <v>20778</v>
      </c>
      <c r="L257" s="1724">
        <f>SUM(L245:L256)</f>
        <v>26450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50473</v>
      </c>
      <c r="E259" s="1723"/>
      <c r="F259" s="1723"/>
      <c r="G259" s="1723"/>
      <c r="H259" s="1723"/>
      <c r="I259" s="1723"/>
      <c r="J259" s="1723"/>
      <c r="K259" s="1728">
        <f>D259</f>
        <v>50473</v>
      </c>
      <c r="L259" s="1636">
        <v>56900</v>
      </c>
    </row>
    <row r="260" spans="1:14" s="493" customFormat="1" x14ac:dyDescent="0.2">
      <c r="A260" s="1337" t="s">
        <v>1781</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50473</v>
      </c>
      <c r="E261" s="1723"/>
      <c r="F261" s="1723"/>
      <c r="G261" s="1723"/>
      <c r="H261" s="1723"/>
      <c r="I261" s="1723"/>
      <c r="J261" s="1723"/>
      <c r="K261" s="1724">
        <f>SUM(K259:K260)</f>
        <v>50473</v>
      </c>
      <c r="L261" s="1724">
        <f>SUM(L259:L260)</f>
        <v>56900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8000</v>
      </c>
    </row>
    <row r="264" spans="1:14" x14ac:dyDescent="0.2">
      <c r="A264" s="1319" t="s">
        <v>460</v>
      </c>
      <c r="B264" s="559">
        <v>2520</v>
      </c>
      <c r="C264" s="1723"/>
      <c r="D264" s="1623">
        <v>16331</v>
      </c>
      <c r="E264" s="1723"/>
      <c r="F264" s="1723"/>
      <c r="G264" s="1723"/>
      <c r="H264" s="1723"/>
      <c r="I264" s="1723"/>
      <c r="J264" s="1723"/>
      <c r="K264" s="1728">
        <f t="shared" ref="K264:K269" si="22">D264</f>
        <v>16331</v>
      </c>
      <c r="L264" s="1623">
        <v>18000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137849</v>
      </c>
      <c r="E266" s="1723"/>
      <c r="F266" s="1723"/>
      <c r="G266" s="1723"/>
      <c r="H266" s="1723"/>
      <c r="I266" s="1723"/>
      <c r="J266" s="1723"/>
      <c r="K266" s="1728">
        <f t="shared" si="22"/>
        <v>137849</v>
      </c>
      <c r="L266" s="1623">
        <v>175000</v>
      </c>
    </row>
    <row r="267" spans="1:14" x14ac:dyDescent="0.2">
      <c r="A267" s="1319" t="s">
        <v>947</v>
      </c>
      <c r="B267" s="503">
        <v>2550</v>
      </c>
      <c r="C267" s="1723"/>
      <c r="D267" s="1623">
        <v>115658</v>
      </c>
      <c r="E267" s="1723"/>
      <c r="F267" s="1723"/>
      <c r="G267" s="1723"/>
      <c r="H267" s="1723"/>
      <c r="I267" s="1723"/>
      <c r="J267" s="1723"/>
      <c r="K267" s="1728">
        <f t="shared" si="22"/>
        <v>115658</v>
      </c>
      <c r="L267" s="1623">
        <v>134000</v>
      </c>
    </row>
    <row r="268" spans="1:14" x14ac:dyDescent="0.2">
      <c r="A268" s="1319" t="s">
        <v>100</v>
      </c>
      <c r="B268" s="503">
        <v>2560</v>
      </c>
      <c r="C268" s="1723"/>
      <c r="D268" s="1623">
        <v>2586</v>
      </c>
      <c r="E268" s="1723"/>
      <c r="F268" s="1723"/>
      <c r="G268" s="1723"/>
      <c r="H268" s="1723"/>
      <c r="I268" s="1723"/>
      <c r="J268" s="1723"/>
      <c r="K268" s="1728">
        <f t="shared" si="22"/>
        <v>2586</v>
      </c>
      <c r="L268" s="1623">
        <v>9405</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272424</v>
      </c>
      <c r="E270" s="1723"/>
      <c r="F270" s="1723"/>
      <c r="G270" s="1723"/>
      <c r="H270" s="1723"/>
      <c r="I270" s="1723"/>
      <c r="J270" s="1723"/>
      <c r="K270" s="1724">
        <f>SUM(K263:K269)</f>
        <v>272424</v>
      </c>
      <c r="L270" s="1724">
        <f>SUM(L263:L269)</f>
        <v>344405</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v>100</v>
      </c>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100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433211</v>
      </c>
      <c r="E279" s="1723"/>
      <c r="F279" s="1723"/>
      <c r="G279" s="1723"/>
      <c r="H279" s="1723"/>
      <c r="I279" s="1723"/>
      <c r="J279" s="1723"/>
      <c r="K279" s="1731">
        <f>SUM(K238,K243,K257,K261,K270,K277,K278)</f>
        <v>433211</v>
      </c>
      <c r="L279" s="1731">
        <f>SUM(L238,L243,L257,L261,L270,L277,L278)</f>
        <v>531105</v>
      </c>
    </row>
    <row r="280" spans="1:12" ht="15.75" customHeight="1" thickTop="1" thickBot="1" x14ac:dyDescent="0.25">
      <c r="A280" s="1407" t="s">
        <v>870</v>
      </c>
      <c r="B280" s="1396">
        <v>3000</v>
      </c>
      <c r="C280" s="1723"/>
      <c r="D280" s="1701">
        <v>86</v>
      </c>
      <c r="E280" s="1723"/>
      <c r="F280" s="1723"/>
      <c r="G280" s="1723"/>
      <c r="H280" s="1723"/>
      <c r="I280" s="1723"/>
      <c r="J280" s="1723"/>
      <c r="K280" s="1737">
        <f>D280</f>
        <v>86</v>
      </c>
      <c r="L280" s="1701">
        <v>420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50" t="s">
        <v>502</v>
      </c>
      <c r="B295" s="2351"/>
      <c r="C295" s="1723"/>
      <c r="D295" s="1724">
        <f>SUM(D229,D279,D280,D285)</f>
        <v>880117</v>
      </c>
      <c r="E295" s="1723"/>
      <c r="F295" s="1723"/>
      <c r="G295" s="1723"/>
      <c r="H295" s="1724">
        <f>H293</f>
        <v>0</v>
      </c>
      <c r="I295" s="1723"/>
      <c r="J295" s="1723"/>
      <c r="K295" s="1724">
        <f>SUM(K229,K279,K280,K285,K293,K294)</f>
        <v>880117</v>
      </c>
      <c r="L295" s="1724">
        <f>SUM(L229,L279,L280,L285,L293,L294)</f>
        <v>978255</v>
      </c>
    </row>
    <row r="296" spans="1:14" ht="13.5" thickTop="1" x14ac:dyDescent="0.2">
      <c r="A296" s="2332" t="s">
        <v>989</v>
      </c>
      <c r="B296" s="2333"/>
      <c r="C296" s="1723"/>
      <c r="D296" s="1725"/>
      <c r="E296" s="1723"/>
      <c r="F296" s="1723"/>
      <c r="G296" s="1723"/>
      <c r="H296" s="1757"/>
      <c r="I296" s="1723"/>
      <c r="J296" s="1723"/>
      <c r="K296" s="1739">
        <f>'Revenues 9-14'!G268-'Expenditures 15-22'!K295</f>
        <v>218980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2" t="s">
        <v>142</v>
      </c>
      <c r="B298" s="233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555486</v>
      </c>
      <c r="F301" s="1623">
        <v>16765</v>
      </c>
      <c r="G301" s="1623">
        <v>27071</v>
      </c>
      <c r="H301" s="1623"/>
      <c r="I301" s="1624"/>
      <c r="J301" s="1624"/>
      <c r="K301" s="1722">
        <f>SUM(C301:J301)</f>
        <v>599322</v>
      </c>
      <c r="L301" s="1624">
        <v>1875000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555486</v>
      </c>
      <c r="F303" s="1731">
        <f t="shared" si="23"/>
        <v>16765</v>
      </c>
      <c r="G303" s="1731">
        <f t="shared" si="23"/>
        <v>27071</v>
      </c>
      <c r="H303" s="1731">
        <f t="shared" si="23"/>
        <v>0</v>
      </c>
      <c r="I303" s="1731">
        <f t="shared" si="23"/>
        <v>0</v>
      </c>
      <c r="J303" s="1731">
        <f t="shared" si="23"/>
        <v>0</v>
      </c>
      <c r="K303" s="1731">
        <f t="shared" si="23"/>
        <v>599322</v>
      </c>
      <c r="L303" s="1731">
        <f t="shared" si="23"/>
        <v>1875000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7" t="s">
        <v>275</v>
      </c>
      <c r="B312" s="2348"/>
      <c r="C312" s="1724">
        <f>SUM(C303)</f>
        <v>0</v>
      </c>
      <c r="D312" s="1724">
        <f>SUM(D303)</f>
        <v>0</v>
      </c>
      <c r="E312" s="1724">
        <f>SUM(E303,E310)</f>
        <v>555486</v>
      </c>
      <c r="F312" s="1724">
        <f>SUM(F303)</f>
        <v>16765</v>
      </c>
      <c r="G312" s="1724">
        <f>SUM(G303)</f>
        <v>27071</v>
      </c>
      <c r="H312" s="1724">
        <f>SUM(H303,H310)</f>
        <v>0</v>
      </c>
      <c r="I312" s="1724">
        <f>SUM(I303)</f>
        <v>0</v>
      </c>
      <c r="J312" s="1724">
        <f>SUM(J303)</f>
        <v>0</v>
      </c>
      <c r="K312" s="1724">
        <f>SUM(K303,K310,K311)</f>
        <v>599322</v>
      </c>
      <c r="L312" s="1724">
        <f>SUM(L303,L310,L311)</f>
        <v>1875000</v>
      </c>
      <c r="M312" s="539"/>
      <c r="N312" s="539"/>
    </row>
    <row r="313" spans="1:14" ht="13.5" thickTop="1" x14ac:dyDescent="0.2">
      <c r="A313" s="2343" t="s">
        <v>989</v>
      </c>
      <c r="B313" s="2344"/>
      <c r="C313" s="1727"/>
      <c r="D313" s="1727"/>
      <c r="E313" s="1727"/>
      <c r="F313" s="1727"/>
      <c r="G313" s="1727"/>
      <c r="H313" s="1727"/>
      <c r="I313" s="1727"/>
      <c r="J313" s="1727"/>
      <c r="K313" s="1746">
        <f>'Revenues 9-14'!H268-'Expenditures 15-22'!K312</f>
        <v>120961</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6" t="s">
        <v>148</v>
      </c>
      <c r="B315" s="235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8" t="s">
        <v>892</v>
      </c>
      <c r="B317" s="235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1782</v>
      </c>
      <c r="B320" s="568" t="s">
        <v>280</v>
      </c>
      <c r="C320" s="1624"/>
      <c r="D320" s="1624"/>
      <c r="E320" s="1624">
        <v>247367</v>
      </c>
      <c r="F320" s="1624"/>
      <c r="G320" s="1624"/>
      <c r="H320" s="1624"/>
      <c r="I320" s="1624"/>
      <c r="J320" s="1624"/>
      <c r="K320" s="1722">
        <f t="shared" ref="K320:K327" si="24">SUM(C320:J320)</f>
        <v>247367</v>
      </c>
      <c r="L320" s="1624">
        <v>325000</v>
      </c>
      <c r="M320" s="539"/>
      <c r="N320" s="539"/>
    </row>
    <row r="321" spans="1:14" s="548" customFormat="1" x14ac:dyDescent="0.2">
      <c r="A321" s="1334" t="s">
        <v>297</v>
      </c>
      <c r="B321" s="567" t="s">
        <v>281</v>
      </c>
      <c r="C321" s="1624"/>
      <c r="D321" s="1624"/>
      <c r="E321" s="1624">
        <v>1676</v>
      </c>
      <c r="F321" s="1624"/>
      <c r="G321" s="1624"/>
      <c r="H321" s="1624"/>
      <c r="I321" s="1624"/>
      <c r="J321" s="1624"/>
      <c r="K321" s="1722">
        <f t="shared" si="24"/>
        <v>1676</v>
      </c>
      <c r="L321" s="1624">
        <v>15000</v>
      </c>
      <c r="M321" s="539"/>
      <c r="N321" s="539"/>
    </row>
    <row r="322" spans="1:14" s="548" customFormat="1" x14ac:dyDescent="0.2">
      <c r="A322" s="1334" t="s">
        <v>236</v>
      </c>
      <c r="B322" s="567" t="s">
        <v>282</v>
      </c>
      <c r="C322" s="1624"/>
      <c r="D322" s="1624"/>
      <c r="E322" s="1624">
        <v>165372</v>
      </c>
      <c r="F322" s="1624"/>
      <c r="G322" s="1624"/>
      <c r="H322" s="1624"/>
      <c r="I322" s="1624"/>
      <c r="J322" s="1624"/>
      <c r="K322" s="1722">
        <f t="shared" si="24"/>
        <v>165372</v>
      </c>
      <c r="L322" s="1624">
        <v>175000</v>
      </c>
      <c r="M322" s="539"/>
      <c r="N322" s="539"/>
    </row>
    <row r="323" spans="1:14" s="548" customFormat="1" x14ac:dyDescent="0.2">
      <c r="A323" s="1334" t="s">
        <v>697</v>
      </c>
      <c r="B323" s="567" t="s">
        <v>283</v>
      </c>
      <c r="C323" s="1624">
        <v>65281</v>
      </c>
      <c r="D323" s="1624">
        <v>12135</v>
      </c>
      <c r="E323" s="1624"/>
      <c r="F323" s="1624"/>
      <c r="G323" s="1624"/>
      <c r="H323" s="1624"/>
      <c r="I323" s="1624"/>
      <c r="J323" s="1624"/>
      <c r="K323" s="1722">
        <f t="shared" si="24"/>
        <v>77416</v>
      </c>
      <c r="L323" s="1624">
        <v>88020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195988</v>
      </c>
      <c r="D325" s="1624">
        <v>34335</v>
      </c>
      <c r="E325" s="1624">
        <v>93534</v>
      </c>
      <c r="F325" s="1624">
        <v>25937</v>
      </c>
      <c r="G325" s="1624"/>
      <c r="H325" s="1624"/>
      <c r="I325" s="1624"/>
      <c r="J325" s="1624"/>
      <c r="K325" s="1722">
        <f t="shared" si="24"/>
        <v>349794</v>
      </c>
      <c r="L325" s="1624">
        <v>487395</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143089</v>
      </c>
      <c r="F327" s="1624"/>
      <c r="G327" s="1624"/>
      <c r="H327" s="1624"/>
      <c r="I327" s="1624"/>
      <c r="J327" s="1624"/>
      <c r="K327" s="1722">
        <f t="shared" si="24"/>
        <v>143089</v>
      </c>
      <c r="L327" s="1624">
        <v>120000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261269</v>
      </c>
      <c r="D330" s="1724">
        <f t="shared" ref="D330:J330" si="25">SUM(D319:D329)</f>
        <v>46470</v>
      </c>
      <c r="E330" s="1724">
        <f t="shared" si="25"/>
        <v>651038</v>
      </c>
      <c r="F330" s="1724">
        <f t="shared" si="25"/>
        <v>25937</v>
      </c>
      <c r="G330" s="1724">
        <f t="shared" si="25"/>
        <v>0</v>
      </c>
      <c r="H330" s="1724">
        <f t="shared" si="25"/>
        <v>0</v>
      </c>
      <c r="I330" s="1724">
        <f t="shared" si="25"/>
        <v>0</v>
      </c>
      <c r="J330" s="1724">
        <f t="shared" si="25"/>
        <v>0</v>
      </c>
      <c r="K330" s="1724">
        <f>SUM(K319:K329)</f>
        <v>984714</v>
      </c>
      <c r="L330" s="1724">
        <f>SUM(L319:L329)</f>
        <v>1210415</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1818</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261269</v>
      </c>
      <c r="D342" s="1724">
        <f>SUM(D330)</f>
        <v>46470</v>
      </c>
      <c r="E342" s="1724">
        <f>SUM(E330)</f>
        <v>651038</v>
      </c>
      <c r="F342" s="1724">
        <f>SUM(F330)</f>
        <v>25937</v>
      </c>
      <c r="G342" s="1724">
        <f>SUM(G330)</f>
        <v>0</v>
      </c>
      <c r="H342" s="1724">
        <f>SUM(H330,H334,H340)</f>
        <v>0</v>
      </c>
      <c r="I342" s="1724">
        <f>SUM(I330)</f>
        <v>0</v>
      </c>
      <c r="J342" s="1724">
        <f>SUM(J330)</f>
        <v>0</v>
      </c>
      <c r="K342" s="1724">
        <f>SUM(K330,K334,K340)</f>
        <v>984714</v>
      </c>
      <c r="L342" s="1731">
        <f>SUM(L330,L334,L340,L341)</f>
        <v>1210415</v>
      </c>
    </row>
    <row r="343" spans="1:14" ht="12.75" customHeight="1" thickTop="1" x14ac:dyDescent="0.2">
      <c r="A343" s="2345" t="s">
        <v>989</v>
      </c>
      <c r="B343" s="2346"/>
      <c r="C343" s="1723"/>
      <c r="D343" s="1723"/>
      <c r="E343" s="1723"/>
      <c r="F343" s="1723"/>
      <c r="G343" s="1723"/>
      <c r="H343" s="1723"/>
      <c r="I343" s="1723"/>
      <c r="J343" s="1723"/>
      <c r="K343" s="1739">
        <f>'Revenues 9-14'!J268-'Expenditures 15-22'!K342</f>
        <v>138367</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5" t="s">
        <v>960</v>
      </c>
      <c r="B345" s="233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v>15908</v>
      </c>
      <c r="D349" s="1623">
        <v>2413</v>
      </c>
      <c r="E349" s="1623">
        <v>1404414</v>
      </c>
      <c r="F349" s="1623">
        <v>12521</v>
      </c>
      <c r="G349" s="1623"/>
      <c r="H349" s="1623"/>
      <c r="I349" s="1624"/>
      <c r="J349" s="1624"/>
      <c r="K349" s="1722">
        <f>SUM(C349:J349)</f>
        <v>1435256</v>
      </c>
      <c r="L349" s="1623">
        <v>1262870</v>
      </c>
    </row>
    <row r="350" spans="1:14" ht="12.75" customHeight="1" thickBot="1" x14ac:dyDescent="0.25">
      <c r="A350" s="1429" t="s">
        <v>714</v>
      </c>
      <c r="B350" s="1430" t="s">
        <v>35</v>
      </c>
      <c r="C350" s="1724">
        <f>SUM(C348:C349)</f>
        <v>15908</v>
      </c>
      <c r="D350" s="1724">
        <f t="shared" ref="D350:L350" si="26">SUM(D348:D349)</f>
        <v>2413</v>
      </c>
      <c r="E350" s="1724">
        <f t="shared" si="26"/>
        <v>1404414</v>
      </c>
      <c r="F350" s="1724">
        <f t="shared" si="26"/>
        <v>12521</v>
      </c>
      <c r="G350" s="1724">
        <f t="shared" si="26"/>
        <v>0</v>
      </c>
      <c r="H350" s="1724">
        <f t="shared" si="26"/>
        <v>0</v>
      </c>
      <c r="I350" s="1724">
        <f t="shared" si="26"/>
        <v>0</v>
      </c>
      <c r="J350" s="1724">
        <f t="shared" si="26"/>
        <v>0</v>
      </c>
      <c r="K350" s="1724">
        <f t="shared" si="26"/>
        <v>1435256</v>
      </c>
      <c r="L350" s="1724">
        <f t="shared" si="26"/>
        <v>1262870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15908</v>
      </c>
      <c r="D352" s="1724">
        <f t="shared" ref="D352:L352" si="27">SUM(D350:D351)</f>
        <v>2413</v>
      </c>
      <c r="E352" s="1724">
        <f t="shared" si="27"/>
        <v>1404414</v>
      </c>
      <c r="F352" s="1724">
        <f t="shared" si="27"/>
        <v>12521</v>
      </c>
      <c r="G352" s="1724">
        <f t="shared" si="27"/>
        <v>0</v>
      </c>
      <c r="H352" s="1724">
        <f t="shared" si="27"/>
        <v>0</v>
      </c>
      <c r="I352" s="1724">
        <f t="shared" si="27"/>
        <v>0</v>
      </c>
      <c r="J352" s="1724">
        <f t="shared" si="27"/>
        <v>0</v>
      </c>
      <c r="K352" s="1724">
        <f t="shared" si="27"/>
        <v>1435256</v>
      </c>
      <c r="L352" s="1724">
        <f t="shared" si="27"/>
        <v>1262870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row>
    <row r="355" spans="1:14" ht="12.75" customHeight="1" x14ac:dyDescent="0.2">
      <c r="A355" s="1328" t="s">
        <v>1825</v>
      </c>
      <c r="B355" s="562" t="s">
        <v>1818</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15908</v>
      </c>
      <c r="D367" s="1724">
        <f t="shared" si="28"/>
        <v>2413</v>
      </c>
      <c r="E367" s="1724">
        <f t="shared" si="28"/>
        <v>1404414</v>
      </c>
      <c r="F367" s="1724">
        <f t="shared" si="28"/>
        <v>12521</v>
      </c>
      <c r="G367" s="1724">
        <f t="shared" si="28"/>
        <v>0</v>
      </c>
      <c r="H367" s="1724">
        <f t="shared" si="28"/>
        <v>0</v>
      </c>
      <c r="I367" s="1724">
        <f t="shared" si="28"/>
        <v>0</v>
      </c>
      <c r="J367" s="1724">
        <f t="shared" si="28"/>
        <v>0</v>
      </c>
      <c r="K367" s="1724">
        <f t="shared" si="28"/>
        <v>1435256</v>
      </c>
      <c r="L367" s="1724">
        <f t="shared" si="28"/>
        <v>1262870</v>
      </c>
    </row>
    <row r="368" spans="1:14" ht="13.5" thickTop="1" x14ac:dyDescent="0.2">
      <c r="A368" s="2332" t="s">
        <v>989</v>
      </c>
      <c r="B368" s="2333"/>
      <c r="C368" s="1744"/>
      <c r="D368" s="1744"/>
      <c r="E368" s="1727"/>
      <c r="F368" s="1727"/>
      <c r="G368" s="1727"/>
      <c r="H368" s="1727"/>
      <c r="I368" s="1727"/>
      <c r="J368" s="1726"/>
      <c r="K368" s="1722">
        <f>'Revenues 9-14'!K268-'Expenditures 15-22'!K367</f>
        <v>-1323123</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schemas.openxmlformats.org/package/2006/metadata/core-properties"/>
    <ds:schemaRef ds:uri="d21dc803-237d-4c68-8692-8d731fd29118"/>
    <ds:schemaRef ds:uri="http://www.w3.org/XML/1998/namespace"/>
    <ds:schemaRef ds:uri="http://schemas.microsoft.com/office/infopath/2007/PartnerControls"/>
    <ds:schemaRef ds:uri="http://schemas.microsoft.com/office/2006/documentManagement/types"/>
    <ds:schemaRef ds:uri="4d435f69-8686-490b-bd6d-b153bf22ab50"/>
    <ds:schemaRef ds:uri="http://schemas.microsoft.com/sharepoint/v3"/>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2020-09-28T14:23:34Z</cp:lastPrinted>
  <dcterms:created xsi:type="dcterms:W3CDTF">2003-10-29T19:06:34Z</dcterms:created>
  <dcterms:modified xsi:type="dcterms:W3CDTF">2020-09-29T13:44:18Z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