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EB486AC-8DBD-4EA1-BC97-76E7A32AFC6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5" i="29" l="1"/>
  <c r="N58" i="184" l="1"/>
  <c r="N57" i="184"/>
  <c r="N67" i="184"/>
  <c r="N66" i="184"/>
  <c r="N65" i="184"/>
  <c r="N64" i="184"/>
  <c r="N62" i="184"/>
  <c r="E67" i="184" l="1"/>
  <c r="E66" i="184"/>
  <c r="E65" i="184"/>
  <c r="E64" i="184"/>
  <c r="E62" i="184"/>
  <c r="E58" i="184"/>
  <c r="E57" i="184"/>
  <c r="F15" i="184" l="1"/>
  <c r="F19" i="184" s="1"/>
  <c r="E17" i="184"/>
  <c r="E15" i="184"/>
  <c r="E14"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5" i="184"/>
  <c r="H14" i="184"/>
  <c r="H13" i="184"/>
  <c r="G19" i="184"/>
  <c r="F139" i="183" l="1"/>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1" i="183"/>
  <c r="F19"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E20" i="183"/>
  <c r="F20" i="183" s="1"/>
  <c r="E19" i="183"/>
  <c r="E18" i="183"/>
  <c r="F18" i="183" s="1"/>
  <c r="E17" i="183"/>
  <c r="F17" i="183" s="1"/>
  <c r="D7887" i="106" l="1"/>
  <c r="D7886" i="106"/>
  <c r="B7887" i="106"/>
  <c r="B7886" i="106"/>
  <c r="F76" i="34"/>
  <c r="F75" i="34"/>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0" i="183" l="1"/>
  <c r="A15" i="183"/>
  <c r="D82" i="36" l="1"/>
  <c r="F140" i="183"/>
  <c r="E140"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80" i="106" l="1"/>
  <c r="D7180" i="106" s="1"/>
  <c r="E63" i="184"/>
  <c r="N63" i="184" s="1"/>
  <c r="C342" i="29"/>
  <c r="B7216" i="106" s="1"/>
  <c r="D7216" i="106" s="1"/>
  <c r="B7162" i="106"/>
  <c r="D7162" i="106" s="1"/>
  <c r="E61" i="184"/>
  <c r="N61" i="184" s="1"/>
  <c r="B7153" i="106"/>
  <c r="D7153" i="106" s="1"/>
  <c r="E60" i="184"/>
  <c r="N60" i="184" s="1"/>
  <c r="N59" i="184"/>
  <c r="D31" i="108"/>
  <c r="E16" i="184"/>
  <c r="H16" i="184" s="1"/>
  <c r="G30" i="108"/>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5527" i="106"/>
  <c r="D5527" i="106" s="1"/>
  <c r="L16" i="11"/>
  <c r="B2061" i="106" s="1"/>
  <c r="D2061" i="106" s="1"/>
  <c r="B2031" i="106"/>
  <c r="D2031" i="106" s="1"/>
  <c r="E68" i="184"/>
  <c r="K342" i="29"/>
  <c r="F13" i="34" s="1"/>
  <c r="N68" i="184"/>
  <c r="F41" i="108"/>
  <c r="G43" i="108" s="1"/>
  <c r="L114" i="29"/>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<sst xmlns="http://schemas.openxmlformats.org/spreadsheetml/2006/main" count="5181" uniqueCount="2101">
  <si>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</si>
  <si>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</si>
  <si>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</si>
  <si>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</si>
  <si>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</si>
  <si>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</si>
  <si>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</si>
  <si>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</si>
  <si>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</si>
  <si>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</si>
  <si>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</si>
  <si>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</si>
  <si>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</si>
  <si>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</si>
  <si>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</si>
  <si>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</si>
  <si>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</si>
  <si>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</si>
  <si>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</si>
  <si>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</si>
  <si>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</si>
  <si>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</si>
  <si>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</si>
  <si>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</si>
  <si>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</si>
  <si>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</si>
  <si>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</si>
  <si>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</si>
  <si>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</si>
  <si>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</si>
  <si>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</si>
  <si>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</si>
  <si>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</si>
  <si>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</si>
  <si>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</si>
  <si>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</si>
  <si>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</si>
  <si>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</si>
  <si>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</si>
  <si>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</si>
  <si>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</si>
  <si>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</si>
  <si>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</si>
  <si>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</si>
  <si>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</si>
  <si>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</si>
  <si>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</si>
  <si>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</si>
  <si>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</si>
  <si>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</si>
  <si>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</si>
  <si>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</si>
  <si>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</si>
  <si>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</si>
  <si>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</si>
  <si>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</si>
  <si>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</si>
  <si>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</si>
  <si>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</si>
  <si>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</si>
  <si>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</si>
  <si>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</si>
  <si>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</si>
  <si>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</si>
  <si>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</si>
  <si>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</si>
  <si>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</si>
  <si>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</si>
  <si>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</si>
  <si>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</si>
  <si>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</si>
  <si>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</si>
  <si>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</si>
  <si>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</si>
  <si>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</si>
  <si>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</si>
  <si>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</si>
  <si>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</si>
  <si>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</si>
  <si>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</si>
  <si>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</si>
  <si>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</si>
  <si>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</si>
  <si>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</si>
  <si>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</si>
  <si>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</si>
  <si>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</si>
  <si>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</si>
  <si>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</si>
  <si>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</si>
  <si>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</si>
  <si>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</si>
  <si>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</si>
  <si>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</si>
  <si>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</si>
  <si>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</si>
  <si>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</si>
  <si>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</si>
  <si>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</si>
  <si>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</si>
  <si>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</si>
  <si>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</si>
  <si>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</si>
  <si>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</si>
  <si>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</si>
  <si>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</si>
  <si>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</si>
  <si>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</si>
  <si>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</si>
  <si>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</si>
  <si>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</si>
  <si>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</si>
  <si>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</si>
  <si>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</si>
  <si>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</si>
  <si>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</si>
  <si>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</si>
  <si>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</si>
  <si>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</si>
  <si>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</si>
  <si>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</si>
  <si>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</si>
  <si>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</si>
  <si>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</si>
  <si>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</si>
  <si>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</si>
  <si>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</si>
  <si>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</si>
  <si>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</si>
  <si>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</si>
  <si>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</si>
  <si>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</si>
  <si>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</si>
  <si>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</si>
  <si>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</si>
  <si>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</si>
  <si>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</si>
  <si>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</si>
  <si>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</si>
  <si>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</si>
  <si>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</si>
  <si>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</si>
  <si>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</si>
  <si>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</si>
  <si>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</si>
  <si>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</si>
  <si>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</si>
  <si>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</si>
  <si>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</si>
  <si>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</si>
  <si>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</si>
  <si>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</si>
  <si>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</si>
  <si>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</si>
  <si>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</si>
  <si>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</si>
  <si>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</si>
  <si>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</si>
  <si>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</si>
  <si>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</si>
  <si>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</si>
  <si>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</si>
  <si>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</si>
  <si>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</si>
  <si>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</si>
  <si>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</si>
  <si>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</si>
  <si>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</si>
  <si>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</si>
  <si>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</si>
  <si>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</si>
  <si>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</si>
  <si>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</si>
  <si>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</si>
  <si>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</si>
  <si>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</si>
  <si>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</si>
  <si>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</si>
  <si>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</si>
  <si>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</si>
  <si>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</si>
  <si>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</si>
  <si>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</si>
  <si>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</si>
  <si>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</si>
  <si>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</si>
  <si>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</si>
  <si>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</si>
  <si>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</si>
  <si>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</si>
  <si>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</si>
  <si>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</si>
  <si>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</si>
  <si>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</si>
  <si>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</si>
  <si>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</si>
  <si>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</si>
  <si>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</si>
  <si>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</si>
  <si>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</si>
  <si>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</si>
  <si>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</si>
  <si>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</si>
  <si>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</si>
  <si>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</si>
  <si>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</si>
  <si>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</si>
  <si>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</si>
  <si>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</si>
  <si>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</si>
  <si>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</si>
  <si>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</si>
  <si>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</si>
  <si>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</si>
  <si>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</si>
  <si>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</si>
  <si>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</si>
  <si>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</si>
  <si>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</si>
  <si>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</si>
  <si>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</si>
  <si>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</si>
  <si>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</si>
  <si>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</si>
  <si>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</si>
  <si>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</si>
  <si>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</si>
  <si>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</si>
  <si>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</si>
  <si>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</si>
  <si>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</si>
  <si>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</si>
  <si>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</si>
  <si>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</si>
  <si>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</si>
  <si>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</si>
  <si>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</si>
  <si>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</si>
  <si>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</si>
  <si>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</si>
  <si>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</si>
  <si>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</si>
  <si>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</si>
  <si>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</si>
  <si>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</si>
  <si>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</si>
  <si>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</si>
  <si>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</si>
  <si>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</si>
  <si>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</si>
  <si>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</si>
  <si>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</si>
  <si>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</si>
  <si>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</si>
  <si>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</si>
  <si>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</si>
  <si>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</si>
  <si>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</si>
  <si>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</si>
  <si>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</si>
  <si>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</si>
  <si>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</si>
  <si>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</si>
  <si>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</si>
  <si>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</si>
  <si>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</si>
  <si>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</si>
  <si>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</si>
  <si>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</si>
  <si>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</si>
  <si>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</si>
  <si>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</si>
  <si>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</si>
  <si>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</si>
  <si>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</si>
  <si>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</si>
  <si>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</si>
  <si>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</si>
  <si>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</si>
  <si>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</si>
  <si>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</si>
  <si>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</si>
  <si>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</si>
  <si>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</si>
  <si>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</si>
  <si>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</si>
  <si>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</si>
  <si>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</si>
  <si>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</si>
  <si>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</si>
  <si>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</si>
  <si>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</si>
  <si>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</si>
  <si>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</si>
  <si>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</si>
  <si>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</si>
  <si>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</si>
  <si>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</si>
  <si>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</si>
  <si>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</si>
  <si>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</si>
  <si>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</si>
  <si>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</si>
  <si>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</si>
  <si>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</si>
  <si>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</si>
  <si>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</si>
  <si>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</si>
  <si>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</si>
  <si>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</si>
  <si>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</si>
  <si>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</si>
  <si>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</si>
  <si>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</si>
  <si>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</si>
  <si>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</si>
  <si>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</si>
  <si>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</si>
  <si>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</si>
  <si>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</si>
  <si>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</si>
  <si>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</si>
  <si>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</si>
  <si>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</si>
  <si>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</si>
  <si>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</si>
  <si>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</si>
  <si>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</si>
  <si>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</si>
  <si>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</si>
  <si>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</si>
  <si>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</si>
  <si>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</si>
  <si>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</si>
  <si>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</si>
  <si>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</si>
  <si>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</si>
  <si>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</si>
  <si>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</si>
  <si>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</si>
  <si>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</si>
  <si>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</si>
  <si>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</si>
  <si>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</si>
  <si>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</si>
  <si>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</si>
  <si>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</si>
  <si>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</si>
  <si>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</si>
  <si>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</si>
  <si>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</si>
  <si>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</si>
  <si>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</si>
  <si>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</si>
  <si>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</si>
  <si>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</si>
  <si>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</si>
  <si>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</si>
  <si>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</si>
  <si>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</si>
  <si>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</si>
  <si>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</si>
  <si>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</si>
  <si>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</si>
  <si>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</si>
  <si>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</si>
  <si>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</si>
  <si>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</si>
  <si>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</si>
  <si>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</si>
  <si>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</si>
  <si>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</si>
  <si>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</si>
  <si>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</si>
  <si>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</si>
  <si>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</si>
  <si>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</si>
  <si>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</si>
  <si>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</si>
  <si>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</si>
  <si>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</si>
  <si>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</si>
  <si>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</si>
  <si>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</si>
  <si>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</si>
  <si>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</si>
  <si>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</si>
  <si>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</si>
  <si>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</si>
  <si>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</si>
  <si>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</si>
  <si>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</si>
  <si>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</si>
  <si>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</si>
  <si>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</si>
  <si>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</si>
  <si>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</si>
  <si>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</si>
  <si>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</si>
  <si>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</si>
  <si>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</si>
  <si>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</si>
  <si>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</si>
  <si>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</si>
  <si>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</si>
  <si>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</si>
  <si>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</si>
  <si>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</si>
  <si>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</si>
  <si>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</si>
  <si>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</si>
  <si>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</si>
  <si>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</si>
  <si>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</si>
  <si>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</si>
  <si>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</si>
  <si>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</si>
  <si>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</si>
  <si>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</si>
  <si>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</si>
  <si>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</si>
  <si>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</si>
  <si>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</si>
  <si>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</si>
  <si>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</si>
  <si>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</si>
  <si>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</si>
  <si>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</si>
  <si>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</si>
  <si>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</si>
  <si>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</si>
  <si>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</si>
  <si>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</si>
  <si>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</si>
  <si>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</si>
  <si>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</si>
  <si>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</si>
  <si>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</si>
  <si>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</si>
  <si>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</si>
  <si>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</si>
  <si>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</si>
  <si>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</si>
  <si>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</si>
  <si>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</si>
  <si>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</si>
  <si>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</si>
  <si>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</si>
  <si>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</si>
  <si>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</si>
  <si>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</si>
  <si>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</si>
  <si>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</si>
  <si>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</si>
  <si>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</si>
  <si>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</si>
  <si>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</si>
  <si>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</si>
  <si>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</si>
  <si>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</si>
  <si>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</si>
  <si>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</si>
  <si>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</si>
  <si>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</si>
  <si>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</si>
  <si>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</si>
  <si>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</si>
  <si>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</si>
  <si>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</si>
  <si>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</si>
  <si>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</si>
  <si>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</si>
  <si>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</si>
  <si>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</si>
  <si>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</si>
  <si>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</si>
  <si>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</si>
  <si>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</si>
  <si>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</si>
  <si>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</si>
  <si>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</si>
  <si>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</si>
  <si>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</si>
  <si>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</si>
  <si>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</si>
  <si>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</si>
  <si>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</si>
  <si>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</si>
  <si>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</si>
  <si>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</si>
  <si>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</si>
  <si>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</si>
  <si>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</si>
  <si>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</si>
  <si>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</si>
  <si>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</si>
  <si>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</si>
  <si>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</si>
  <si>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</si>
  <si>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</si>
  <si>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</si>
  <si>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</si>
  <si>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</si>
  <si>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</si>
  <si>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</si>
  <si>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</si>
  <si>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</si>
  <si>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</si>
  <si>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</si>
  <si>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</si>
  <si>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</si>
  <si>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</si>
  <si>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</si>
  <si>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</si>
  <si>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</si>
  <si>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</si>
  <si>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</si>
  <si>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</si>
  <si>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</si>
  <si>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</si>
  <si>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</si>
  <si>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</si>
  <si>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</si>
  <si>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</si>
  <si>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</si>
  <si>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</si>
  <si>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</si>
  <si>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</si>
  <si>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</si>
  <si>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</si>
  <si>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</si>
  <si>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</si>
  <si>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</si>
  <si>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</si>
  <si>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</si>
  <si>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</si>
  <si>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</si>
  <si>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</si>
  <si>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</si>
  <si>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</si>
  <si>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</si>
  <si>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</si>
  <si>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</si>
  <si>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</si>
  <si>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</si>
  <si>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</si>
  <si>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</si>
  <si>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</si>
  <si>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</si>
  <si>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</si>
  <si>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</si>
  <si>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</si>
  <si>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</si>
  <si>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</si>
  <si>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</si>
  <si>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</si>
  <si>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</si>
  <si>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</si>
  <si>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</si>
  <si>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</si>
  <si>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</si>
  <si>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</si>
  <si>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</si>
  <si>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</si>
  <si>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</si>
  <si>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</si>
  <si>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</si>
  <si>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</si>
  <si>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</si>
  <si>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</si>
  <si>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</si>
  <si>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</si>
  <si>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</si>
  <si>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</si>
  <si>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</si>
  <si>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</si>
  <si>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</si>
  <si>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</si>
  <si>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</si>
  <si>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</si>
  <si>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</si>
  <si>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</si>
  <si>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</si>
  <si>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</si>
  <si>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</si>
  <si>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</si>
  <si>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</si>
  <si>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</si>
  <si>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</si>
  <si>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</si>
  <si>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</si>
  <si>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</si>
  <si>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</si>
  <si>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</si>
  <si>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</si>
  <si>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</si>
  <si>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</si>
  <si>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</si>
  <si>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</si>
  <si>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</si>
  <si>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</si>
  <si>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</si>
  <si>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</si>
  <si>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</si>
  <si>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</si>
  <si>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</si>
  <si>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</si>
  <si>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</si>
  <si>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</si>
  <si>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</si>
  <si>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</si>
  <si>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</si>
  <si>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</si>
  <si>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</si>
  <si>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</si>
  <si>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</si>
  <si>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</si>
  <si>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</si>
  <si>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</si>
  <si>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</si>
  <si>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</si>
  <si>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</si>
  <si>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</si>
  <si>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</si>
  <si>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</si>
  <si>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</si>
  <si>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</si>
  <si>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</si>
  <si>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</si>
  <si>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</si>
  <si>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</si>
  <si>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</si>
  <si>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</si>
  <si>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</si>
  <si>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</si>
  <si>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</si>
  <si>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</si>
  <si>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</si>
  <si>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</si>
  <si>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</si>
  <si>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</si>
  <si>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</si>
  <si>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</si>
  <si>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</si>
  <si>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</si>
  <si>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</si>
  <si>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</si>
  <si>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</si>
  <si>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</si>
  <si>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</si>
  <si>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</si>
  <si>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</si>
  <si>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</si>
  <si>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</si>
  <si>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</si>
  <si>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</si>
  <si>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</si>
  <si>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</si>
  <si>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</si>
  <si>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</si>
  <si>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</si>
  <si>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</si>
  <si>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</si>
  <si>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</si>
  <si>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</si>
  <si>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</si>
  <si>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</si>
  <si>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</si>
  <si>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</si>
  <si>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</si>
  <si>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</si>
  <si>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</si>
  <si>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</si>
  <si>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</si>
  <si>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</si>
  <si>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</si>
  <si>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</si>
  <si>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</si>
  <si>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</si>
  <si>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</si>
  <si>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</si>
  <si>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</si>
  <si>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</si>
  <si>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</si>
  <si>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</si>
  <si>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</si>
  <si>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</si>
  <si>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</si>
  <si>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</si>
  <si>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</si>
  <si>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</si>
  <si>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</si>
  <si>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</si>
  <si>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</si>
  <si>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</si>
  <si>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</si>
  <si>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</si>
  <si>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</si>
  <si>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</si>
  <si>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</si>
  <si>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</si>
  <si>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</si>
  <si>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</si>
  <si>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</si>
  <si>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</si>
  <si>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</si>
  <si>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</si>
  <si>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</si>
  <si>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</si>
  <si>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</si>
  <si>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</si>
  <si>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</si>
  <si>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</si>
  <si>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</si>
  <si>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</si>
  <si>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</si>
  <si>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</si>
  <si>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</si>
  <si>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</si>
  <si>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</si>
  <si>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</si>
  <si>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</si>
  <si>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</si>
  <si>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</si>
  <si>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</si>
  <si>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</si>
  <si>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</si>
  <si>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</si>
  <si>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</si>
  <si>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</si>
  <si>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</si>
  <si>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</si>
  <si>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</si>
  <si>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</si>
  <si>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</si>
  <si>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</si>
  <si>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</si>
  <si>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</si>
  <si>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</si>
  <si>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</si>
  <si>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</si>
  <si>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</si>
  <si>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</si>
  <si>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</si>
  <si>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</si>
  <si>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</si>
  <si>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</si>
  <si>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</si>
  <si>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</si>
  <si>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</si>
  <si>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</si>
  <si>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</si>
  <si>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</si>
  <si>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</si>
  <si>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</si>
  <si>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</si>
  <si>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</si>
  <si>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</si>
  <si>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</si>
  <si>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</si>
  <si>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</si>
  <si>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</si>
  <si>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</si>
  <si>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</si>
  <si>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</si>
  <si>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</si>
  <si>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</si>
  <si>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</si>
  <si>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</si>
  <si>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</si>
  <si>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</si>
  <si>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</si>
  <si>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</si>
  <si>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</si>
  <si>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</si>
  <si>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</si>
  <si>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</si>
  <si>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</si>
  <si>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</si>
  <si>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</si>
  <si>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</si>
  <si>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</si>
  <si>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</si>
  <si>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</si>
  <si>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</si>
  <si>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</si>
  <si>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</si>
  <si>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</si>
  <si>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</si>
  <si>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</si>
  <si>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</si>
  <si>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</si>
  <si>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</si>
  <si>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</si>
  <si>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</si>
  <si>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</si>
  <si>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</si>
  <si>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</si>
  <si>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</si>
  <si>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</si>
  <si>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</si>
  <si>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</si>
  <si>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</si>
  <si>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</si>
  <si>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</si>
  <si>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</si>
  <si>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</si>
  <si>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</si>
  <si>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</si>
  <si>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</si>
  <si>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</si>
  <si>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</si>
  <si>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</si>
  <si>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</si>
  <si>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</si>
  <si>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</si>
  <si>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</si>
  <si>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</si>
  <si>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</si>
  <si>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</si>
  <si>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</si>
  <si>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</si>
  <si>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</si>
  <si>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</si>
  <si>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</si>
  <si>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</si>
  <si>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</si>
  <si>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</si>
  <si>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</si>
  <si>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</si>
  <si>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</si>
  <si>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</si>
  <si>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</si>
  <si>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</si>
  <si>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</si>
  <si>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</si>
  <si>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</si>
  <si>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</si>
  <si>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</si>
  <si>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</si>
  <si>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</si>
  <si>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</si>
  <si>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</si>
  <si>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</si>
  <si>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</si>
  <si>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</si>
  <si>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</si>
  <si>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</si>
  <si>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</si>
  <si>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</si>
  <si>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</si>
  <si>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</si>
  <si>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</si>
  <si>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</si>
  <si>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</si>
  <si>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</si>
  <si>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</si>
  <si>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</si>
  <si>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</si>
  <si>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</si>
  <si>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</si>
  <si>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</si>
  <si>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</si>
  <si>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</si>
  <si>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</si>
  <si>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</si>
  <si>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</si>
  <si>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</si>
  <si>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</si>
  <si>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</si>
  <si>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</si>
  <si>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</si>
  <si>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</si>
  <si>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</si>
  <si>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</si>
  <si>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</si>
  <si>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</si>
  <si>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</si>
  <si>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</si>
  <si>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</si>
  <si>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</si>
  <si>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</si>
  <si>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</si>
  <si>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</si>
  <si>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</si>
  <si>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</si>
  <si>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</si>
  <si>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</si>
  <si>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</si>
  <si>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</si>
  <si>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</si>
  <si>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</si>
  <si>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</si>
  <si>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</si>
  <si>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</si>
  <si>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</si>
  <si>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</si>
  <si>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</si>
  <si>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</si>
  <si>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</si>
  <si>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</si>
  <si>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</si>
  <si>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</si>
  <si>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</si>
  <si>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</si>
  <si>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</si>
  <si>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</si>
  <si>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</si>
  <si>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</si>
  <si>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</si>
  <si>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</si>
  <si>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</si>
  <si>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</si>
  <si>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</si>
  <si>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</si>
  <si>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</si>
  <si>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</si>
  <si>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</si>
  <si>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</si>
  <si>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</si>
  <si>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</si>
  <si>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</si>
  <si>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</si>
  <si>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</si>
  <si>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</si>
  <si>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</si>
  <si>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</si>
  <si>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</si>
  <si>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</si>
  <si>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</si>
  <si>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</si>
  <si>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</si>
  <si>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</si>
  <si>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</si>
  <si>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</si>
  <si>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</si>
  <si>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</si>
  <si>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</si>
  <si>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</si>
  <si>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</si>
  <si>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</si>
  <si>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</si>
  <si>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</si>
  <si>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</si>
  <si>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</si>
  <si>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</si>
  <si>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</si>
  <si>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</si>
  <si>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</si>
  <si>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</si>
  <si>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</si>
  <si>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</si>
  <si>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</si>
  <si>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</si>
  <si>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</si>
  <si>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</si>
  <si>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</si>
  <si>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</si>
  <si>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</si>
  <si>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</si>
  <si>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</si>
  <si>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</si>
  <si>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</si>
  <si>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</si>
  <si>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</si>
  <si>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</si>
  <si>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</si>
  <si>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</si>
  <si>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</si>
  <si>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</si>
  <si>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</si>
  <si>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</si>
  <si>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</si>
  <si>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</si>
  <si>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</si>
  <si>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</si>
  <si>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</si>
  <si>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</si>
  <si>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</si>
  <si>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</si>
  <si>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</si>
  <si>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</si>
  <si>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</si>
  <si>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</si>
  <si>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</si>
  <si>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</si>
  <si>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</si>
  <si>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</si>
  <si>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</si>
  <si>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</si>
  <si>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</si>
  <si>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</si>
  <si>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</si>
  <si>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</si>
  <si>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</si>
  <si>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</si>
  <si>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</si>
  <si>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</si>
  <si>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</si>
  <si>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</si>
  <si>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</si>
  <si>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</si>
  <si>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</si>
  <si>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</si>
  <si>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</si>
  <si>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</si>
  <si>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</si>
  <si>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</si>
  <si>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</si>
  <si>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</si>
  <si>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</si>
  <si>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</si>
  <si>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</si>
  <si>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</si>
  <si>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</si>
  <si>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</si>
  <si>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</si>
  <si>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</si>
  <si>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</si>
  <si>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</si>
  <si>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</si>
  <si>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</si>
  <si>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</si>
  <si>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</si>
  <si>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</si>
  <si>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</si>
  <si>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</si>
  <si>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</si>
  <si>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</si>
  <si>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</si>
  <si>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</si>
  <si>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</si>
  <si>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</si>
  <si>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</si>
  <si>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</si>
  <si>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</si>
  <si>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</si>
  <si>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</si>
  <si>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</si>
  <si>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</si>
  <si>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</si>
  <si>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</si>
  <si>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</si>
  <si>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</si>
  <si>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</si>
  <si>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</si>
  <si>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</si>
  <si>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</si>
  <si>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</si>
  <si>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</si>
  <si>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</si>
  <si>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</si>
  <si>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</si>
  <si>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</si>
  <si>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</si>
  <si>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</si>
  <si>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</si>
  <si>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</si>
  <si>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</si>
  <si>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</si>
  <si>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</si>
  <si>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</si>
  <si>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</si>
  <si>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</si>
  <si>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</si>
  <si>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</si>
  <si>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</si>
  <si>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</si>
  <si>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</si>
  <si>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</si>
  <si>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</si>
  <si>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</si>
  <si>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</si>
  <si>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</si>
  <si>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</si>
  <si>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</si>
  <si>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</si>
  <si>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</si>
  <si>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</si>
  <si>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</si>
  <si>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</si>
  <si>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</si>
  <si>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</si>
  <si>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</si>
  <si>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</si>
  <si>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</si>
  <si>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</si>
  <si>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</si>
  <si>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</si>
  <si>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</si>
  <si>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</si>
  <si>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</si>
  <si>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</si>
  <si>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</si>
  <si>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</si>
  <si>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</si>
  <si>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</si>
  <si>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</si>
  <si>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</si>
  <si>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</si>
  <si>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</si>
  <si>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</si>
  <si>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</si>
  <si>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</si>
  <si>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</si>
  <si>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</si>
  <si>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</si>
  <si>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</si>
  <si>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</si>
  <si>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</si>
  <si>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</si>
  <si>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</si>
  <si>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</si>
  <si>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</si>
  <si>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</si>
  <si>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</si>
  <si>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</si>
  <si>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</si>
  <si>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</si>
  <si>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</si>
  <si>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</si>
  <si>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</si>
  <si>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</si>
  <si>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</si>
  <si>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</si>
  <si>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</si>
  <si>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</si>
  <si>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</si>
  <si>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</si>
  <si>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</si>
  <si>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</si>
  <si>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</si>
  <si>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</si>
  <si>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</si>
  <si>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</si>
  <si>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</si>
  <si>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</si>
  <si>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</si>
  <si>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</si>
  <si>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</si>
  <si>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</si>
  <si>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</si>
  <si>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</si>
  <si>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</si>
  <si>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</si>
  <si>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</si>
  <si>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</si>
  <si>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</si>
  <si>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</si>
  <si>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</si>
  <si>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</si>
  <si>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</si>
  <si>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</si>
  <si>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</si>
  <si>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</si>
  <si>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</si>
  <si>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</si>
  <si>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</si>
  <si>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</si>
  <si>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</si>
  <si>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</si>
  <si>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</si>
  <si>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</si>
  <si>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</si>
  <si>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</si>
  <si>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</si>
  <si>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</si>
  <si>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</si>
  <si>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</si>
  <si>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</si>
  <si>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</si>
  <si>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</si>
  <si>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</si>
  <si>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</si>
  <si>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</si>
  <si>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</si>
  <si>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</si>
  <si>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</si>
  <si>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</si>
  <si>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</si>
  <si>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</si>
  <si>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</si>
  <si>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</si>
  <si>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</si>
  <si>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</si>
  <si>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</si>
  <si>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</si>
  <si>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</si>
  <si>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</si>
  <si>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</si>
  <si>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</si>
  <si>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</si>
  <si>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</si>
  <si>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</si>
  <si>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</si>
  <si>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</si>
  <si>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</si>
  <si>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</si>
  <si>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</si>
  <si>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</si>
  <si>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</si>
  <si>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</si>
  <si>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</si>
  <si>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</si>
  <si>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</si>
  <si>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</si>
  <si>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</si>
  <si>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</si>
  <si>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</si>
  <si>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</si>
  <si>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</si>
  <si>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</si>
  <si>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</si>
  <si>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</si>
  <si>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</si>
  <si>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</si>
  <si>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</si>
  <si>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</si>
  <si>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</si>
  <si>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</si>
  <si>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</si>
  <si>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</si>
  <si>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</si>
  <si>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</si>
  <si>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</si>
  <si>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</si>
  <si>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</si>
  <si>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</si>
  <si>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</si>
  <si>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</si>
  <si>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</si>
  <si>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</si>
  <si>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</si>
  <si>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</si>
  <si>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</si>
  <si>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</si>
  <si>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</si>
  <si>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</si>
  <si>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</si>
  <si>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</si>
  <si>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</si>
  <si>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</si>
  <si>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</si>
  <si>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</si>
  <si>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</si>
  <si>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</si>
  <si>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</si>
  <si>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</si>
  <si>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</si>
  <si>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</si>
  <si>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</si>
  <si>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</si>
  <si>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</si>
  <si>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</si>
  <si>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</si>
  <si>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</si>
  <si>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</si>
  <si>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</si>
  <si>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</si>
  <si>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</si>
  <si>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</si>
  <si>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</si>
  <si>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</si>
  <si>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</si>
  <si>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</si>
  <si>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</si>
  <si>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</si>
  <si>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</si>
  <si>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</si>
  <si>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</si>
  <si>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</si>
  <si>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</si>
  <si>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</si>
  <si>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</si>
  <si>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</si>
  <si>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</si>
  <si>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</si>
  <si>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</si>
  <si>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</si>
  <si>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</si>
  <si>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</si>
  <si>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</si>
  <si>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</si>
  <si>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</si>
  <si>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</si>
  <si>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</si>
  <si>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</si>
  <si>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</si>
  <si>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</si>
  <si>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</si>
  <si>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</si>
  <si>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</si>
  <si>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</si>
  <si>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</si>
  <si>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</si>
  <si>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</si>
  <si>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</si>
  <si>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</si>
  <si>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</si>
  <si>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</si>
  <si>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</si>
  <si>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</si>
  <si>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</si>
  <si>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</si>
  <si>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</si>
  <si>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</si>
  <si>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</si>
  <si>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</si>
  <si>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</si>
  <si>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</si>
  <si>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</si>
  <si>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</si>
  <si>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</si>
  <si>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</si>
  <si>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</si>
  <si>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</si>
  <si>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</si>
  <si>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</si>
  <si>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</si>
  <si>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</si>
  <si>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</si>
  <si>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</si>
  <si>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</si>
  <si>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</si>
  <si>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</si>
  <si>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</si>
  <si>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</si>
  <si>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</si>
  <si>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</si>
  <si>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</si>
  <si>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</si>
  <si>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</si>
  <si>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</si>
  <si>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</si>
  <si>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</si>
  <si>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</si>
  <si>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</si>
  <si>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</si>
  <si>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</si>
  <si>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</si>
  <si>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</si>
  <si>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</si>
  <si>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</si>
  <si>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</si>
  <si>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</si>
  <si>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</si>
  <si>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</si>
  <si>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</si>
  <si>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</si>
  <si>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</si>
  <si>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</si>
  <si>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</si>
  <si>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</si>
  <si>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</si>
  <si>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</si>
  <si>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</si>
  <si>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</si>
  <si>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</si>
  <si>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</si>
  <si>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</si>
  <si>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</si>
  <si>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</si>
  <si>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</si>
  <si>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</si>
  <si>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</si>
  <si>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</si>
  <si>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</si>
  <si>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</si>
  <si>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</si>
  <si>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</si>
  <si>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</si>
  <si>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</si>
  <si>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</si>
  <si>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</si>
  <si>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</si>
  <si>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</si>
  <si>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</si>
  <si>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</si>
  <si>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</si>
  <si>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</si>
  <si>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</si>
  <si>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</si>
  <si>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</si>
  <si>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</si>
  <si>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</si>
  <si>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</si>
  <si>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</si>
  <si>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</si>
  <si>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</si>
  <si>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</si>
  <si>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</si>
  <si>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</si>
  <si>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</si>
  <si>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</si>
  <si>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</si>
  <si>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</si>
  <si>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</si>
  <si>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</si>
  <si>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</si>
  <si>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</si>
  <si>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</si>
  <si>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</si>
  <si>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</si>
  <si>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</si>
  <si>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</si>
  <si>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</si>
  <si>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</si>
  <si>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</si>
  <si>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</si>
  <si>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</si>
  <si>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</si>
  <si>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</si>
  <si>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</si>
  <si>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</si>
  <si>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</si>
  <si>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</si>
  <si>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</si>
  <si>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</si>
  <si>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</si>
  <si>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</si>
  <si>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</si>
  <si>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</si>
  <si>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</si>
  <si>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</si>
  <si>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</si>
  <si>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</si>
  <si>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</si>
  <si>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</si>
  <si>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</si>
  <si>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</si>
  <si>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</si>
  <si>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</si>
  <si>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</si>
  <si>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</si>
  <si>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</si>
  <si>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</si>
  <si>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</si>
  <si>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</si>
  <si>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</si>
  <si>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</si>
  <si>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</si>
  <si>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</si>
  <si>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</si>
  <si>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</si>
  <si>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</si>
  <si>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</si>
  <si>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</si>
  <si>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</si>
  <si>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</si>
  <si>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</si>
  <si>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</si>
  <si>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</si>
  <si>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</si>
  <si>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</si>
  <si>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</si>
  <si>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</si>
  <si>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</si>
  <si>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</si>
  <si>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</si>
  <si>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</si>
  <si>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</si>
  <si>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</si>
  <si>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</si>
  <si>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</si>
  <si>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</si>
  <si>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</si>
  <si>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</si>
  <si>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</si>
  <si>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</si>
  <si>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</si>
  <si>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</si>
  <si>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</si>
  <si>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</si>
  <si>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</si>
  <si>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</si>
  <si>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</si>
  <si>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</si>
  <si>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</si>
  <si>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</si>
  <si>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</si>
  <si>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</si>
  <si>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</si>
  <si>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</si>
  <si>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</si>
  <si>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</si>
  <si>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</si>
  <si>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</si>
  <si>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</si>
  <si>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</si>
  <si>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</si>
  <si>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</si>
  <si>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</si>
  <si>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</si>
  <si>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</si>
  <si>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</si>
  <si>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</si>
  <si>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</si>
  <si>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</si>
  <si>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</si>
  <si>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</si>
  <si>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</si>
  <si>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</si>
  <si>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</si>
  <si>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</si>
  <si>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</si>
  <si>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</si>
  <si>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</si>
  <si>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</si>
  <si>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</si>
  <si>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</si>
  <si>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</si>
  <si>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</si>
  <si>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</si>
  <si>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</si>
  <si>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</si>
  <si>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</si>
  <si>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</si>
  <si>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</si>
  <si>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</si>
  <si>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</si>
  <si>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</si>
  <si>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</si>
  <si>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</si>
  <si>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</si>
  <si>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</si>
  <si>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</si>
  <si>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</si>
  <si>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</si>
  <si>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</si>
  <si>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</si>
  <si>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</si>
  <si>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</si>
  <si>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</si>
  <si>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</si>
  <si>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</si>
  <si>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</si>
  <si>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</si>
  <si>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</si>
  <si>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</si>
  <si>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</si>
  <si>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</si>
  <si>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</si>
  <si>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</si>
  <si>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</si>
  <si>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</si>
  <si>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</si>
  <si>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</si>
  <si>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</si>
  <si>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</si>
  <si>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</si>
  <si>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</si>
  <si>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</si>
  <si>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</si>
  <si>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</si>
  <si>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</si>
  <si>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</si>
  <si>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</si>
  <si>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</si>
  <si>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</si>
  <si>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</si>
  <si>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</si>
  <si>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</si>
  <si>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</si>
  <si>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</si>
  <si>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</si>
  <si>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</si>
  <si>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</si>
  <si>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</si>
  <si>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</si>
  <si>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</si>
  <si>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</si>
  <si>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</si>
  <si>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</si>
  <si>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</si>
  <si>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</si>
  <si>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</si>
  <si>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</si>
  <si>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</si>
  <si>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</si>
  <si>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</si>
  <si>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</si>
  <si>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</si>
  <si>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</si>
  <si>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</si>
  <si>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</si>
  <si>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</si>
  <si>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</si>
  <si>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</si>
  <si>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</si>
  <si>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</si>
  <si>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</si>
  <si>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</si>
  <si>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</si>
  <si>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</si>
  <si>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</si>
  <si>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</si>
  <si>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</si>
  <si>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</si>
  <si>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</si>
  <si>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</si>
  <si>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</si>
  <si>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</si>
  <si>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</si>
  <si>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</si>
  <si>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</si>
  <si>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</si>
  <si>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</si>
  <si>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</si>
  <si>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</si>
  <si>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</si>
  <si>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</si>
  <si>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</si>
  <si>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</si>
  <si>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</si>
  <si>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</si>
  <si>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</si>
  <si>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</si>
  <si>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</si>
  <si>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</si>
  <si>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</si>
  <si>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</si>
  <si>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</si>
  <si>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</si>
  <si>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</si>
  <si>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</si>
  <si>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</si>
  <si>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</si>
  <si>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</si>
  <si>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</si>
  <si>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</si>
  <si>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</si>
  <si>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</si>
  <si>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</si>
  <si>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</si>
  <si>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</si>
  <si>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</si>
  <si>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</si>
  <si>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</si>
  <si>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</si>
  <si>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</si>
  <si>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</si>
  <si>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</si>
  <si>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</si>
  <si>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</si>
  <si>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</si>
  <si>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</si>
  <si>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</si>
  <si>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</si>
  <si>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</si>
  <si>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</si>
  <si>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</si>
  <si>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</si>
  <si>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</si>
  <si>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</si>
  <si>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</si>
  <si>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</si>
  <si>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</si>
  <si>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</si>
  <si>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</si>
  <si>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</si>
  <si>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</si>
  <si>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</si>
  <si>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</si>
  <si>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</si>
  <si>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</si>
  <si>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</si>
  <si>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</si>
  <si>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</si>
  <si>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</si>
  <si>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</si>
  <si>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</si>
  <si>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</si>
  <si>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</si>
  <si>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</si>
  <si>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</si>
  <si>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</si>
  <si>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</si>
  <si>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</si>
  <si>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</si>
  <si>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</si>
  <si>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</si>
  <si>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</si>
  <si>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</si>
  <si>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</si>
  <si>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</si>
  <si>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</si>
  <si>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</si>
  <si>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</si>
  <si>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</si>
  <si>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</si>
  <si>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</si>
  <si>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</si>
  <si>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</si>
  <si>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</si>
  <si>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</si>
  <si>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</si>
  <si>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</si>
  <si>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</si>
  <si>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</si>
  <si>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</si>
  <si>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</si>
  <si>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</si>
  <si>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</si>
  <si>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</si>
  <si>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</si>
  <si>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</si>
  <si>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</si>
  <si>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</si>
  <si>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</si>
  <si>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</si>
  <si>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</si>
  <si>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</si>
  <si>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</si>
  <si>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</si>
  <si>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</si>
  <si>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</si>
  <si>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</si>
  <si>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</si>
  <si>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</si>
  <si>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</si>
  <si>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</si>
  <si>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</si>
  <si>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</si>
  <si>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</si>
  <si>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</si>
  <si>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</si>
  <si>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</si>
  <si>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</si>
  <si>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</si>
  <si>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</si>
  <si>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</si>
  <si>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</si>
  <si>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</si>
  <si>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</si>
  <si>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</si>
  <si>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</si>
  <si>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</si>
  <si>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</si>
  <si>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</si>
  <si>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</si>
  <si>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</si>
  <si>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</si>
  <si>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</si>
  <si>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</si>
  <si>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</si>
  <si>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</si>
  <si>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</si>
  <si>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</si>
  <si>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</si>
  <si>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</si>
  <si>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</si>
  <si>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</si>
  <si>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</si>
  <si>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</si>
  <si>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</si>
  <si>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</si>
  <si>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</si>
  <si>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</si>
  <si>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</si>
  <si>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</si>
  <si>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</si>
  <si>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</si>
  <si>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</si>
  <si>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</si>
  <si>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</si>
  <si>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</si>
  <si>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</si>
  <si>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</si>
  <si>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</si>
  <si>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</si>
  <si>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</si>
  <si>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</si>
  <si>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</si>
  <si>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</si>
  <si>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</si>
  <si>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</si>
  <si>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</si>
  <si>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</si>
  <si>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</si>
  <si>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</si>
  <si>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</si>
  <si>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</si>
  <si>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</si>
  <si>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</si>
  <si>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</si>
  <si>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</si>
  <si>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</si>
  <si>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</si>
  <si>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</si>
  <si>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</si>
  <si>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</si>
  <si>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</si>
  <si>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</si>
  <si>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</si>
  <si>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</si>
  <si>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</si>
  <si>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</si>
  <si>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</si>
  <si>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</si>
  <si>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</si>
  <si>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</si>
  <si>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</si>
  <si>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</si>
  <si>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</si>
  <si>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</si>
  <si>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</si>
  <si>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</si>
  <si>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</si>
  <si>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</si>
  <si>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</si>
  <si>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</si>
  <si>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</si>
  <si>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</si>
  <si>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</si>
  <si>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</si>
  <si>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</si>
  <si>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</si>
  <si>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</si>
  <si>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</si>
  <si>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</si>
  <si>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</si>
  <si>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</si>
  <si>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</si>
  <si>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</si>
  <si>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</si>
  <si>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</si>
  <si>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</si>
  <si>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</si>
  <si>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</si>
  <si>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</si>
  <si>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</si>
  <si>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</si>
  <si>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</si>
  <si>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</si>
  <si>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</si>
  <si>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</si>
  <si>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</si>
  <si>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</si>
  <si>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</si>
  <si>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</si>
  <si>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</si>
  <si>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</si>
  <si>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</si>
  <si>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</si>
  <si>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</si>
  <si>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</si>
  <si>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</si>
  <si>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</si>
  <si>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</si>
  <si>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</si>
  <si>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</si>
  <si>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</si>
  <si>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</si>
  <si>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</si>
  <si>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</si>
  <si>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</si>
  <si>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</si>
  <si>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</si>
  <si>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</si>
  <si>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</si>
  <si>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</si>
  <si>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</si>
  <si>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</si>
  <si>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</si>
  <si>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</si>
  <si>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</si>
  <si>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</si>
  <si>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</si>
  <si>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</si>
  <si>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</si>
  <si>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</si>
  <si>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</si>
  <si>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</si>
  <si>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</si>
  <si>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</si>
  <si>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</si>
  <si>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</si>
  <si>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</si>
  <si>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</si>
  <si>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</si>
  <si>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</si>
  <si>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</si>
  <si>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</si>
  <si>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</si>
  <si>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</si>
  <si>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</si>
  <si>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</si>
  <si>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</si>
  <si>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</si>
  <si>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</si>
  <si>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</si>
  <si>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</si>
  <si>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</si>
  <si>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</si>
  <si>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</si>
  <si>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</si>
  <si>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</si>
  <si>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</si>
  <si>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</si>
  <si>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</si>
  <si>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</si>
  <si>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</si>
  <si>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</si>
  <si>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</si>
  <si>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</si>
  <si>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</si>
  <si>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</si>
  <si>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</si>
  <si>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</si>
  <si>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</si>
  <si>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</si>
  <si>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</si>
  <si>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</si>
  <si>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</si>
  <si>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</si>
  <si>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</si>
  <si>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</si>
  <si>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</si>
  <si>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</si>
  <si>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</si>
  <si>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</si>
  <si>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</si>
  <si>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</si>
  <si>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</si>
  <si>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</si>
  <si>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</si>
  <si>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</si>
  <si>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</si>
  <si>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</si>
  <si>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</si>
  <si>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</si>
  <si>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</si>
  <si>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</si>
  <si>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</si>
  <si>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</si>
  <si>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</si>
  <si>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</si>
  <si>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</si>
  <si>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</si>
  <si>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</si>
  <si>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</si>
  <si>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</si>
  <si>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</si>
  <si>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</si>
  <si>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</si>
  <si>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</si>
  <si>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</si>
  <si>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</si>
  <si>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</si>
  <si>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</si>
  <si>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</si>
  <si>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</si>
  <si>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</si>
  <si>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</si>
  <si>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</si>
  <si>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</si>
  <si>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</si>
  <si>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</si>
  <si>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</si>
  <si>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</si>
  <si>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</si>
  <si>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</si>
  <si>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</si>
  <si>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</si>
  <si>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</si>
  <si>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</si>
  <si>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</si>
  <si>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</si>
  <si>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</si>
  <si>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</si>
  <si>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</si>
  <si>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</si>
  <si>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</si>
  <si>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</si>
  <si>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</si>
  <si>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</si>
  <si>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</si>
  <si>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</si>
  <si>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</si>
  <si>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</si>
  <si>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</si>
  <si>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</si>
  <si>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</si>
  <si>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</si>
  <si>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</si>
  <si>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</si>
  <si>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</si>
  <si>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</si>
  <si>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</si>
  <si>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</si>
  <si>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</si>
  <si>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</si>
  <si>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</si>
  <si>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</si>
  <si>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</si>
  <si>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</si>
  <si>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</si>
  <si>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</si>
  <si>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</si>
  <si>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</si>
  <si>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</si>
  <si>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</si>
  <si>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</si>
  <si>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</si>
  <si>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</si>
  <si>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</si>
  <si>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</si>
  <si>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</si>
  <si>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</si>
  <si>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</si>
  <si>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</si>
  <si>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</si>
  <si>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</si>
  <si>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</si>
  <si>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</si>
  <si>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</si>
  <si>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</si>
  <si>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</si>
  <si>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</si>
  <si>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</si>
  <si>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</si>
  <si>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</si>
  <si>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</si>
  <si>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</si>
  <si>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</si>
  <si>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</si>
  <si>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</si>
  <si>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</si>
  <si>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</si>
  <si>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</si>
  <si>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</si>
  <si>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</si>
  <si>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</si>
  <si>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</si>
  <si>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</si>
  <si>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</si>
  <si>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</si>
  <si>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</si>
  <si>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</si>
  <si>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</si>
  <si>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</si>
  <si>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</si>
  <si>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</si>
  <si>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</si>
  <si>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</si>
  <si>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</si>
  <si>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</si>
  <si>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</si>
  <si>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</si>
  <si>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</si>
  <si>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</si>
  <si>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Grundy</t>
  </si>
  <si>
    <t>1000 Union Street</t>
  </si>
  <si>
    <t>Morris</t>
  </si>
  <si>
    <t>cortiz@morrishs.org</t>
  </si>
  <si>
    <t>x</t>
  </si>
  <si>
    <t>815-941-5341</t>
  </si>
  <si>
    <t>815-941-5405</t>
  </si>
  <si>
    <t>Mack &amp; Associates, P.C.</t>
  </si>
  <si>
    <t>Tawnya Mack, CPA</t>
  </si>
  <si>
    <t>116 E. Washington Street, Suite One</t>
  </si>
  <si>
    <t>IL</t>
  </si>
  <si>
    <t>815-942-3306</t>
  </si>
  <si>
    <t>815-942-9430</t>
  </si>
  <si>
    <t>066-005100</t>
  </si>
  <si>
    <t>tmack@mackcpas.com</t>
  </si>
  <si>
    <t>See PDF in Opinion Page with signature</t>
  </si>
  <si>
    <t>G.O. Bonds Series 2012B</t>
  </si>
  <si>
    <t>Working Cash Bonds Series 2018</t>
  </si>
  <si>
    <t>Working Cash Bonds Series 2019</t>
  </si>
  <si>
    <t>G.O. Debt Certificates Refunding Series 2020A</t>
  </si>
  <si>
    <t>G.O. Debt Certificates Series 2020B</t>
  </si>
  <si>
    <t>Working Cash Bonds Series 2020</t>
  </si>
  <si>
    <t>X</t>
  </si>
  <si>
    <t>Saratoga CCSD #60C, Morris Elementary District #54</t>
  </si>
  <si>
    <t>Grundy County Special Education Cooperative</t>
  </si>
  <si>
    <t>Grundy Area Vocational Center</t>
  </si>
  <si>
    <t>Shared Media Director - Saratoga CCSD #60C</t>
  </si>
  <si>
    <t>GCSEC, GAVC, Saratoga CCSD #60C, Nettle Creek CCSD #24</t>
  </si>
  <si>
    <t>ED - FISCAL SERVICES - PURCHASED SERVICES</t>
  </si>
  <si>
    <t>O&amp;M - O&amp;M PLANT - PURCHASED SERVICES</t>
  </si>
  <si>
    <t>ED - FOOD SERVICES - PURCHASED SERVICES</t>
  </si>
  <si>
    <t>TRANS - TRANSPORTATION/REGULAR - PURCHASED SERVICES</t>
  </si>
  <si>
    <t>SPECIALIZED DATA SYSTEMS, INC</t>
  </si>
  <si>
    <t>ALARM DETECTION SYSTEMS, INC</t>
  </si>
  <si>
    <t>HONEYWELL</t>
  </si>
  <si>
    <t>LAFORCE, INC</t>
  </si>
  <si>
    <t>MILLER TREE SERVICE</t>
  </si>
  <si>
    <t>CERES FOOD GROUP, INC.</t>
  </si>
  <si>
    <t>SARATOGA CCSD #60C</t>
  </si>
  <si>
    <t>Page 8, Acct. #8990 - Capital Projects - Bond issuance costs, refunding of bonds</t>
  </si>
  <si>
    <t>Page 8, Acct. #8990 - Working Cash - Bond issuance costs</t>
  </si>
  <si>
    <t>Page 10, Acct. #1719 - Educational - Theater admissions and other events</t>
  </si>
  <si>
    <t>Page 11, Acct. #1999 - Educational - Rec center fees, miscellaneous reimbursements</t>
  </si>
  <si>
    <t>Page 11, Acct. #1999 - O&amp;M - Reimbursements for maintainence/events</t>
  </si>
  <si>
    <t>Page 11, Acct. #1999 - Transportation - Bus trip reimbursements</t>
  </si>
  <si>
    <t>Page 12, Acct. #3999 - Educational - Library Grant</t>
  </si>
  <si>
    <t>Page 15, Acct. #2190 - Study Hall supervisors</t>
  </si>
  <si>
    <t>Dr. Craig Ortiz</t>
  </si>
  <si>
    <t>Page 21, Acct. #2900 - Capital Projects - Bond Issuance Costs</t>
  </si>
  <si>
    <t xml:space="preserve">   Morris CHSD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</si>
</sst>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2055</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2055</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24032101016</v>
      </c>
      <c r="B13" s="2087"/>
      <c r="C13" s="2087"/>
      <c r="D13" s="2087"/>
      <c r="E13" s="2087"/>
      <c r="F13" s="2087"/>
      <c r="G13" s="2087"/>
      <c r="H13" s="2088"/>
      <c r="I13" s="31"/>
      <c r="J13" s="30"/>
      <c r="K13" s="28"/>
      <c r="L13" s="30"/>
      <c r="M13" s="30"/>
      <c r="N13" s="30"/>
      <c r="O13" s="30"/>
      <c r="P13" s="30"/>
      <c r="Q13" s="30"/>
      <c r="R13" s="30"/>
      <c r="S13" s="30"/>
      <c r="T13" s="2091" t="s">
        <v>2058</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2051</v>
      </c>
      <c r="B15" s="2089"/>
      <c r="C15" s="2089"/>
      <c r="D15" s="2089"/>
      <c r="E15" s="2089"/>
      <c r="F15" s="2089"/>
      <c r="G15" s="2089"/>
      <c r="H15" s="2090"/>
      <c r="T15" s="2052" t="s">
        <v>2059</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2100</v>
      </c>
      <c r="B17" s="2114"/>
      <c r="C17" s="2114"/>
      <c r="D17" s="2114"/>
      <c r="E17" s="2114"/>
      <c r="F17" s="2114"/>
      <c r="G17" s="2114"/>
      <c r="H17" s="2115"/>
      <c r="T17" s="2101" t="s">
        <v>2060</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2052</v>
      </c>
      <c r="B19" s="2085"/>
      <c r="C19" s="2085"/>
      <c r="D19" s="2085"/>
      <c r="E19" s="2085"/>
      <c r="F19" s="2085"/>
      <c r="G19" s="2085"/>
      <c r="H19" s="2083"/>
      <c r="I19" s="30"/>
      <c r="J19" s="96"/>
      <c r="K19" s="40"/>
      <c r="L19" s="38"/>
      <c r="M19" s="109" t="s">
        <v>312</v>
      </c>
      <c r="P19" s="27"/>
      <c r="Q19" s="27"/>
      <c r="R19" s="27"/>
      <c r="S19" s="31"/>
      <c r="T19" s="2084" t="s">
        <v>2053</v>
      </c>
      <c r="U19" s="2082"/>
      <c r="V19" s="2082"/>
      <c r="W19" s="2083"/>
      <c r="X19" s="2099" t="s">
        <v>2061</v>
      </c>
      <c r="Y19" s="2100"/>
      <c r="Z19" s="2097">
        <v>60450</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2053</v>
      </c>
      <c r="B21" s="2082"/>
      <c r="C21" s="2082"/>
      <c r="D21" s="2082"/>
      <c r="E21" s="2082"/>
      <c r="F21" s="2082"/>
      <c r="G21" s="2082"/>
      <c r="H21" s="2083"/>
      <c r="I21" s="2107" t="s">
        <v>673</v>
      </c>
      <c r="J21" s="2070"/>
      <c r="K21" s="2070"/>
      <c r="L21" s="2070"/>
      <c r="M21" s="2070"/>
      <c r="N21" s="2070"/>
      <c r="O21" s="2070"/>
      <c r="P21" s="2070"/>
      <c r="Q21" s="2070"/>
      <c r="R21" s="2070"/>
      <c r="S21" s="2071"/>
      <c r="T21" s="2049" t="s">
        <v>2062</v>
      </c>
      <c r="U21" s="2050"/>
      <c r="V21" s="2050"/>
      <c r="W21" s="2050"/>
      <c r="X21" s="2063" t="s">
        <v>2063</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2054</v>
      </c>
      <c r="B23" s="2105"/>
      <c r="C23" s="2105"/>
      <c r="D23" s="2105"/>
      <c r="E23" s="2105"/>
      <c r="F23" s="2105"/>
      <c r="G23" s="2105"/>
      <c r="H23" s="2106"/>
      <c r="T23" s="2044" t="s">
        <v>2064</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60450</v>
      </c>
      <c r="B25" s="2082"/>
      <c r="C25" s="2082"/>
      <c r="D25" s="2082"/>
      <c r="E25" s="2082"/>
      <c r="F25" s="2082"/>
      <c r="G25" s="2082"/>
      <c r="H25" s="2083"/>
      <c r="I25" s="110"/>
      <c r="J25" s="2148"/>
      <c r="K25" s="2148"/>
      <c r="L25" s="2148"/>
      <c r="M25" s="2148"/>
      <c r="N25" s="2148"/>
      <c r="O25" s="2148"/>
      <c r="P25" s="2148"/>
      <c r="Q25" s="2148"/>
      <c r="R25" s="2148"/>
      <c r="S25" s="2149"/>
      <c r="T25" s="2041" t="s">
        <v>2065</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2055</v>
      </c>
      <c r="F29" s="137" t="s">
        <v>1305</v>
      </c>
      <c r="G29" s="111"/>
      <c r="I29" s="51"/>
      <c r="J29" s="99"/>
      <c r="K29" s="28" t="s">
        <v>572</v>
      </c>
      <c r="L29" s="144" t="s">
        <v>2055</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2055</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2098</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2056</v>
      </c>
      <c r="B42" s="2131"/>
      <c r="C42" s="2132"/>
      <c r="D42" s="2145" t="s">
        <v>2057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L179" sqref="L17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4235605</v>
      </c>
      <c r="C4" s="1722">
        <v>1406</v>
      </c>
      <c r="D4" s="1723">
        <f>B4-C4</f>
        <v>4234199</v>
      </c>
      <c r="E4" s="1722">
        <v>4600369</v>
      </c>
      <c r="F4" s="1723">
        <f>E4-C4</f>
        <v>4598963</v>
      </c>
    </row>
    <row r="5" spans="1:8" ht="13.7" customHeight="1" x14ac:dyDescent="0.2">
      <c r="A5" s="579" t="s">
        <v>865</v>
      </c>
      <c r="B5" s="1724">
        <f>'Revenues 9-14'!D5</f>
        <v>1150856</v>
      </c>
      <c r="C5" s="1664">
        <v>382</v>
      </c>
      <c r="D5" s="1725">
        <f t="shared" ref="D5:D18" si="0">B5-C5</f>
        <v>1150474</v>
      </c>
      <c r="E5" s="1664">
        <v>1250124</v>
      </c>
      <c r="F5" s="1725">
        <f>E5-C5</f>
        <v>1249742</v>
      </c>
    </row>
    <row r="6" spans="1:8" ht="13.7" customHeight="1" x14ac:dyDescent="0.2">
      <c r="A6" s="579" t="s">
        <v>408</v>
      </c>
      <c r="B6" s="1724">
        <f>'Revenues 9-14'!E5</f>
        <v>1890270</v>
      </c>
      <c r="C6" s="1664">
        <v>634</v>
      </c>
      <c r="D6" s="1725">
        <f t="shared" si="0"/>
        <v>1889636</v>
      </c>
      <c r="E6" s="1664">
        <v>1994433</v>
      </c>
      <c r="F6" s="1725">
        <f t="shared" ref="F6:F18" si="1">E6-C6</f>
        <v>1993799</v>
      </c>
    </row>
    <row r="7" spans="1:8" ht="13.7" customHeight="1" x14ac:dyDescent="0.2">
      <c r="A7" s="579" t="s">
        <v>154</v>
      </c>
      <c r="B7" s="1724">
        <f>'Revenues 9-14'!F5</f>
        <v>552238</v>
      </c>
      <c r="C7" s="1664">
        <v>183</v>
      </c>
      <c r="D7" s="1725">
        <f t="shared" si="0"/>
        <v>552055</v>
      </c>
      <c r="E7" s="1664">
        <v>600059</v>
      </c>
      <c r="F7" s="1725">
        <f t="shared" si="1"/>
        <v>599876</v>
      </c>
    </row>
    <row r="8" spans="1:8" ht="13.7" customHeight="1" x14ac:dyDescent="0.2">
      <c r="A8" s="579" t="s">
        <v>1169</v>
      </c>
      <c r="B8" s="1724">
        <f>'Revenues 9-14'!G5</f>
        <v>100658</v>
      </c>
      <c r="C8" s="1664">
        <v>45</v>
      </c>
      <c r="D8" s="1725">
        <f t="shared" si="0"/>
        <v>100613</v>
      </c>
      <c r="E8" s="1664">
        <v>140017</v>
      </c>
      <c r="F8" s="1725">
        <f t="shared" si="1"/>
        <v>139972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230122</v>
      </c>
      <c r="C10" s="1664">
        <v>77</v>
      </c>
      <c r="D10" s="1725">
        <f t="shared" si="0"/>
        <v>230045</v>
      </c>
      <c r="E10" s="1664">
        <v>250025</v>
      </c>
      <c r="F10" s="1725">
        <f t="shared" si="1"/>
        <v>249948</v>
      </c>
    </row>
    <row r="11" spans="1:8" x14ac:dyDescent="0.2">
      <c r="A11" s="579" t="s">
        <v>406</v>
      </c>
      <c r="B11" s="1724">
        <f>'Revenues 9-14'!J5</f>
        <v>340369</v>
      </c>
      <c r="C11" s="1664">
        <v>113</v>
      </c>
      <c r="D11" s="1725">
        <f t="shared" si="0"/>
        <v>340256</v>
      </c>
      <c r="E11" s="1664">
        <v>354991</v>
      </c>
      <c r="F11" s="1725">
        <f t="shared" si="1"/>
        <v>354878</v>
      </c>
    </row>
    <row r="12" spans="1:8" ht="13.7" customHeight="1" x14ac:dyDescent="0.2">
      <c r="A12" s="579" t="s">
        <v>156</v>
      </c>
      <c r="B12" s="1724">
        <f>'Revenues 9-14'!K5</f>
        <v>230126</v>
      </c>
      <c r="C12" s="1664">
        <v>70</v>
      </c>
      <c r="D12" s="1725">
        <f t="shared" si="0"/>
        <v>230056</v>
      </c>
      <c r="E12" s="1664">
        <v>220026</v>
      </c>
      <c r="F12" s="1725">
        <f t="shared" si="1"/>
        <v>219956</v>
      </c>
    </row>
    <row r="13" spans="1:8" ht="13.7" customHeight="1" x14ac:dyDescent="0.2">
      <c r="A13" s="579" t="s">
        <v>930</v>
      </c>
      <c r="B13" s="1724">
        <f>SUM('Revenues 9-14'!C6:D6)</f>
        <v>162974</v>
      </c>
      <c r="C13" s="1664">
        <v>57</v>
      </c>
      <c r="D13" s="1725">
        <f t="shared" si="0"/>
        <v>162917</v>
      </c>
      <c r="E13" s="1664">
        <v>180021</v>
      </c>
      <c r="F13" s="1725">
        <f t="shared" si="1"/>
        <v>179964</v>
      </c>
    </row>
    <row r="14" spans="1:8" ht="13.7" customHeight="1" x14ac:dyDescent="0.2">
      <c r="A14" s="579" t="s">
        <v>407</v>
      </c>
      <c r="B14" s="1724">
        <f>SUM('Revenues 9-14'!C7:D7,'Revenues 9-14'!F7:H7)</f>
        <v>92040</v>
      </c>
      <c r="C14" s="1664">
        <v>31</v>
      </c>
      <c r="D14" s="1725">
        <f t="shared" si="0"/>
        <v>92009</v>
      </c>
      <c r="E14" s="1664">
        <v>100010</v>
      </c>
      <c r="F14" s="1725">
        <f t="shared" si="1"/>
        <v>99979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100658</v>
      </c>
      <c r="C16" s="1664">
        <v>45</v>
      </c>
      <c r="D16" s="1725">
        <f t="shared" si="0"/>
        <v>100613</v>
      </c>
      <c r="E16" s="1664">
        <v>140017</v>
      </c>
      <c r="F16" s="1725">
        <f t="shared" si="1"/>
        <v>139972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9085916</v>
      </c>
      <c r="C19" s="1726">
        <f>SUM(C4:C18)</f>
        <v>3043</v>
      </c>
      <c r="D19" s="1726">
        <f>SUM(D4:D18)</f>
        <v>9082873</v>
      </c>
      <c r="E19" s="1726">
        <f>SUM(E4:E18)</f>
        <v>9830092</v>
      </c>
      <c r="F19" s="1726">
        <f>SUM(F4:F18)</f>
        <v>9827049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D36" sqref="D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40990</v>
      </c>
      <c r="C31" s="1734">
        <v>3465000</v>
      </c>
      <c r="D31" s="1735">
        <v>3</v>
      </c>
      <c r="E31" s="1734">
        <v>1805000</v>
      </c>
      <c r="F31" s="1734"/>
      <c r="G31" s="1734">
        <v>-410000</v>
      </c>
      <c r="H31" s="1734">
        <v>340000</v>
      </c>
      <c r="I31" s="1736">
        <f>((E31+F31)-H31)+G31</f>
        <v>1055000</v>
      </c>
      <c r="J31" s="1734">
        <v>1055000</v>
      </c>
      <c r="K31" s="596"/>
    </row>
    <row r="32" spans="1:11" ht="12" customHeight="1" x14ac:dyDescent="0.2">
      <c r="A32" s="594" t="s">
        <v>2068</v>
      </c>
      <c r="B32" s="595">
        <v>43138</v>
      </c>
      <c r="C32" s="1734">
        <v>1695000</v>
      </c>
      <c r="D32" s="1735">
        <v>1</v>
      </c>
      <c r="E32" s="1734">
        <v>1695000</v>
      </c>
      <c r="F32" s="1734"/>
      <c r="G32" s="1734"/>
      <c r="H32" s="1734">
        <v>1695000</v>
      </c>
      <c r="I32" s="1736">
        <f>((E32+F32)-H32)+G32</f>
        <v>0</v>
      </c>
      <c r="J32" s="1734"/>
      <c r="K32" s="596"/>
    </row>
    <row r="33" spans="1:11" ht="12" customHeight="1" x14ac:dyDescent="0.2">
      <c r="A33" s="594" t="s">
        <v>2069</v>
      </c>
      <c r="B33" s="595">
        <v>43497</v>
      </c>
      <c r="C33" s="1734">
        <v>1955000</v>
      </c>
      <c r="D33" s="1735">
        <v>1</v>
      </c>
      <c r="E33" s="1734">
        <v>1955000</v>
      </c>
      <c r="F33" s="1734"/>
      <c r="G33" s="1734"/>
      <c r="H33" s="1734">
        <v>75000</v>
      </c>
      <c r="I33" s="1736">
        <f t="shared" ref="I33:I48" si="1">((E33+F33)-H33)+G33</f>
        <v>1880000</v>
      </c>
      <c r="J33" s="1734">
        <v>1880000</v>
      </c>
      <c r="K33" s="596"/>
    </row>
    <row r="34" spans="1:11" ht="12" customHeight="1" x14ac:dyDescent="0.2">
      <c r="A34" s="594" t="s">
        <v>2070</v>
      </c>
      <c r="B34" s="595">
        <v>43909</v>
      </c>
      <c r="C34" s="1734">
        <v>430000</v>
      </c>
      <c r="D34" s="1735">
        <v>3</v>
      </c>
      <c r="E34" s="1734"/>
      <c r="F34" s="1734">
        <v>430000</v>
      </c>
      <c r="G34" s="1734"/>
      <c r="H34" s="1734"/>
      <c r="I34" s="1736">
        <f t="shared" si="1"/>
        <v>430000</v>
      </c>
      <c r="J34" s="1734">
        <v>430000</v>
      </c>
      <c r="K34" s="597"/>
    </row>
    <row r="35" spans="1:11" ht="12" customHeight="1" x14ac:dyDescent="0.2">
      <c r="A35" s="594" t="s">
        <v>2071</v>
      </c>
      <c r="B35" s="595">
        <v>43909</v>
      </c>
      <c r="C35" s="1737">
        <v>1425000</v>
      </c>
      <c r="D35" s="1735">
        <v>6</v>
      </c>
      <c r="E35" s="1737"/>
      <c r="F35" s="1737">
        <v>1425000</v>
      </c>
      <c r="G35" s="1737"/>
      <c r="H35" s="1737"/>
      <c r="I35" s="1736">
        <f t="shared" si="1"/>
        <v>1425000</v>
      </c>
      <c r="J35" s="1737">
        <v>1425000</v>
      </c>
      <c r="K35" s="597"/>
    </row>
    <row r="36" spans="1:11" ht="12" customHeight="1" x14ac:dyDescent="0.2">
      <c r="A36" s="594" t="s">
        <v>2072</v>
      </c>
      <c r="B36" s="595">
        <v>43874</v>
      </c>
      <c r="C36" s="1734">
        <v>2000000</v>
      </c>
      <c r="D36" s="1735">
        <v>1</v>
      </c>
      <c r="E36" s="1734"/>
      <c r="F36" s="1734">
        <v>2000000</v>
      </c>
      <c r="G36" s="1734"/>
      <c r="H36" s="1734"/>
      <c r="I36" s="1736">
        <f t="shared" si="1"/>
        <v>2000000</v>
      </c>
      <c r="J36" s="1734">
        <v>1970818</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10970000</v>
      </c>
      <c r="D49" s="1742"/>
      <c r="E49" s="1736">
        <f t="shared" ref="E49:J49" si="2">SUM(E31:E48)</f>
        <v>5455000</v>
      </c>
      <c r="F49" s="1736">
        <f t="shared" si="2"/>
        <v>3855000</v>
      </c>
      <c r="G49" s="1736">
        <f t="shared" si="2"/>
        <v>-410000</v>
      </c>
      <c r="H49" s="1736">
        <f t="shared" si="2"/>
        <v>2110000</v>
      </c>
      <c r="I49" s="1736">
        <f t="shared" si="2"/>
        <v>6790000</v>
      </c>
      <c r="J49" s="1736">
        <f t="shared" si="2"/>
        <v>6760818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L179" sqref="L17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92040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17126</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28064</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92040</v>
      </c>
      <c r="I12" s="1755">
        <f>SUM(I5:I11)</f>
        <v>0</v>
      </c>
      <c r="J12" s="1755">
        <f>SUM(J5:J11)</f>
        <v>0</v>
      </c>
      <c r="K12" s="1755">
        <f>SUM(K5:K11)</f>
        <v>45190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92040</v>
      </c>
      <c r="I14" s="1749"/>
      <c r="J14" s="1751"/>
      <c r="K14" s="1745">
        <v>45190</v>
      </c>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92040</v>
      </c>
      <c r="I23" s="1755">
        <f>SUM(I14:I16,I21,I22)</f>
        <v>0</v>
      </c>
      <c r="J23" s="1755">
        <f>SUM(J14:J16,J21,J22)</f>
        <v>0</v>
      </c>
      <c r="K23" s="1755">
        <f>SUM(K14:K16,K21,K22)</f>
        <v>45190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79" sqref="L17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62042</v>
      </c>
      <c r="D5" s="1770"/>
      <c r="E5" s="1770"/>
      <c r="F5" s="1765">
        <f>(C5+D5)-E5</f>
        <v>62042</v>
      </c>
      <c r="G5" s="676"/>
      <c r="H5" s="680"/>
      <c r="I5" s="680"/>
      <c r="J5" s="680"/>
      <c r="K5" s="637"/>
      <c r="L5" s="1442">
        <f>F5-K5</f>
        <v>62042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18978664</v>
      </c>
      <c r="D8" s="1771">
        <v>235507</v>
      </c>
      <c r="E8" s="1771"/>
      <c r="F8" s="1765">
        <f>(C8+D8)-E8</f>
        <v>19214171</v>
      </c>
      <c r="G8" s="681">
        <v>50</v>
      </c>
      <c r="H8" s="619">
        <v>11254344</v>
      </c>
      <c r="I8" s="619">
        <v>458618</v>
      </c>
      <c r="J8" s="619"/>
      <c r="K8" s="1442">
        <f>(H8+I8)-J8</f>
        <v>11712962</v>
      </c>
      <c r="L8" s="1442">
        <f>F8-K8</f>
        <v>7501209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1549263</v>
      </c>
      <c r="D10" s="1772"/>
      <c r="E10" s="1772"/>
      <c r="F10" s="1773">
        <f>(C10+D10)-E10</f>
        <v>1549263</v>
      </c>
      <c r="G10" s="681">
        <v>20</v>
      </c>
      <c r="H10" s="683">
        <v>565248</v>
      </c>
      <c r="I10" s="683">
        <v>65575</v>
      </c>
      <c r="J10" s="683"/>
      <c r="K10" s="1442">
        <f>(H10+I10)-J10</f>
        <v>630823</v>
      </c>
      <c r="L10" s="1442">
        <f>F10-K10</f>
        <v>918440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4901608</v>
      </c>
      <c r="D12" s="1771">
        <v>43470</v>
      </c>
      <c r="E12" s="1771"/>
      <c r="F12" s="1765">
        <f>(C12+D12)-E12</f>
        <v>4945078</v>
      </c>
      <c r="G12" s="681">
        <v>10</v>
      </c>
      <c r="H12" s="619">
        <v>4722578</v>
      </c>
      <c r="I12" s="619">
        <v>82292</v>
      </c>
      <c r="J12" s="619"/>
      <c r="K12" s="1442">
        <f>(H12+I12)-J12</f>
        <v>4804870</v>
      </c>
      <c r="L12" s="1442">
        <f>F12-K12</f>
        <v>140208</v>
      </c>
    </row>
    <row r="13" spans="1:14" ht="14.25" thickTop="1" thickBot="1" x14ac:dyDescent="0.25">
      <c r="A13" s="684" t="s">
        <v>1112</v>
      </c>
      <c r="B13" s="679">
        <v>252</v>
      </c>
      <c r="C13" s="1771">
        <v>546150</v>
      </c>
      <c r="D13" s="1771"/>
      <c r="E13" s="1771"/>
      <c r="F13" s="1765">
        <f>(C13+D13)-E13</f>
        <v>546150</v>
      </c>
      <c r="G13" s="681">
        <v>5</v>
      </c>
      <c r="H13" s="619">
        <v>511255</v>
      </c>
      <c r="I13" s="619">
        <v>12894</v>
      </c>
      <c r="J13" s="619"/>
      <c r="K13" s="1442">
        <f>(H13+I13)-J13</f>
        <v>524149</v>
      </c>
      <c r="L13" s="1442">
        <f>F13-K13</f>
        <v>22001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478022</v>
      </c>
      <c r="E15" s="1771"/>
      <c r="F15" s="1765">
        <f>(C15+D15)-E15</f>
        <v>478022</v>
      </c>
      <c r="G15" s="685" t="s">
        <v>857</v>
      </c>
      <c r="H15" s="632"/>
      <c r="I15" s="632"/>
      <c r="J15" s="632"/>
      <c r="K15" s="632"/>
      <c r="L15" s="1442">
        <f>F15-K15</f>
        <v>478022</v>
      </c>
    </row>
    <row r="16" spans="1:14" ht="15" customHeight="1" thickTop="1" thickBot="1" x14ac:dyDescent="0.25">
      <c r="A16" s="1438" t="s">
        <v>638</v>
      </c>
      <c r="B16" s="1439">
        <v>200</v>
      </c>
      <c r="C16" s="1765">
        <f>SUM(C3,C5:C6,C8:C10,C12:C15)</f>
        <v>26037727</v>
      </c>
      <c r="D16" s="1765">
        <f>SUM(D3,D5:D6,D8:D10,D12:D15)</f>
        <v>756999</v>
      </c>
      <c r="E16" s="1765">
        <f>SUM(E3,E5:E6,E8:E10,E12:E15)</f>
        <v>0</v>
      </c>
      <c r="F16" s="1765">
        <f>SUM(F3,F5:F6,F8:F10,F12:F15)</f>
        <v>26794726</v>
      </c>
      <c r="G16" s="681"/>
      <c r="H16" s="1435">
        <f>SUM(H3,H6,H8:H10,H12:H14,)</f>
        <v>17053425</v>
      </c>
      <c r="I16" s="1435">
        <f>SUM(I3,I6,I8:I10,I12:I14,)</f>
        <v>619379</v>
      </c>
      <c r="J16" s="1435">
        <f>SUM(J3,J6,J8:J10,J12:J14,)</f>
        <v>0</v>
      </c>
      <c r="K16" s="1435">
        <f>(H16+I16)-J16</f>
        <v>17672804</v>
      </c>
      <c r="L16" s="1435">
        <f>F16-K16</f>
        <v>9121922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619379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64"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11196873</v>
      </c>
      <c r="G8" s="701"/>
    </row>
    <row r="9" spans="1:9" x14ac:dyDescent="0.2">
      <c r="A9" s="705" t="s">
        <v>457</v>
      </c>
      <c r="B9" s="706" t="s">
        <v>1848</v>
      </c>
      <c r="C9" s="707"/>
      <c r="D9" s="705" t="s">
        <v>498</v>
      </c>
      <c r="E9" s="704"/>
      <c r="F9" s="1775">
        <f>'Expenditures 15-22'!K151</f>
        <v>1491073</v>
      </c>
      <c r="G9" s="708"/>
    </row>
    <row r="10" spans="1:9" x14ac:dyDescent="0.2">
      <c r="A10" s="705" t="s">
        <v>496</v>
      </c>
      <c r="B10" s="706" t="s">
        <v>1849</v>
      </c>
      <c r="C10" s="707"/>
      <c r="D10" s="705" t="s">
        <v>498</v>
      </c>
      <c r="E10" s="704"/>
      <c r="F10" s="1775">
        <f>'Expenditures 15-22'!K174</f>
        <v>2286696</v>
      </c>
      <c r="G10" s="708"/>
    </row>
    <row r="11" spans="1:9" x14ac:dyDescent="0.2">
      <c r="A11" s="705" t="s">
        <v>458</v>
      </c>
      <c r="B11" s="706" t="s">
        <v>1850</v>
      </c>
      <c r="C11" s="707"/>
      <c r="D11" s="705" t="s">
        <v>498</v>
      </c>
      <c r="E11" s="704"/>
      <c r="F11" s="1775">
        <f>'Expenditures 15-22'!K210</f>
        <v>681793</v>
      </c>
      <c r="G11" s="708"/>
    </row>
    <row r="12" spans="1:9" x14ac:dyDescent="0.2">
      <c r="A12" s="705" t="s">
        <v>459</v>
      </c>
      <c r="B12" s="706" t="s">
        <v>1851</v>
      </c>
      <c r="C12" s="707"/>
      <c r="D12" s="705" t="s">
        <v>498</v>
      </c>
      <c r="E12" s="704"/>
      <c r="F12" s="1775">
        <f>'Expenditures 15-22'!K295</f>
        <v>295857</v>
      </c>
      <c r="G12" s="708"/>
    </row>
    <row r="13" spans="1:9" x14ac:dyDescent="0.2">
      <c r="A13" s="705" t="s">
        <v>106</v>
      </c>
      <c r="B13" s="706" t="s">
        <v>1852</v>
      </c>
      <c r="C13" s="707"/>
      <c r="D13" s="705" t="s">
        <v>498</v>
      </c>
      <c r="E13" s="704"/>
      <c r="F13" s="1775">
        <f>'Expenditures 15-22'!K342</f>
        <v>321388</v>
      </c>
      <c r="G13" s="709"/>
    </row>
    <row r="14" spans="1:9" ht="12" customHeight="1" thickBot="1" x14ac:dyDescent="0.25">
      <c r="A14" s="1443"/>
      <c r="B14" s="1444"/>
      <c r="C14" s="1445"/>
      <c r="D14" s="1446" t="s">
        <v>498</v>
      </c>
      <c r="E14" s="1447" t="s">
        <v>952</v>
      </c>
      <c r="F14" s="1776">
        <f>SUM(F8:F13)</f>
        <v>16273680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31856</v>
      </c>
      <c r="G52" s="701"/>
    </row>
    <row r="53" spans="1:7" x14ac:dyDescent="0.2">
      <c r="A53" s="705" t="s">
        <v>456</v>
      </c>
      <c r="B53" s="705" t="s">
        <v>1458</v>
      </c>
      <c r="C53" s="724">
        <f>'Expenditures 15-22'!B102</f>
        <v>4000</v>
      </c>
      <c r="D53" s="723" t="str">
        <f>'Expenditures 15-22'!A102</f>
        <v>Total Payments to Other Govt Units</v>
      </c>
      <c r="E53" s="704"/>
      <c r="F53" s="1782">
        <f>'Expenditures 15-22'!K102</f>
        <v>2472049</v>
      </c>
      <c r="G53" s="701"/>
    </row>
    <row r="54" spans="1:7" x14ac:dyDescent="0.2">
      <c r="A54" s="705" t="s">
        <v>456</v>
      </c>
      <c r="B54" s="705" t="s">
        <v>1459</v>
      </c>
      <c r="C54" s="724" t="s">
        <v>975</v>
      </c>
      <c r="D54" s="720" t="s">
        <v>1086</v>
      </c>
      <c r="E54" s="704"/>
      <c r="F54" s="1782">
        <f>'Expenditures 15-22'!G114</f>
        <v>52211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139448</v>
      </c>
      <c r="G57" s="701"/>
    </row>
    <row r="58" spans="1:7" x14ac:dyDescent="0.2">
      <c r="A58" s="705" t="s">
        <v>457</v>
      </c>
      <c r="B58" s="705" t="s">
        <v>1854</v>
      </c>
      <c r="C58" s="721" t="s">
        <v>975</v>
      </c>
      <c r="D58" s="720" t="s">
        <v>1086</v>
      </c>
      <c r="E58" s="704"/>
      <c r="F58" s="1784">
        <f>'Expenditures 15-22'!G151</f>
        <v>194104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2110000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665464</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5665132</v>
      </c>
      <c r="G77" s="701"/>
    </row>
    <row r="78" spans="1:9" s="728" customFormat="1" ht="12" customHeight="1" thickTop="1" thickBot="1" x14ac:dyDescent="0.25">
      <c r="A78" s="1450"/>
      <c r="B78" s="1448"/>
      <c r="C78" s="1445"/>
      <c r="D78" s="1449" t="s">
        <v>2012</v>
      </c>
      <c r="E78" s="1447"/>
      <c r="F78" s="1788">
        <f>(F14-F77)</f>
        <v>10608548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796.9</v>
      </c>
      <c r="G79" s="733"/>
      <c r="H79" s="705"/>
      <c r="I79" s="705"/>
    </row>
    <row r="80" spans="1:9" s="728" customFormat="1" ht="12" customHeight="1" thickBot="1" x14ac:dyDescent="0.25">
      <c r="A80" s="1452"/>
      <c r="B80" s="1448"/>
      <c r="C80" s="1445"/>
      <c r="D80" s="1449" t="s">
        <v>2013</v>
      </c>
      <c r="E80" s="1447" t="s">
        <v>952</v>
      </c>
      <c r="F80" s="1790">
        <f>IF(F79&gt;0,F78/F79," Complete Line 79")</f>
        <v>13312.270046429916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176987</v>
      </c>
      <c r="G95" s="745"/>
    </row>
    <row r="96" spans="1:7" x14ac:dyDescent="0.2">
      <c r="A96" s="741" t="s">
        <v>139</v>
      </c>
      <c r="B96" s="741" t="s">
        <v>174</v>
      </c>
      <c r="C96" s="743">
        <v>1700</v>
      </c>
      <c r="D96" s="751" t="str">
        <f>'Revenues 9-14'!A82</f>
        <v>Total District/School Activity Income</v>
      </c>
      <c r="E96" s="739"/>
      <c r="F96" s="1793">
        <f>SUM('Revenues 9-14'!C82,'Revenues 9-14'!D82)</f>
        <v>75351</v>
      </c>
      <c r="G96" s="745"/>
    </row>
    <row r="97" spans="1:7" x14ac:dyDescent="0.2">
      <c r="A97" s="741" t="s">
        <v>456</v>
      </c>
      <c r="B97" s="741" t="s">
        <v>175</v>
      </c>
      <c r="C97" s="743">
        <f>'Revenues 9-14'!B84</f>
        <v>1811</v>
      </c>
      <c r="D97" s="744" t="str">
        <f>'Revenues 9-14'!A84</f>
        <v>Rentals - Regular Textbooks</v>
      </c>
      <c r="E97" s="739"/>
      <c r="F97" s="1793">
        <f>'Revenues 9-14'!C84</f>
        <v>147376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136865</v>
      </c>
      <c r="G104" s="745"/>
    </row>
    <row r="105" spans="1:7" x14ac:dyDescent="0.2">
      <c r="A105" s="741" t="s">
        <v>456</v>
      </c>
      <c r="B105" s="741" t="s">
        <v>803</v>
      </c>
      <c r="C105" s="743">
        <f>'Revenues 9-14'!B106</f>
        <v>1993</v>
      </c>
      <c r="D105" s="744" t="str">
        <f>'Revenues 9-14'!A106</f>
        <v>Other Local Fees (Describe &amp; Itemize)</v>
      </c>
      <c r="E105" s="739"/>
      <c r="F105" s="1793">
        <f>('Revenues 9-14'!C106)</f>
        <v>17681</v>
      </c>
      <c r="G105" s="745"/>
    </row>
    <row r="106" spans="1:7" x14ac:dyDescent="0.2">
      <c r="A106" s="741" t="s">
        <v>500</v>
      </c>
      <c r="B106" s="741" t="s">
        <v>1910</v>
      </c>
      <c r="C106" s="746">
        <v>3100</v>
      </c>
      <c r="D106" s="752" t="str">
        <f>'Revenues 9-14'!A132</f>
        <v>Total Special Education</v>
      </c>
      <c r="E106" s="739"/>
      <c r="F106" s="1793">
        <f>SUM('Revenues 9-14'!C132:D132,'Revenues 9-14'!F132)</f>
        <v>193187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249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28064</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276246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116763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5589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60470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133830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20731</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21746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4087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18931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1434903</v>
      </c>
    </row>
    <row r="176" spans="1:7" ht="12" customHeight="1" x14ac:dyDescent="0.2">
      <c r="A176" s="1443"/>
      <c r="B176" s="1453"/>
      <c r="C176" s="1454"/>
      <c r="D176" s="1455" t="s">
        <v>2014</v>
      </c>
      <c r="E176" s="1456"/>
      <c r="F176" s="1793">
        <f>'PCTC-OEPP 27-28'!F78-F175</f>
        <v>9173645</v>
      </c>
    </row>
    <row r="177" spans="1:9" ht="12" customHeight="1" x14ac:dyDescent="0.2">
      <c r="A177" s="1443"/>
      <c r="B177" s="1453"/>
      <c r="C177" s="1454"/>
      <c r="D177" s="1455" t="s">
        <v>1794</v>
      </c>
      <c r="E177" s="1456"/>
      <c r="F177" s="1793">
        <f>'Cap Outlay Deprec 26'!I18</f>
        <v>619379</v>
      </c>
    </row>
    <row r="178" spans="1:9" ht="12" customHeight="1" x14ac:dyDescent="0.2">
      <c r="A178" s="1443"/>
      <c r="B178" s="1453"/>
      <c r="C178" s="1454"/>
      <c r="D178" s="1455" t="s">
        <v>2015</v>
      </c>
      <c r="E178" s="1456"/>
      <c r="F178" s="1793">
        <f>F176+F177</f>
        <v>9793024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796.9</v>
      </c>
      <c r="G179" s="763"/>
      <c r="I179" s="701"/>
    </row>
    <row r="180" spans="1:9" ht="12" customHeight="1" thickBot="1" x14ac:dyDescent="0.25">
      <c r="A180" s="1443"/>
      <c r="B180" s="1457"/>
      <c r="C180" s="1454"/>
      <c r="D180" s="1455" t="s">
        <v>2017</v>
      </c>
      <c r="E180" s="1456" t="s">
        <v>1528</v>
      </c>
      <c r="F180" s="1798">
        <f>F178/F179</f>
        <v>12288.899485506337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0"/>
  <sheetViews>
    <sheetView showGridLines="0" zoomScaleNormal="100" workbookViewId="0">
      <selection activeCell="B21" sqref="B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2079</v>
      </c>
      <c r="B18" s="1908">
        <v>102520300</v>
      </c>
      <c r="C18" s="2036" t="s">
        <v>2083</v>
      </c>
      <c r="D18" s="1886">
        <v>5470</v>
      </c>
      <c r="E18" s="1906">
        <f t="shared" ref="E18:E79" si="0">IF(D18&lt;25000,D18,"25,000")</f>
        <v>5470</v>
      </c>
      <c r="F18" s="1906" t="str">
        <f t="shared" ref="F18:F79" si="1">IF(D18&gt;=25000,(D18-E18),"0")</f>
        <v>0</v>
      </c>
      <c r="G18" s="1887"/>
    </row>
    <row r="19" spans="1:7" x14ac:dyDescent="0.25">
      <c r="A19" s="2035" t="s">
        <v>2080</v>
      </c>
      <c r="B19" s="1908">
        <v>202540300</v>
      </c>
      <c r="C19" s="2036" t="s">
        <v>2084</v>
      </c>
      <c r="D19" s="1886">
        <v>2691</v>
      </c>
      <c r="E19" s="1906">
        <f t="shared" si="0"/>
        <v>2691</v>
      </c>
      <c r="F19" s="1906" t="str">
        <f t="shared" si="1"/>
        <v>0</v>
      </c>
    </row>
    <row r="20" spans="1:7" x14ac:dyDescent="0.25">
      <c r="A20" s="2035" t="s">
        <v>2080</v>
      </c>
      <c r="B20" s="1908">
        <v>202540300</v>
      </c>
      <c r="C20" s="2036" t="s">
        <v>2085</v>
      </c>
      <c r="D20" s="1886">
        <v>33403</v>
      </c>
      <c r="E20" s="1906" t="str">
        <f t="shared" si="0"/>
        <v>25,000</v>
      </c>
      <c r="F20" s="1906">
        <f t="shared" si="1"/>
        <v>8403</v>
      </c>
    </row>
    <row r="21" spans="1:7" x14ac:dyDescent="0.25">
      <c r="A21" s="2035" t="s">
        <v>2080</v>
      </c>
      <c r="B21" s="1908">
        <v>202540300</v>
      </c>
      <c r="C21" s="2036" t="s">
        <v>2086</v>
      </c>
      <c r="D21" s="1886">
        <v>5405</v>
      </c>
      <c r="E21" s="1906">
        <f t="shared" si="0"/>
        <v>5405</v>
      </c>
      <c r="F21" s="1906" t="str">
        <f t="shared" si="1"/>
        <v>0</v>
      </c>
    </row>
    <row r="22" spans="1:7" x14ac:dyDescent="0.25">
      <c r="A22" s="2035" t="s">
        <v>2080</v>
      </c>
      <c r="B22" s="1908">
        <v>202540300</v>
      </c>
      <c r="C22" s="2036" t="s">
        <v>2087</v>
      </c>
      <c r="D22" s="1886">
        <v>5000</v>
      </c>
      <c r="E22" s="1906">
        <f t="shared" si="0"/>
        <v>5000</v>
      </c>
      <c r="F22" s="1906" t="str">
        <f t="shared" si="1"/>
        <v>0</v>
      </c>
    </row>
    <row r="23" spans="1:7" x14ac:dyDescent="0.25">
      <c r="A23" s="2035" t="s">
        <v>2081</v>
      </c>
      <c r="B23" s="1908">
        <v>102560300</v>
      </c>
      <c r="C23" s="2036" t="s">
        <v>2088</v>
      </c>
      <c r="D23" s="1886">
        <v>230240</v>
      </c>
      <c r="E23" s="1906" t="str">
        <f t="shared" si="0"/>
        <v>25,000</v>
      </c>
      <c r="F23" s="1906">
        <f t="shared" si="1"/>
        <v>205240</v>
      </c>
    </row>
    <row r="24" spans="1:7" ht="30" x14ac:dyDescent="0.25">
      <c r="A24" s="2035" t="s">
        <v>2082</v>
      </c>
      <c r="B24" s="1908">
        <v>402100300</v>
      </c>
      <c r="C24" s="2036" t="s">
        <v>2089</v>
      </c>
      <c r="D24" s="1886">
        <v>242429</v>
      </c>
      <c r="E24" s="1906" t="str">
        <f t="shared" si="0"/>
        <v>25,000</v>
      </c>
      <c r="F24" s="1906">
        <f t="shared" si="1"/>
        <v>217429</v>
      </c>
    </row>
    <row r="25" spans="1:7" x14ac:dyDescent="0.25">
      <c r="A25" s="1888"/>
      <c r="B25" s="1908"/>
      <c r="C25" s="1889"/>
      <c r="D25" s="1886"/>
      <c r="E25" s="1906">
        <f t="shared" si="0"/>
        <v>0</v>
      </c>
      <c r="F25" s="1906" t="str">
        <f t="shared" si="1"/>
        <v>0</v>
      </c>
    </row>
    <row r="26" spans="1:7" x14ac:dyDescent="0.25">
      <c r="A26" s="1888"/>
      <c r="B26" s="1908"/>
      <c r="C26" s="1889"/>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9"/>
      <c r="C37" s="1889"/>
      <c r="D37" s="1886"/>
      <c r="E37" s="1906">
        <f t="shared" si="0"/>
        <v>0</v>
      </c>
      <c r="F37" s="1906" t="str">
        <f t="shared" si="1"/>
        <v>0</v>
      </c>
    </row>
    <row r="38" spans="1:6" x14ac:dyDescent="0.25">
      <c r="A38" s="1888"/>
      <c r="B38" s="1909"/>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4"/>
      <c r="B63" s="1909"/>
      <c r="C63" s="1885"/>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8"/>
      <c r="B65" s="1909"/>
      <c r="C65" s="1889"/>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ref="E80:E139" si="2">IF(D80&lt;25000,D80,"25,000")</f>
        <v>0</v>
      </c>
      <c r="F80" s="1906" t="str">
        <f t="shared" ref="F80:F139" si="3">IF(D80&gt;=25000,(D80-E80),"0")</f>
        <v>0</v>
      </c>
    </row>
    <row r="81" spans="1:6" x14ac:dyDescent="0.25">
      <c r="A81" s="1888"/>
      <c r="B81" s="1909"/>
      <c r="C81" s="1889"/>
      <c r="D81" s="1886"/>
      <c r="E81" s="1906">
        <f t="shared" si="2"/>
        <v>0</v>
      </c>
      <c r="F81" s="1906" t="str">
        <f t="shared" si="3"/>
        <v>0</v>
      </c>
    </row>
    <row r="82" spans="1:6" x14ac:dyDescent="0.25">
      <c r="A82" s="1888"/>
      <c r="B82" s="1909"/>
      <c r="C82" s="1889"/>
      <c r="D82" s="1886"/>
      <c r="E82" s="1906">
        <f t="shared" si="2"/>
        <v>0</v>
      </c>
      <c r="F82" s="1906" t="str">
        <f t="shared" si="3"/>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10"/>
      <c r="C139" s="1889"/>
      <c r="D139" s="1886"/>
      <c r="E139" s="1906">
        <f t="shared" si="2"/>
        <v>0</v>
      </c>
      <c r="F139" s="1906" t="str">
        <f t="shared" si="3"/>
        <v>0</v>
      </c>
    </row>
    <row r="140" spans="1:6" x14ac:dyDescent="0.25">
      <c r="A140" s="1890" t="s">
        <v>155</v>
      </c>
      <c r="B140" s="1911"/>
      <c r="C140" s="1891"/>
      <c r="D140" s="1892">
        <f>SUM(D18:D139)</f>
        <v>524638</v>
      </c>
      <c r="E140" s="1893">
        <f>SUM(E18:E139)</f>
        <v>18566</v>
      </c>
      <c r="F140" s="1894">
        <f>SUM(F18:F139)</f>
        <v>431072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N52" sqref="N5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6698640</v>
      </c>
      <c r="F19" s="1802"/>
      <c r="G19" s="1804">
        <f>'Expenditures 15-22'!K33-SUM('Expenditures 15-22'!G33,'Expenditures 15-22'!I33)+'Expenditures 15-22'!D229</f>
        <v>6698640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836092</v>
      </c>
      <c r="F21" s="1805"/>
      <c r="G21" s="1808">
        <f>'Expenditures 15-22'!K42-SUM('Expenditures 15-22'!G42,'Expenditures 15-22'!I42)+'Expenditures 15-22'!K120-SUM('Expenditures 15-22'!G120,'Expenditures 15-22'!I120)+'Expenditures 15-22'!K180-SUM('Expenditures 15-22'!G180,'Expenditures 15-22'!I180)+'Expenditures 15-22'!D238</f>
        <v>836092</v>
      </c>
      <c r="H21" s="817"/>
      <c r="I21" s="157"/>
    </row>
    <row r="22" spans="1:9" s="542" customFormat="1" ht="12" customHeight="1" x14ac:dyDescent="0.2">
      <c r="A22" s="824" t="s">
        <v>560</v>
      </c>
      <c r="B22" s="825"/>
      <c r="C22" s="823">
        <v>2200</v>
      </c>
      <c r="D22" s="1805"/>
      <c r="E22" s="1807">
        <f>'Expenditures 15-22'!K47-SUM('Expenditures 15-22'!G47,'Expenditures 15-22'!I47)+'Expenditures 15-22'!D243</f>
        <v>284663</v>
      </c>
      <c r="F22" s="1805"/>
      <c r="G22" s="1808">
        <f>'Expenditures 15-22'!K47-SUM('Expenditures 15-22'!G47,'Expenditures 15-22'!I47)+'Expenditures 15-22'!D243</f>
        <v>284663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661632</v>
      </c>
      <c r="F23" s="1805"/>
      <c r="G23" s="1807">
        <f>'Expenditures 15-22'!K53-SUM('Expenditures 15-22'!G53,'Expenditures 15-22'!I53)+'Expenditures 15-22'!D257+'Expenditures 15-22'!K330-SUM('Expenditures 15-22'!G330,'Expenditures 15-22'!I330)</f>
        <v>661632</v>
      </c>
      <c r="H23" s="817"/>
      <c r="I23" s="157"/>
    </row>
    <row r="24" spans="1:9" s="542" customFormat="1" ht="12" customHeight="1" x14ac:dyDescent="0.2">
      <c r="A24" s="824" t="s">
        <v>562</v>
      </c>
      <c r="B24" s="825"/>
      <c r="C24" s="823">
        <v>2400</v>
      </c>
      <c r="D24" s="1805"/>
      <c r="E24" s="1807">
        <f>'Expenditures 15-22'!K57-SUM('Expenditures 15-22'!G57,'Expenditures 15-22'!I57)+'Expenditures 15-22'!D261</f>
        <v>354201</v>
      </c>
      <c r="F24" s="1805"/>
      <c r="G24" s="1808">
        <f>'Expenditures 15-22'!K57-SUM('Expenditures 15-22'!G57,'Expenditures 15-22'!I57)+'Expenditures 15-22'!D261</f>
        <v>354201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86243</v>
      </c>
      <c r="E27" s="1807">
        <f>E8</f>
        <v>0</v>
      </c>
      <c r="F27" s="1807">
        <f>'Expenditures 15-22'!K60-SUM('Expenditures 15-22'!G60,'Expenditures 15-22'!I60)+'Expenditures 15-22'!D264-E8</f>
        <v>86243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1197465</v>
      </c>
      <c r="F28" s="1809">
        <f>'Expenditures 15-22'!K61-SUM('Expenditures 15-22'!G61,'Expenditures 15-22'!I61)+'Expenditures 15-22'!K124-SUM('Expenditures 15-22'!G124,'Expenditures 15-22'!I124)+'Expenditures 15-22'!D266-E9</f>
        <v>1197465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16499</v>
      </c>
      <c r="F29" s="1805"/>
      <c r="G29" s="1808">
        <f>'Expenditures 15-22'!K62-SUM('Expenditures 15-22'!G62,'Expenditures 15-22'!I62)+'Expenditures 15-22'!K125-SUM('Expenditures 15-22'!G125,'Expenditures 15-22'!I125)+'Expenditures 15-22'!K182-SUM('Expenditures 15-22'!G182,'Expenditures 15-22'!I182)+'Expenditures 15-22'!D267</f>
        <v>16499</v>
      </c>
      <c r="H29" s="815"/>
    </row>
    <row r="30" spans="1:9" ht="12" customHeight="1" x14ac:dyDescent="0.2">
      <c r="A30" s="824" t="s">
        <v>100</v>
      </c>
      <c r="B30" s="827"/>
      <c r="C30" s="823">
        <v>2560</v>
      </c>
      <c r="D30" s="1805"/>
      <c r="E30" s="1807">
        <f>'Expenditures 15-22'!K63-SUM('Expenditures 15-22'!G63,'Expenditures 15-22'!I63)+'Expenditures 15-22'!D268-E10</f>
        <v>241069</v>
      </c>
      <c r="F30" s="1805"/>
      <c r="G30" s="1807">
        <f>'Expenditures 15-22'!K63-SUM('Expenditures 15-22'!G63,'Expenditures 15-22'!I63)+'Expenditures 15-22'!D268-E10</f>
        <v>241069</v>
      </c>
    </row>
    <row r="31" spans="1:9" ht="12" customHeight="1" x14ac:dyDescent="0.2">
      <c r="A31" s="824" t="s">
        <v>101</v>
      </c>
      <c r="B31" s="827"/>
      <c r="C31" s="823">
        <v>2570</v>
      </c>
      <c r="D31" s="1807">
        <f>'Expenditures 15-22'!K64-SUM('Expenditures 15-22'!G64,'Expenditures 15-22'!I64)+'Expenditures 15-22'!D269-E12</f>
        <v>1376</v>
      </c>
      <c r="E31" s="1807">
        <f>E12</f>
        <v>0</v>
      </c>
      <c r="F31" s="1807">
        <f>'Expenditures 15-22'!K64-SUM('Expenditures 15-22'!G64,'Expenditures 15-22'!I64)+'Expenditures 15-22'!D269-E12</f>
        <v>1376</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31856</v>
      </c>
      <c r="F39" s="1805"/>
      <c r="G39" s="1807">
        <f>'Expenditures 15-22'!K75-SUM('Expenditures 15-22'!G75,'Expenditures 15-22'!I75)+'Expenditures 15-22'!K130-SUM('Expenditures 15-22'!G130,'Expenditures 15-22'!I130)+'Expenditures 15-22'!K185-SUM('Expenditures 15-22'!G185,'Expenditures 15-22'!I185)+'Expenditures 15-22'!D280</f>
        <v>31856</v>
      </c>
    </row>
    <row r="40" spans="1:7" ht="12" customHeight="1" x14ac:dyDescent="0.2">
      <c r="A40" s="820" t="s">
        <v>1798</v>
      </c>
      <c r="B40" s="821"/>
      <c r="C40" s="823"/>
      <c r="D40" s="1805"/>
      <c r="E40" s="1809">
        <f>-'Contracts Paid in CY 29'!F140</f>
        <v>-431072</v>
      </c>
      <c r="F40" s="1805"/>
      <c r="G40" s="1809">
        <f>-'Contracts Paid in CY 29'!F140</f>
        <v>-431072</v>
      </c>
    </row>
    <row r="41" spans="1:7" ht="12" customHeight="1" x14ac:dyDescent="0.2">
      <c r="A41" s="828" t="s">
        <v>155</v>
      </c>
      <c r="B41" s="829"/>
      <c r="C41" s="830"/>
      <c r="D41" s="1809">
        <f>SUM(D19:D39)</f>
        <v>87619</v>
      </c>
      <c r="E41" s="1809">
        <f>SUM(E19:E40)</f>
        <v>9891045</v>
      </c>
      <c r="F41" s="1809">
        <f>SUM(F19:F39)</f>
        <v>1285084</v>
      </c>
      <c r="G41" s="1809">
        <f>SUM(G19:G40)</f>
        <v>8693580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87619</v>
      </c>
      <c r="F43" s="1458" t="s">
        <v>470</v>
      </c>
      <c r="G43" s="1810">
        <f>F41</f>
        <v>1285084</v>
      </c>
    </row>
    <row r="44" spans="1:7" ht="12" customHeight="1" x14ac:dyDescent="0.2">
      <c r="A44" s="817"/>
      <c r="B44" s="157"/>
      <c r="C44" s="831"/>
      <c r="D44" s="1458" t="s">
        <v>471</v>
      </c>
      <c r="E44" s="1810">
        <f>E41</f>
        <v>9891045</v>
      </c>
      <c r="F44" s="1458" t="s">
        <v>471</v>
      </c>
      <c r="G44" s="1810">
        <f>G41</f>
        <v>8693580</v>
      </c>
    </row>
    <row r="45" spans="1:7" ht="12" customHeight="1" x14ac:dyDescent="0.2">
      <c r="A45" s="817"/>
      <c r="B45" s="157"/>
      <c r="C45" s="157"/>
      <c r="D45" s="1459" t="s">
        <v>999</v>
      </c>
      <c r="E45" s="1811">
        <f>(E43/E44)</f>
        <v>8.8584168811283344E-3</v>
      </c>
      <c r="F45" s="1459" t="s">
        <v>999</v>
      </c>
      <c r="G45" s="1811">
        <f>(G43/G44)</f>
        <v>0.14781988547870958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F30" sqref="F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Morris CHSD 101</v>
      </c>
      <c r="D6" s="2404"/>
      <c r="E6" s="2404"/>
      <c r="F6" s="1482"/>
      <c r="G6" s="1507"/>
      <c r="L6" s="1507"/>
      <c r="M6" s="1855"/>
      <c r="N6" s="1855"/>
      <c r="O6" s="1855"/>
    </row>
    <row r="7" spans="1:15" ht="11.25" customHeight="1" thickBot="1" x14ac:dyDescent="0.3">
      <c r="A7" s="1480"/>
      <c r="B7" s="1481"/>
      <c r="C7" s="2405">
        <f>COVER!A13</f>
        <v>24032101016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t="s">
        <v>2073</v>
      </c>
      <c r="D22" s="1495" t="s">
        <v>2073</v>
      </c>
      <c r="E22" s="1498"/>
      <c r="F22" s="1497" t="s">
        <v>2074</v>
      </c>
      <c r="G22" s="1507"/>
      <c r="H22" s="1507">
        <f t="shared" si="0"/>
        <v>5</v>
      </c>
      <c r="I22" s="1507">
        <f t="shared" si="1"/>
        <v>5</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2073</v>
      </c>
      <c r="D26" s="1495" t="s">
        <v>2073</v>
      </c>
      <c r="E26" s="1498"/>
      <c r="F26" s="1497" t="s">
        <v>2075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2073</v>
      </c>
      <c r="D28" s="1495" t="s">
        <v>2073</v>
      </c>
      <c r="E28" s="1498"/>
      <c r="F28" s="1497" t="s">
        <v>2076</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2073</v>
      </c>
      <c r="D29" s="1495" t="s">
        <v>2073</v>
      </c>
      <c r="E29" s="1498"/>
      <c r="F29" s="1497" t="s">
        <v>2078</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2073</v>
      </c>
      <c r="D30" s="1495" t="s">
        <v>2073</v>
      </c>
      <c r="E30" s="1498"/>
      <c r="F30" s="1497" t="s">
        <v>2074</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2073</v>
      </c>
      <c r="D31" s="1495" t="s">
        <v>2073</v>
      </c>
      <c r="E31" s="1498"/>
      <c r="F31" s="1497" t="s">
        <v>2076</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2073</v>
      </c>
      <c r="D33" s="1495" t="s">
        <v>2073</v>
      </c>
      <c r="E33" s="1498"/>
      <c r="F33" s="1497" t="s">
        <v>2077</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13" zoomScaleNormal="100" workbookViewId="0">
      <selection activeCell="B35" sqref="B35"/>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Morris CHSD 101</v>
      </c>
      <c r="K6" s="2420"/>
      <c r="L6" s="2421"/>
      <c r="M6" s="838"/>
      <c r="N6" s="1998"/>
    </row>
    <row r="7" spans="1:14" x14ac:dyDescent="0.2">
      <c r="A7" s="2422" t="s">
        <v>864</v>
      </c>
      <c r="B7" s="2423"/>
      <c r="C7" s="2423"/>
      <c r="D7" s="2423"/>
      <c r="E7" s="2424"/>
      <c r="F7" s="839"/>
      <c r="G7" s="838"/>
      <c r="H7" s="838"/>
      <c r="I7" s="1924" t="s">
        <v>369</v>
      </c>
      <c r="J7" s="2425">
        <f>COVER!A13</f>
        <v>24032101016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130143</v>
      </c>
      <c r="F12" s="1942"/>
      <c r="G12" s="1968">
        <f>G68</f>
        <v>0</v>
      </c>
      <c r="H12" s="1944">
        <f t="shared" ref="H12:H18" si="0">SUM(E12:G12)</f>
        <v>130143</v>
      </c>
      <c r="I12" s="1943">
        <v>139100</v>
      </c>
      <c r="J12" s="1942"/>
      <c r="K12" s="1943"/>
      <c r="L12" s="1944">
        <f t="shared" ref="L12:L18" si="1">SUM(I12:K12)</f>
        <v>139100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1376</v>
      </c>
      <c r="F16" s="1942"/>
      <c r="G16" s="1968">
        <f>K68</f>
        <v>0</v>
      </c>
      <c r="H16" s="1944">
        <f t="shared" si="0"/>
        <v>1376</v>
      </c>
      <c r="I16" s="1943">
        <v>1500</v>
      </c>
      <c r="J16" s="1942"/>
      <c r="K16" s="1943"/>
      <c r="L16" s="1944">
        <f t="shared" si="1"/>
        <v>1500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131519</v>
      </c>
      <c r="F19" s="1950">
        <f t="shared" si="2"/>
        <v>0</v>
      </c>
      <c r="G19" s="1950">
        <f t="shared" ref="G19" si="3">SUM(G12:G17)-G18</f>
        <v>0</v>
      </c>
      <c r="H19" s="1950">
        <f t="shared" si="2"/>
        <v>131519</v>
      </c>
      <c r="I19" s="1950">
        <f t="shared" si="2"/>
        <v>140600</v>
      </c>
      <c r="J19" s="1950">
        <f t="shared" si="2"/>
        <v>0</v>
      </c>
      <c r="K19" s="1950">
        <f t="shared" si="2"/>
        <v>0</v>
      </c>
      <c r="L19" s="1950">
        <f t="shared" si="2"/>
        <v>140600</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6.9047057839551701E-2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t="s">
        <v>2055</v>
      </c>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Morris CHSD 101</v>
      </c>
      <c r="M52" s="2420"/>
      <c r="N52" s="2450"/>
    </row>
    <row r="53" spans="1:14" x14ac:dyDescent="0.2">
      <c r="A53" s="1982"/>
      <c r="B53" s="1983"/>
      <c r="C53" s="1983"/>
      <c r="D53" s="1983"/>
      <c r="E53" s="1983"/>
      <c r="F53" s="1983"/>
      <c r="G53" s="1983"/>
      <c r="H53" s="1983"/>
      <c r="I53" s="1983"/>
      <c r="J53" s="1983"/>
      <c r="K53" s="1924" t="s">
        <v>369</v>
      </c>
      <c r="L53" s="2425">
        <f>J7</f>
        <v>24032101016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600</v>
      </c>
      <c r="F59" s="1972"/>
      <c r="G59" s="2031"/>
      <c r="H59" s="2032"/>
      <c r="I59" s="2032"/>
      <c r="J59" s="2032"/>
      <c r="K59" s="2032"/>
      <c r="L59" s="2032"/>
      <c r="M59" s="2032">
        <v>600</v>
      </c>
      <c r="N59" s="1975">
        <f>IF((SUM(G59:M59))=E59,SUM(G59:M59),"Column N does not agree with Column E")</f>
        <v>600</v>
      </c>
    </row>
    <row r="60" spans="1:14" ht="24" customHeight="1" x14ac:dyDescent="0.2">
      <c r="A60" s="2461" t="s">
        <v>236</v>
      </c>
      <c r="B60" s="2462"/>
      <c r="C60" s="2462"/>
      <c r="D60" s="1967">
        <v>2364</v>
      </c>
      <c r="E60" s="1977">
        <f>'Expenditures 15-22'!K322</f>
        <v>112226</v>
      </c>
      <c r="F60" s="1972"/>
      <c r="G60" s="2031"/>
      <c r="H60" s="2032"/>
      <c r="I60" s="2032"/>
      <c r="J60" s="2032"/>
      <c r="K60" s="2032"/>
      <c r="L60" s="2032"/>
      <c r="M60" s="2032">
        <v>112226</v>
      </c>
      <c r="N60" s="1975">
        <f t="shared" ref="N60:N67" si="4">IF((SUM(G60:M60))=E60,SUM(G60:M60),"Column N does not agree with Column E")</f>
        <v>112226</v>
      </c>
    </row>
    <row r="61" spans="1:14" ht="24.75" customHeight="1" x14ac:dyDescent="0.2">
      <c r="A61" s="2461" t="s">
        <v>697</v>
      </c>
      <c r="B61" s="2462"/>
      <c r="C61" s="2462"/>
      <c r="D61" s="1967">
        <v>2365</v>
      </c>
      <c r="E61" s="1977">
        <f>'Expenditures 15-22'!K323</f>
        <v>12889</v>
      </c>
      <c r="F61" s="1972"/>
      <c r="G61" s="2031"/>
      <c r="H61" s="2032"/>
      <c r="I61" s="2032"/>
      <c r="J61" s="2032"/>
      <c r="K61" s="2032"/>
      <c r="L61" s="2032"/>
      <c r="M61" s="2032">
        <v>12889</v>
      </c>
      <c r="N61" s="1975">
        <f t="shared" si="4"/>
        <v>12889</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195673</v>
      </c>
      <c r="F63" s="1972"/>
      <c r="G63" s="2031"/>
      <c r="H63" s="2032"/>
      <c r="I63" s="2032"/>
      <c r="J63" s="2032"/>
      <c r="K63" s="2032"/>
      <c r="L63" s="2032"/>
      <c r="M63" s="2032">
        <v>195673</v>
      </c>
      <c r="N63" s="1975">
        <f t="shared" si="4"/>
        <v>195673</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321388</v>
      </c>
      <c r="F68" s="1973"/>
      <c r="G68" s="1974">
        <f t="shared" ref="G68:N68" si="5">SUM(G57:G67)</f>
        <v>0</v>
      </c>
      <c r="H68" s="1974">
        <f t="shared" si="5"/>
        <v>0</v>
      </c>
      <c r="I68" s="1974">
        <f t="shared" si="5"/>
        <v>0</v>
      </c>
      <c r="J68" s="1974">
        <f t="shared" si="5"/>
        <v>0</v>
      </c>
      <c r="K68" s="1974">
        <f t="shared" si="5"/>
        <v>0</v>
      </c>
      <c r="L68" s="1974">
        <f t="shared" si="5"/>
        <v>0</v>
      </c>
      <c r="M68" s="1974">
        <f t="shared" si="5"/>
        <v>321388</v>
      </c>
      <c r="N68" s="1988">
        <f t="shared" si="5"/>
        <v>321388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2090</v>
      </c>
    </row>
    <row r="6" spans="1:2" x14ac:dyDescent="0.2">
      <c r="A6" s="847">
        <v>2</v>
      </c>
      <c r="B6" s="307" t="s">
        <v>2091</v>
      </c>
    </row>
    <row r="7" spans="1:2" x14ac:dyDescent="0.2">
      <c r="A7" s="847">
        <v>3</v>
      </c>
      <c r="B7" s="307" t="s">
        <v>2092</v>
      </c>
    </row>
    <row r="8" spans="1:2" x14ac:dyDescent="0.2">
      <c r="A8" s="847">
        <v>4</v>
      </c>
      <c r="B8" s="307" t="s">
        <v>2093</v>
      </c>
    </row>
    <row r="9" spans="1:2" x14ac:dyDescent="0.2">
      <c r="A9" s="847">
        <v>5</v>
      </c>
      <c r="B9" s="307" t="s">
        <v>2094</v>
      </c>
    </row>
    <row r="10" spans="1:2" x14ac:dyDescent="0.2">
      <c r="A10" s="847">
        <v>6</v>
      </c>
      <c r="B10" s="307" t="s">
        <v>2095</v>
      </c>
    </row>
    <row r="11" spans="1:2" x14ac:dyDescent="0.2">
      <c r="A11" s="847">
        <v>7</v>
      </c>
      <c r="B11" s="307" t="s">
        <v>2096</v>
      </c>
    </row>
    <row r="12" spans="1:2" x14ac:dyDescent="0.2">
      <c r="A12" s="847">
        <v>8</v>
      </c>
      <c r="B12" s="307" t="s">
        <v>2097</v>
      </c>
    </row>
    <row r="13" spans="1:2" x14ac:dyDescent="0.2">
      <c r="A13" s="847">
        <v>9</v>
      </c>
      <c r="B13" s="307" t="s">
        <v>2099</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Morris CHSD 101</v>
      </c>
    </row>
    <row r="65" spans="2:2" x14ac:dyDescent="0.2">
      <c r="B65" s="849">
        <f>COVER!A13</f>
        <v>24032101016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L179" sqref="L1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6" sqref="G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9638726</v>
      </c>
      <c r="C8" s="1813">
        <f>'Acct Summary 7-8'!D8</f>
        <v>1961861</v>
      </c>
      <c r="D8" s="1813">
        <f>'Acct Summary 7-8'!F8</f>
        <v>831064</v>
      </c>
      <c r="E8" s="1813">
        <f>'Acct Summary 7-8'!I8</f>
        <v>230122</v>
      </c>
      <c r="F8" s="1813">
        <f>SUM(B8:E8)</f>
        <v>12661773</v>
      </c>
    </row>
    <row r="9" spans="1:8" s="858" customFormat="1" ht="14.25" customHeight="1" thickBot="1" x14ac:dyDescent="0.25">
      <c r="A9" s="857" t="s">
        <v>1353</v>
      </c>
      <c r="B9" s="1814">
        <f>'Acct Summary 7-8'!C17</f>
        <v>11196873</v>
      </c>
      <c r="C9" s="1814">
        <f>'Acct Summary 7-8'!D17</f>
        <v>1491073</v>
      </c>
      <c r="D9" s="1814">
        <f>'Acct Summary 7-8'!F17</f>
        <v>681793</v>
      </c>
      <c r="E9" s="1813"/>
      <c r="F9" s="1813">
        <f>SUM(B9:E9)</f>
        <v>13369739</v>
      </c>
    </row>
    <row r="10" spans="1:8" s="858" customFormat="1" ht="14.25" thickTop="1" thickBot="1" x14ac:dyDescent="0.25">
      <c r="A10" s="859" t="s">
        <v>1354</v>
      </c>
      <c r="B10" s="1815">
        <f>(B8-B9)</f>
        <v>-1558147</v>
      </c>
      <c r="C10" s="1815">
        <f>(C8-C9)</f>
        <v>470788</v>
      </c>
      <c r="D10" s="1815">
        <f>(D8-D9)</f>
        <v>149271</v>
      </c>
      <c r="E10" s="1814">
        <f>(E8-E9)</f>
        <v>230122</v>
      </c>
      <c r="F10" s="1816">
        <f>SUM(F8-F9)</f>
        <v>-707966</v>
      </c>
    </row>
    <row r="11" spans="1:8" s="858" customFormat="1" ht="14.25" thickTop="1" thickBot="1" x14ac:dyDescent="0.25">
      <c r="A11" s="860" t="s">
        <v>1903</v>
      </c>
      <c r="B11" s="1817">
        <f>'Acct Summary 7-8'!C81</f>
        <v>2522062</v>
      </c>
      <c r="C11" s="1817">
        <f>'Acct Summary 7-8'!D81</f>
        <v>736815</v>
      </c>
      <c r="D11" s="1817">
        <f>'Acct Summary 7-8'!F81</f>
        <v>261408</v>
      </c>
      <c r="E11" s="1817">
        <f>'Acct Summary 7-8'!I81</f>
        <v>20094</v>
      </c>
      <c r="F11" s="1818">
        <f>SUM(B11:E11)</f>
        <v>3540379</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29'!$D$140&gt;0,"OK","PLEASE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24032101016</v>
      </c>
      <c r="E2" s="1542">
        <v>2020</v>
      </c>
      <c r="F2" s="1542">
        <v>1</v>
      </c>
      <c r="G2" s="1899">
        <v>101000300</v>
      </c>
    </row>
    <row r="3" spans="1:7" ht="15" x14ac:dyDescent="0.25">
      <c r="A3" t="s">
        <v>950</v>
      </c>
      <c r="B3" s="135" t="str">
        <f>COVER!A15</f>
        <v>Grundy</v>
      </c>
      <c r="E3" s="1830" t="s">
        <v>1971</v>
      </c>
      <c r="F3" s="1830" t="s">
        <v>1970</v>
      </c>
      <c r="G3" s="1899">
        <v>101000400</v>
      </c>
    </row>
    <row r="4" spans="1:7" ht="15" x14ac:dyDescent="0.25">
      <c r="A4" t="s">
        <v>1000</v>
      </c>
      <c r="B4" s="135" t="str">
        <f>COVER!A17</f>
        <v xml:space="preserve">   Morris CHSD 101</v>
      </c>
      <c r="E4" s="1828">
        <v>44119</v>
      </c>
      <c r="F4" s="1829">
        <v>44151</v>
      </c>
      <c r="G4" s="1899">
        <v>101000600</v>
      </c>
    </row>
    <row r="5" spans="1:7" ht="15" x14ac:dyDescent="0.25">
      <c r="A5" t="s">
        <v>699</v>
      </c>
      <c r="B5" s="135" t="str">
        <f>COVER!A38</f>
        <v>Dr. Craig Ortiz</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Street,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1748923</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2522062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1753848</v>
      </c>
      <c r="D92" s="2" t="str">
        <f t="shared" si="0"/>
        <v>Error?</v>
      </c>
      <c r="G92" s="1899">
        <v>102640600</v>
      </c>
    </row>
    <row r="93" spans="1:7" ht="15" x14ac:dyDescent="0.25">
      <c r="A93" s="5">
        <v>32</v>
      </c>
      <c r="B93" s="1832">
        <f>'Assets-Liab 5-6'!C41</f>
        <v>2522062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643000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736815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736815</v>
      </c>
      <c r="D123" s="2" t="str">
        <f t="shared" si="0"/>
        <v>Error?</v>
      </c>
      <c r="G123" s="1899">
        <v>203000400</v>
      </c>
    </row>
    <row r="124" spans="1:7" ht="15" x14ac:dyDescent="0.25">
      <c r="A124" s="5">
        <v>63</v>
      </c>
      <c r="B124" s="1832">
        <f>'Assets-Liab 5-6'!D41</f>
        <v>736815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29182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29182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215128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261408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261408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191988</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225960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-35132</v>
      </c>
      <c r="D189" s="2" t="str">
        <f t="shared" si="1"/>
        <v>Error?</v>
      </c>
    </row>
    <row r="190" spans="1:4" x14ac:dyDescent="0.2">
      <c r="A190" s="5">
        <v>129</v>
      </c>
      <c r="B190" s="1832">
        <f>'Assets-Liab 5-6'!G41</f>
        <v>225960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1173314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1228390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1228390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62042</v>
      </c>
      <c r="D273" s="2" t="str">
        <f t="shared" si="3"/>
        <v>Error?</v>
      </c>
    </row>
    <row r="274" spans="1:4" x14ac:dyDescent="0.2">
      <c r="A274" s="5">
        <v>213</v>
      </c>
      <c r="B274" s="1832">
        <f>'Assets-Liab 5-6'!M17</f>
        <v>7501209</v>
      </c>
      <c r="D274" s="2" t="str">
        <f t="shared" si="3"/>
        <v>Error?</v>
      </c>
    </row>
    <row r="275" spans="1:4" x14ac:dyDescent="0.2">
      <c r="A275" s="5">
        <v>214</v>
      </c>
      <c r="B275" s="1832">
        <f>'Assets-Liab 5-6'!M18</f>
        <v>918440</v>
      </c>
      <c r="D275" s="2" t="str">
        <f t="shared" si="3"/>
        <v>Error?</v>
      </c>
    </row>
    <row r="276" spans="1:4" x14ac:dyDescent="0.2">
      <c r="A276" s="5">
        <v>215</v>
      </c>
      <c r="B276" s="1832">
        <f>'Assets-Liab 5-6'!M19</f>
        <v>162209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9121922</v>
      </c>
      <c r="C279" s="2" t="s">
        <v>569</v>
      </c>
      <c r="D279" s="2" t="str">
        <f t="shared" si="3"/>
        <v>Error?</v>
      </c>
    </row>
    <row r="280" spans="1:4" x14ac:dyDescent="0.2">
      <c r="A280" s="5">
        <v>219</v>
      </c>
      <c r="B280" s="1832">
        <f>'Assets-Liab 5-6'!M40</f>
        <v>9121922</v>
      </c>
      <c r="D280" s="2" t="str">
        <f t="shared" si="3"/>
        <v>Error?</v>
      </c>
    </row>
    <row r="281" spans="1:4" x14ac:dyDescent="0.2">
      <c r="A281" s="5">
        <v>220</v>
      </c>
      <c r="B281" s="1832">
        <f>'Assets-Liab 5-6'!M41</f>
        <v>9121922</v>
      </c>
      <c r="C281" s="2" t="s">
        <v>569</v>
      </c>
      <c r="D281" s="2" t="str">
        <f t="shared" si="3"/>
        <v>Error?</v>
      </c>
    </row>
    <row r="282" spans="1:4" x14ac:dyDescent="0.2">
      <c r="A282" s="5">
        <v>221</v>
      </c>
      <c r="B282" s="1832">
        <f>'Assets-Liab 5-6'!N21</f>
        <v>29182</v>
      </c>
      <c r="D282" s="2" t="str">
        <f t="shared" si="3"/>
        <v>Error?</v>
      </c>
    </row>
    <row r="283" spans="1:4" x14ac:dyDescent="0.2">
      <c r="A283" s="5">
        <v>222</v>
      </c>
      <c r="B283" s="1832">
        <f>'Assets-Liab 5-6'!N22</f>
        <v>6760818</v>
      </c>
      <c r="D283" s="2" t="str">
        <f t="shared" si="3"/>
        <v>Error?</v>
      </c>
    </row>
    <row r="284" spans="1:4" x14ac:dyDescent="0.2">
      <c r="A284" s="5">
        <v>223</v>
      </c>
      <c r="B284" s="1832">
        <f>'Assets-Liab 5-6'!N23</f>
        <v>6790000</v>
      </c>
      <c r="C284" s="2" t="s">
        <v>569</v>
      </c>
      <c r="D284" s="2" t="str">
        <f t="shared" si="3"/>
        <v>Error?</v>
      </c>
    </row>
    <row r="285" spans="1:4" x14ac:dyDescent="0.2">
      <c r="A285" s="5">
        <v>224</v>
      </c>
      <c r="B285" s="1832">
        <f>'Assets-Liab 5-6'!N36</f>
        <v>6790000</v>
      </c>
      <c r="D285" s="2" t="str">
        <f t="shared" si="3"/>
        <v>Error?</v>
      </c>
    </row>
    <row r="286" spans="1:4" x14ac:dyDescent="0.2">
      <c r="A286" s="10">
        <v>225</v>
      </c>
      <c r="B286" s="1832"/>
      <c r="D286" s="2" t="str">
        <f t="shared" si="3"/>
        <v>OK</v>
      </c>
    </row>
    <row r="287" spans="1:4" x14ac:dyDescent="0.2">
      <c r="A287" s="5">
        <v>226</v>
      </c>
      <c r="B287" s="1832">
        <f>'Assets-Liab 5-6'!N37</f>
        <v>6790000</v>
      </c>
      <c r="C287" s="2" t="s">
        <v>569</v>
      </c>
      <c r="D287" s="2" t="str">
        <f t="shared" si="3"/>
        <v>Error?</v>
      </c>
    </row>
    <row r="288" spans="1:4" x14ac:dyDescent="0.2">
      <c r="A288" s="5">
        <v>227</v>
      </c>
      <c r="B288" s="1832">
        <f>'Assets-Liab 5-6'!N41</f>
        <v>6790000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1855000</v>
      </c>
      <c r="D618" s="2" t="str">
        <f t="shared" si="8"/>
        <v>Error?</v>
      </c>
    </row>
    <row r="619" spans="1:4" x14ac:dyDescent="0.2">
      <c r="A619" s="5">
        <v>558</v>
      </c>
      <c r="B619" s="1832">
        <f>'Acct Summary 7-8'!H34</f>
        <v>281545</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2000000</v>
      </c>
      <c r="D651" s="2" t="str">
        <f t="shared" si="9"/>
        <v>Error?</v>
      </c>
    </row>
    <row r="652" spans="1:4" x14ac:dyDescent="0.2">
      <c r="A652" s="5">
        <v>591</v>
      </c>
      <c r="B652" s="1832">
        <f>'Acct Summary 7-8'!I34</f>
        <v>48100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2476242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59315</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208607</v>
      </c>
      <c r="D717" s="2" t="str">
        <f t="shared" si="10"/>
        <v>Error?</v>
      </c>
    </row>
    <row r="718" spans="1:4" x14ac:dyDescent="0.2">
      <c r="A718" s="5">
        <v>657</v>
      </c>
      <c r="B718" s="1832">
        <f>'Expenditures 15-22'!C14</f>
        <v>447483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3708777</v>
      </c>
      <c r="C720" s="2" t="s">
        <v>569</v>
      </c>
      <c r="D720" s="2" t="str">
        <f t="shared" si="10"/>
        <v>Error?</v>
      </c>
    </row>
    <row r="721" spans="1:4" x14ac:dyDescent="0.2">
      <c r="A721" s="5">
        <v>660</v>
      </c>
      <c r="B721" s="1832">
        <f>'Expenditures 15-22'!C36</f>
        <v>6660</v>
      </c>
      <c r="D721" s="2" t="str">
        <f t="shared" si="10"/>
        <v>Error?</v>
      </c>
    </row>
    <row r="722" spans="1:4" x14ac:dyDescent="0.2">
      <c r="A722" s="5">
        <v>661</v>
      </c>
      <c r="B722" s="1832">
        <f>'Expenditures 15-22'!C37</f>
        <v>497084</v>
      </c>
      <c r="D722" s="2" t="str">
        <f t="shared" si="10"/>
        <v>Error?</v>
      </c>
    </row>
    <row r="723" spans="1:4" x14ac:dyDescent="0.2">
      <c r="A723" s="5">
        <v>662</v>
      </c>
      <c r="B723" s="1832">
        <f>'Expenditures 15-22'!C38</f>
        <v>82948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17484</v>
      </c>
      <c r="D726" s="2" t="str">
        <f t="shared" si="10"/>
        <v>Error?</v>
      </c>
    </row>
    <row r="727" spans="1:4" x14ac:dyDescent="0.2">
      <c r="A727" s="5">
        <v>666</v>
      </c>
      <c r="B727" s="1832">
        <f>'Expenditures 15-22'!C42</f>
        <v>604176</v>
      </c>
      <c r="C727" s="2" t="s">
        <v>569</v>
      </c>
      <c r="D727" s="2" t="str">
        <f t="shared" si="10"/>
        <v>Error?</v>
      </c>
    </row>
    <row r="728" spans="1:4" x14ac:dyDescent="0.2">
      <c r="A728" s="5">
        <v>667</v>
      </c>
      <c r="B728" s="1832">
        <f>'Expenditures 15-22'!C44</f>
        <v>25156</v>
      </c>
      <c r="D728" s="2" t="str">
        <f t="shared" si="10"/>
        <v>Error?</v>
      </c>
    </row>
    <row r="729" spans="1:4" x14ac:dyDescent="0.2">
      <c r="A729" s="5">
        <v>668</v>
      </c>
      <c r="B729" s="1832">
        <f>'Expenditures 15-22'!C45</f>
        <v>151541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176697</v>
      </c>
      <c r="C731" s="2" t="s">
        <v>569</v>
      </c>
      <c r="D731" s="2" t="str">
        <f t="shared" si="10"/>
        <v>Error?</v>
      </c>
    </row>
    <row r="732" spans="1:4" x14ac:dyDescent="0.2">
      <c r="A732" s="5">
        <v>671</v>
      </c>
      <c r="B732" s="1832">
        <f>'Expenditures 15-22'!C49</f>
        <v>86894</v>
      </c>
      <c r="D732" s="2" t="str">
        <f t="shared" si="10"/>
        <v>Error?</v>
      </c>
    </row>
    <row r="733" spans="1:4" x14ac:dyDescent="0.2">
      <c r="A733" s="5">
        <v>672</v>
      </c>
      <c r="B733" s="1832">
        <f>'Expenditures 15-22'!C50</f>
        <v>92725</v>
      </c>
      <c r="D733" s="2" t="str">
        <f t="shared" si="10"/>
        <v>Error?</v>
      </c>
    </row>
    <row r="734" spans="1:4" x14ac:dyDescent="0.2">
      <c r="A734" s="5">
        <v>673</v>
      </c>
      <c r="B734" s="1832">
        <f>'Expenditures 15-22'!C53</f>
        <v>179619</v>
      </c>
      <c r="C734" s="2" t="s">
        <v>569</v>
      </c>
      <c r="D734" s="2" t="str">
        <f t="shared" si="10"/>
        <v>Error?</v>
      </c>
    </row>
    <row r="735" spans="1:4" x14ac:dyDescent="0.2">
      <c r="A735" s="5">
        <v>674</v>
      </c>
      <c r="B735" s="1832">
        <f>'Expenditures 15-22'!C55</f>
        <v>210708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210708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52016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9413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61429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1232629</v>
      </c>
      <c r="C755" s="2" t="s">
        <v>569</v>
      </c>
      <c r="D755" s="2" t="str">
        <f t="shared" si="10"/>
        <v>Error?</v>
      </c>
    </row>
    <row r="756" spans="1:4" x14ac:dyDescent="0.2">
      <c r="A756" s="5">
        <v>695</v>
      </c>
      <c r="B756" s="1832">
        <f>'Expenditures 15-22'!C75</f>
        <v>20409</v>
      </c>
      <c r="D756" s="2" t="str">
        <f t="shared" si="10"/>
        <v>Error?</v>
      </c>
    </row>
    <row r="757" spans="1:4" x14ac:dyDescent="0.2">
      <c r="A757" s="5">
        <v>696</v>
      </c>
      <c r="B757" s="1832">
        <f>'Expenditures 15-22'!C114</f>
        <v>4961815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935106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22699</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74490</v>
      </c>
      <c r="D775" s="2" t="str">
        <f t="shared" si="11"/>
        <v>Error?</v>
      </c>
    </row>
    <row r="776" spans="1:4" x14ac:dyDescent="0.2">
      <c r="A776" s="5">
        <v>715</v>
      </c>
      <c r="B776" s="1832">
        <f>'Expenditures 15-22'!D14</f>
        <v>68289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1306891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168995</v>
      </c>
      <c r="D780" s="2" t="str">
        <f t="shared" si="11"/>
        <v>Error?</v>
      </c>
    </row>
    <row r="781" spans="1:4" x14ac:dyDescent="0.2">
      <c r="A781" s="5">
        <v>720</v>
      </c>
      <c r="B781" s="1832">
        <f>'Expenditures 15-22'!D38</f>
        <v>26664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195659</v>
      </c>
      <c r="C785" s="2" t="s">
        <v>569</v>
      </c>
      <c r="D785" s="2" t="str">
        <f t="shared" si="11"/>
        <v>Error?</v>
      </c>
    </row>
    <row r="786" spans="1:4" x14ac:dyDescent="0.2">
      <c r="A786" s="5">
        <v>725</v>
      </c>
      <c r="B786" s="1832">
        <f>'Expenditures 15-22'!D44</f>
        <v>2308</v>
      </c>
      <c r="D786" s="2" t="str">
        <f t="shared" si="11"/>
        <v>Error?</v>
      </c>
    </row>
    <row r="787" spans="1:4" x14ac:dyDescent="0.2">
      <c r="A787" s="5">
        <v>726</v>
      </c>
      <c r="B787" s="1832">
        <f>'Expenditures 15-22'!D45</f>
        <v>38884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41192</v>
      </c>
      <c r="C789" s="2" t="s">
        <v>569</v>
      </c>
      <c r="D789" s="2" t="str">
        <f t="shared" si="11"/>
        <v>Error?</v>
      </c>
    </row>
    <row r="790" spans="1:4" x14ac:dyDescent="0.2">
      <c r="A790" s="5">
        <v>729</v>
      </c>
      <c r="B790" s="1832">
        <f>'Expenditures 15-22'!D49</f>
        <v>24689</v>
      </c>
      <c r="D790" s="2" t="str">
        <f t="shared" si="11"/>
        <v>Error?</v>
      </c>
    </row>
    <row r="791" spans="1:4" x14ac:dyDescent="0.2">
      <c r="A791" s="5">
        <v>730</v>
      </c>
      <c r="B791" s="1832">
        <f>'Expenditures 15-22'!D50</f>
        <v>27659</v>
      </c>
      <c r="D791" s="2" t="str">
        <f t="shared" si="11"/>
        <v>Error?</v>
      </c>
    </row>
    <row r="792" spans="1:4" x14ac:dyDescent="0.2">
      <c r="A792" s="5">
        <v>731</v>
      </c>
      <c r="B792" s="1832">
        <f>'Expenditures 15-22'!D53</f>
        <v>52348</v>
      </c>
      <c r="C792" s="2" t="s">
        <v>569</v>
      </c>
      <c r="D792" s="2" t="str">
        <f t="shared" si="11"/>
        <v>Error?</v>
      </c>
    </row>
    <row r="793" spans="1:4" x14ac:dyDescent="0.2">
      <c r="A793" s="5">
        <v>732</v>
      </c>
      <c r="B793" s="1832">
        <f>'Expenditures 15-22'!D55</f>
        <v>82708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82708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15275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15275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387182</v>
      </c>
      <c r="C813" s="2" t="s">
        <v>569</v>
      </c>
      <c r="D813" s="2" t="str">
        <f t="shared" si="11"/>
        <v>Error?</v>
      </c>
    </row>
    <row r="814" spans="1:4" x14ac:dyDescent="0.2">
      <c r="A814" s="5">
        <v>753</v>
      </c>
      <c r="B814" s="1832">
        <f>'Expenditures 15-22'!D75</f>
        <v>5360</v>
      </c>
      <c r="D814" s="2" t="str">
        <f t="shared" si="11"/>
        <v>Error?</v>
      </c>
    </row>
    <row r="815" spans="1:4" x14ac:dyDescent="0.2">
      <c r="A815" s="5">
        <v>754</v>
      </c>
      <c r="B815" s="1832">
        <f>'Expenditures 15-22'!D114</f>
        <v>1699433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180437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584370</v>
      </c>
      <c r="D833" s="2" t="str">
        <f t="shared" si="12"/>
        <v>Error?</v>
      </c>
    </row>
    <row r="834" spans="1:4" x14ac:dyDescent="0.2">
      <c r="A834" s="5">
        <v>773</v>
      </c>
      <c r="B834" s="1832">
        <f>'Expenditures 15-22'!E14</f>
        <v>95742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1408741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12392</v>
      </c>
      <c r="D838" s="2" t="str">
        <f t="shared" si="12"/>
        <v>Error?</v>
      </c>
    </row>
    <row r="839" spans="1:4" x14ac:dyDescent="0.2">
      <c r="A839" s="5">
        <v>778</v>
      </c>
      <c r="B839" s="1832">
        <f>'Expenditures 15-22'!E38</f>
        <v>1170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13562</v>
      </c>
      <c r="C843" s="2" t="s">
        <v>569</v>
      </c>
      <c r="D843" s="2" t="str">
        <f t="shared" si="12"/>
        <v>Error?</v>
      </c>
    </row>
    <row r="844" spans="1:4" x14ac:dyDescent="0.2">
      <c r="A844" s="5">
        <v>783</v>
      </c>
      <c r="B844" s="1832">
        <f>'Expenditures 15-22'!E44</f>
        <v>1467</v>
      </c>
      <c r="D844" s="2" t="str">
        <f t="shared" si="12"/>
        <v>Error?</v>
      </c>
    </row>
    <row r="845" spans="1:4" x14ac:dyDescent="0.2">
      <c r="A845" s="5">
        <v>784</v>
      </c>
      <c r="B845" s="1832">
        <f>'Expenditures 15-22'!E45</f>
        <v>31576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33043</v>
      </c>
      <c r="C847" s="2" t="s">
        <v>569</v>
      </c>
      <c r="D847" s="2" t="str">
        <f t="shared" si="12"/>
        <v>Error?</v>
      </c>
    </row>
    <row r="848" spans="1:4" x14ac:dyDescent="0.2">
      <c r="A848" s="5">
        <v>787</v>
      </c>
      <c r="B848" s="1832">
        <f>'Expenditures 15-22'!E49</f>
        <v>68725</v>
      </c>
      <c r="D848" s="2" t="str">
        <f t="shared" si="12"/>
        <v>Error?</v>
      </c>
    </row>
    <row r="849" spans="1:4" x14ac:dyDescent="0.2">
      <c r="A849" s="5">
        <v>788</v>
      </c>
      <c r="B849" s="1832">
        <f>'Expenditures 15-22'!E50</f>
        <v>6799</v>
      </c>
      <c r="D849" s="2" t="str">
        <f t="shared" si="12"/>
        <v>Error?</v>
      </c>
    </row>
    <row r="850" spans="1:4" x14ac:dyDescent="0.2">
      <c r="A850" s="5">
        <v>789</v>
      </c>
      <c r="B850" s="1832">
        <f>'Expenditures 15-22'!E53</f>
        <v>75524</v>
      </c>
      <c r="C850" s="2" t="s">
        <v>569</v>
      </c>
      <c r="D850" s="2" t="str">
        <f t="shared" si="12"/>
        <v>Error?</v>
      </c>
    </row>
    <row r="851" spans="1:4" x14ac:dyDescent="0.2">
      <c r="A851" s="5">
        <v>790</v>
      </c>
      <c r="B851" s="1832">
        <f>'Expenditures 15-22'!E55</f>
        <v>16274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16274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5853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230240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236093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374496</v>
      </c>
      <c r="C871" s="2" t="s">
        <v>569</v>
      </c>
      <c r="D871" s="2" t="str">
        <f t="shared" si="12"/>
        <v>Error?</v>
      </c>
    </row>
    <row r="872" spans="1:4" x14ac:dyDescent="0.2">
      <c r="A872" s="5">
        <v>811</v>
      </c>
      <c r="B872" s="1832">
        <f>'Expenditures 15-22'!E75</f>
        <v>4500</v>
      </c>
      <c r="D872" s="2" t="str">
        <f t="shared" si="12"/>
        <v>Error?</v>
      </c>
    </row>
    <row r="873" spans="1:4" x14ac:dyDescent="0.2">
      <c r="A873" s="5">
        <v>812</v>
      </c>
      <c r="B873" s="1832">
        <f>'Expenditures 15-22'!E114</f>
        <v>3004911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95133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14133</v>
      </c>
      <c r="D891" s="2" t="str">
        <f t="shared" si="12"/>
        <v>Error?</v>
      </c>
    </row>
    <row r="892" spans="1:4" x14ac:dyDescent="0.2">
      <c r="A892" s="5">
        <v>831</v>
      </c>
      <c r="B892" s="1832">
        <f>'Expenditures 15-22'!F14</f>
        <v>36445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172092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590</v>
      </c>
      <c r="D896" s="2" t="str">
        <f t="shared" si="13"/>
        <v>Error?</v>
      </c>
    </row>
    <row r="897" spans="1:4" x14ac:dyDescent="0.2">
      <c r="A897" s="5">
        <v>836</v>
      </c>
      <c r="B897" s="1832">
        <f>'Expenditures 15-22'!F38</f>
        <v>2087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2677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2980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2980</v>
      </c>
      <c r="C905" s="2" t="s">
        <v>569</v>
      </c>
      <c r="D905" s="2" t="str">
        <f t="shared" si="13"/>
        <v>Error?</v>
      </c>
    </row>
    <row r="906" spans="1:4" x14ac:dyDescent="0.2">
      <c r="A906" s="5">
        <v>845</v>
      </c>
      <c r="B906" s="1832">
        <f>'Expenditures 15-22'!F49</f>
        <v>2423</v>
      </c>
      <c r="D906" s="2" t="str">
        <f t="shared" si="13"/>
        <v>Error?</v>
      </c>
    </row>
    <row r="907" spans="1:4" x14ac:dyDescent="0.2">
      <c r="A907" s="5">
        <v>846</v>
      </c>
      <c r="B907" s="1832">
        <f>'Expenditures 15-22'!F50</f>
        <v>1623</v>
      </c>
      <c r="D907" s="2" t="str">
        <f t="shared" si="13"/>
        <v>Error?</v>
      </c>
    </row>
    <row r="908" spans="1:4" x14ac:dyDescent="0.2">
      <c r="A908" s="5">
        <v>847</v>
      </c>
      <c r="B908" s="1832">
        <f>'Expenditures 15-22'!F53</f>
        <v>4046</v>
      </c>
      <c r="C908" s="2" t="s">
        <v>569</v>
      </c>
      <c r="D908" s="2" t="str">
        <f t="shared" si="13"/>
        <v>Error?</v>
      </c>
    </row>
    <row r="909" spans="1:4" x14ac:dyDescent="0.2">
      <c r="A909" s="5">
        <v>848</v>
      </c>
      <c r="B909" s="1832">
        <f>'Expenditures 15-22'!F55</f>
        <v>22121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22121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1186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104</v>
      </c>
      <c r="D916" s="2" t="str">
        <f t="shared" si="13"/>
        <v>Error?</v>
      </c>
    </row>
    <row r="917" spans="1:4" x14ac:dyDescent="0.2">
      <c r="A917" s="5">
        <v>856</v>
      </c>
      <c r="B917" s="1832">
        <f>'Expenditures 15-22'!F64</f>
        <v>1376</v>
      </c>
      <c r="D917" s="2" t="str">
        <f t="shared" si="13"/>
        <v>Error?</v>
      </c>
    </row>
    <row r="918" spans="1:4" x14ac:dyDescent="0.2">
      <c r="A918" s="10">
        <v>857</v>
      </c>
      <c r="B918" s="1832"/>
      <c r="D918" s="2" t="str">
        <f t="shared" si="13"/>
        <v>OK</v>
      </c>
    </row>
    <row r="919" spans="1:4" x14ac:dyDescent="0.2">
      <c r="A919" s="5">
        <v>858</v>
      </c>
      <c r="B919" s="1832">
        <f>'Expenditures 15-22'!F65</f>
        <v>2666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34490</v>
      </c>
      <c r="C929" s="2" t="s">
        <v>569</v>
      </c>
      <c r="D929" s="2" t="str">
        <f t="shared" si="13"/>
        <v>Error?</v>
      </c>
    </row>
    <row r="930" spans="1:4" x14ac:dyDescent="0.2">
      <c r="A930" s="5">
        <v>869</v>
      </c>
      <c r="B930" s="1832">
        <f>'Expenditures 15-22'!F75</f>
        <v>232</v>
      </c>
      <c r="D930" s="2" t="str">
        <f t="shared" si="13"/>
        <v>Error?</v>
      </c>
    </row>
    <row r="931" spans="1:4" x14ac:dyDescent="0.2">
      <c r="A931" s="5">
        <v>870</v>
      </c>
      <c r="B931" s="1832">
        <f>'Expenditures 15-22'!F114</f>
        <v>206814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35124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787</v>
      </c>
      <c r="D949" s="2" t="str">
        <f t="shared" si="13"/>
        <v>Error?</v>
      </c>
    </row>
    <row r="950" spans="1:4" x14ac:dyDescent="0.2">
      <c r="A950" s="5">
        <v>889</v>
      </c>
      <c r="B950" s="1832">
        <f>'Expenditures 15-22'!G14</f>
        <v>9502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52211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52211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7222</v>
      </c>
      <c r="D1022" s="2" t="str">
        <f t="shared" si="14"/>
        <v>Error?</v>
      </c>
    </row>
    <row r="1023" spans="1:4" x14ac:dyDescent="0.2">
      <c r="A1023" s="5">
        <v>962</v>
      </c>
      <c r="B1023" s="1832">
        <f>'Expenditures 15-22'!H50</f>
        <v>1337</v>
      </c>
      <c r="D1023" s="2" t="str">
        <f t="shared" ref="D1023:D1086" si="15">IF(ISBLANK(B1023),"OK",IF(A1023-B1023=0,"OK","Error?"))</f>
        <v>Error?</v>
      </c>
    </row>
    <row r="1024" spans="1:4" x14ac:dyDescent="0.2">
      <c r="A1024" s="5">
        <v>963</v>
      </c>
      <c r="B1024" s="1832">
        <f>'Expenditures 15-22'!H53</f>
        <v>8559</v>
      </c>
      <c r="C1024" s="2" t="s">
        <v>569</v>
      </c>
      <c r="D1024" s="2" t="str">
        <f t="shared" si="15"/>
        <v>Error?</v>
      </c>
    </row>
    <row r="1025" spans="1:4" x14ac:dyDescent="0.2">
      <c r="A1025" s="5">
        <v>964</v>
      </c>
      <c r="B1025" s="1832">
        <f>'Expenditures 15-22'!H55</f>
        <v>6900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6900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15459</v>
      </c>
      <c r="C1045" s="2" t="s">
        <v>569</v>
      </c>
      <c r="D1045" s="2" t="str">
        <f t="shared" si="15"/>
        <v>Error?</v>
      </c>
    </row>
    <row r="1046" spans="1:5" x14ac:dyDescent="0.2">
      <c r="A1046" s="5">
        <v>985</v>
      </c>
      <c r="B1046" s="1832">
        <f>'Expenditures 15-22'!H75</f>
        <v>1355</v>
      </c>
      <c r="D1046" s="2" t="str">
        <f t="shared" si="15"/>
        <v>Error?</v>
      </c>
    </row>
    <row r="1047" spans="1:5" x14ac:dyDescent="0.2">
      <c r="A1047" s="5">
        <v>986</v>
      </c>
      <c r="B1047" s="1832">
        <f>'Expenditures 15-22'!H102</f>
        <v>1254875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1271689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3722042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82014</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882387</v>
      </c>
      <c r="C1105" s="2" t="s">
        <v>569</v>
      </c>
      <c r="D1105" s="2" t="str">
        <f t="shared" si="16"/>
        <v>Error?</v>
      </c>
    </row>
    <row r="1106" spans="1:4" x14ac:dyDescent="0.2">
      <c r="A1106" s="5">
        <v>1045</v>
      </c>
      <c r="B1106" s="1832">
        <f>'Expenditures 15-22'!K14</f>
        <v>657461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6648712</v>
      </c>
      <c r="C1108" s="2" t="s">
        <v>569</v>
      </c>
      <c r="D1108" s="2" t="str">
        <f t="shared" si="16"/>
        <v>Error?</v>
      </c>
    </row>
    <row r="1109" spans="1:4" x14ac:dyDescent="0.2">
      <c r="A1109" s="5">
        <v>1048</v>
      </c>
      <c r="B1109" s="1832">
        <f>'Expenditures 15-22'!K36</f>
        <v>6660</v>
      </c>
      <c r="C1109" s="2" t="s">
        <v>569</v>
      </c>
      <c r="D1109" s="2" t="str">
        <f t="shared" si="16"/>
        <v>Error?</v>
      </c>
    </row>
    <row r="1110" spans="1:4" x14ac:dyDescent="0.2">
      <c r="A1110" s="5">
        <v>1049</v>
      </c>
      <c r="B1110" s="1832">
        <f>'Expenditures 15-22'!K37</f>
        <v>679061</v>
      </c>
      <c r="C1110" s="2" t="s">
        <v>569</v>
      </c>
      <c r="D1110" s="2" t="str">
        <f t="shared" si="16"/>
        <v>Error?</v>
      </c>
    </row>
    <row r="1111" spans="1:4" x14ac:dyDescent="0.2">
      <c r="A1111" s="5">
        <v>1050</v>
      </c>
      <c r="B1111" s="1832">
        <f>'Expenditures 15-22'!K38</f>
        <v>112869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17484</v>
      </c>
      <c r="C1114" s="2" t="s">
        <v>569</v>
      </c>
      <c r="D1114" s="2" t="str">
        <f t="shared" si="16"/>
        <v>Error?</v>
      </c>
    </row>
    <row r="1115" spans="1:4" x14ac:dyDescent="0.2">
      <c r="A1115" s="5">
        <v>1054</v>
      </c>
      <c r="B1115" s="1832">
        <f>'Expenditures 15-22'!K42</f>
        <v>816074</v>
      </c>
      <c r="C1115" s="2" t="s">
        <v>569</v>
      </c>
      <c r="D1115" s="2" t="str">
        <f t="shared" si="16"/>
        <v>Error?</v>
      </c>
    </row>
    <row r="1116" spans="1:4" x14ac:dyDescent="0.2">
      <c r="A1116" s="5">
        <v>1055</v>
      </c>
      <c r="B1116" s="1832">
        <f>'Expenditures 15-22'!K44</f>
        <v>28931</v>
      </c>
      <c r="C1116" s="2" t="s">
        <v>569</v>
      </c>
      <c r="D1116" s="2" t="str">
        <f t="shared" si="16"/>
        <v>Error?</v>
      </c>
    </row>
    <row r="1117" spans="1:4" x14ac:dyDescent="0.2">
      <c r="A1117" s="5">
        <v>1056</v>
      </c>
      <c r="B1117" s="1832">
        <f>'Expenditures 15-22'!K45</f>
        <v>224981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253912</v>
      </c>
      <c r="C1119" s="2" t="s">
        <v>569</v>
      </c>
      <c r="D1119" s="2" t="str">
        <f t="shared" si="16"/>
        <v>Error?</v>
      </c>
    </row>
    <row r="1120" spans="1:4" x14ac:dyDescent="0.2">
      <c r="A1120" s="5">
        <v>1059</v>
      </c>
      <c r="B1120" s="1832">
        <f>'Expenditures 15-22'!K49</f>
        <v>189953</v>
      </c>
      <c r="C1120" s="2" t="s">
        <v>569</v>
      </c>
      <c r="D1120" s="2" t="str">
        <f t="shared" si="16"/>
        <v>Error?</v>
      </c>
    </row>
    <row r="1121" spans="1:4" x14ac:dyDescent="0.2">
      <c r="A1121" s="5">
        <v>1060</v>
      </c>
      <c r="B1121" s="1832">
        <f>'Expenditures 15-22'!K50</f>
        <v>130143</v>
      </c>
      <c r="C1121" s="2" t="s">
        <v>569</v>
      </c>
      <c r="D1121" s="2" t="str">
        <f t="shared" si="16"/>
        <v>Error?</v>
      </c>
    </row>
    <row r="1122" spans="1:4" x14ac:dyDescent="0.2">
      <c r="A1122" s="5">
        <v>1061</v>
      </c>
      <c r="B1122" s="1832">
        <f>'Expenditures 15-22'!K53</f>
        <v>320096</v>
      </c>
      <c r="C1122" s="2" t="s">
        <v>569</v>
      </c>
      <c r="D1122" s="2" t="str">
        <f t="shared" si="16"/>
        <v>Error?</v>
      </c>
    </row>
    <row r="1123" spans="1:4" x14ac:dyDescent="0.2">
      <c r="A1123" s="5">
        <v>1062</v>
      </c>
      <c r="B1123" s="1832">
        <f>'Expenditures 15-22'!K55</f>
        <v>338711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338711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74330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239757</v>
      </c>
      <c r="C1130" s="2" t="s">
        <v>569</v>
      </c>
      <c r="D1130" s="2" t="str">
        <f t="shared" si="16"/>
        <v>Error?</v>
      </c>
    </row>
    <row r="1131" spans="1:4" x14ac:dyDescent="0.2">
      <c r="A1131" s="5">
        <v>1070</v>
      </c>
      <c r="B1131" s="1832">
        <f>'Expenditures 15-22'!K64</f>
        <v>1376</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315463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2044256</v>
      </c>
      <c r="C1143" s="2" t="s">
        <v>569</v>
      </c>
      <c r="D1143" s="2" t="str">
        <f t="shared" si="16"/>
        <v>Error?</v>
      </c>
    </row>
    <row r="1144" spans="1:4" x14ac:dyDescent="0.2">
      <c r="A1144" s="5">
        <v>1083</v>
      </c>
      <c r="B1144" s="1832">
        <f>'Expenditures 15-22'!K75</f>
        <v>31856</v>
      </c>
      <c r="C1144" s="2" t="s">
        <v>569</v>
      </c>
      <c r="D1144" s="2" t="str">
        <f t="shared" si="16"/>
        <v>Error?</v>
      </c>
    </row>
    <row r="1145" spans="1:4" x14ac:dyDescent="0.2">
      <c r="A1145" s="5">
        <v>1084</v>
      </c>
      <c r="B1145" s="1832">
        <f>'Expenditures 15-22'!K102</f>
        <v>2472049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11196873</v>
      </c>
      <c r="C1152" s="2" t="s">
        <v>569</v>
      </c>
      <c r="D1152" s="2" t="str">
        <f t="shared" si="17"/>
        <v>Error?</v>
      </c>
    </row>
    <row r="1153" spans="1:4" x14ac:dyDescent="0.2">
      <c r="A1153" s="5">
        <v>1092</v>
      </c>
      <c r="B1153" s="1832">
        <f>'Expenditures 15-22'!K115</f>
        <v>-1558147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437983</v>
      </c>
      <c r="D1221" s="2" t="str">
        <f t="shared" si="18"/>
        <v>Error?</v>
      </c>
    </row>
    <row r="1222" spans="1:4" x14ac:dyDescent="0.2">
      <c r="A1222" s="10">
        <v>1161</v>
      </c>
      <c r="B1222" s="1832"/>
      <c r="D1222" s="2" t="str">
        <f t="shared" si="18"/>
        <v>OK</v>
      </c>
    </row>
    <row r="1223" spans="1:4" x14ac:dyDescent="0.2">
      <c r="A1223" s="5">
        <v>1162</v>
      </c>
      <c r="B1223" s="1832">
        <f>'Expenditures 15-22'!C127</f>
        <v>437983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437983</v>
      </c>
      <c r="C1225" s="2" t="s">
        <v>569</v>
      </c>
      <c r="D1225" s="2" t="str">
        <f t="shared" si="18"/>
        <v>Error?</v>
      </c>
    </row>
    <row r="1226" spans="1:4" x14ac:dyDescent="0.2">
      <c r="A1226" s="5">
        <v>1165</v>
      </c>
      <c r="B1226" s="1832">
        <f>'Expenditures 15-22'!C151</f>
        <v>437983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150707</v>
      </c>
      <c r="D1229" s="2" t="str">
        <f t="shared" si="18"/>
        <v>Error?</v>
      </c>
    </row>
    <row r="1230" spans="1:4" x14ac:dyDescent="0.2">
      <c r="A1230" s="10">
        <v>1169</v>
      </c>
      <c r="B1230" s="1832"/>
      <c r="D1230" s="2" t="str">
        <f t="shared" si="18"/>
        <v>OK</v>
      </c>
    </row>
    <row r="1231" spans="1:4" x14ac:dyDescent="0.2">
      <c r="A1231" s="5">
        <v>1170</v>
      </c>
      <c r="B1231" s="1832">
        <f>'Expenditures 15-22'!D127</f>
        <v>150707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150707</v>
      </c>
      <c r="C1233" s="2" t="s">
        <v>569</v>
      </c>
      <c r="D1233" s="2" t="str">
        <f t="shared" si="18"/>
        <v>Error?</v>
      </c>
    </row>
    <row r="1234" spans="1:4" x14ac:dyDescent="0.2">
      <c r="A1234" s="5">
        <v>1173</v>
      </c>
      <c r="B1234" s="1832">
        <f>'Expenditures 15-22'!D151</f>
        <v>150707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53972</v>
      </c>
      <c r="D1236" s="2" t="str">
        <f t="shared" si="18"/>
        <v>Error?</v>
      </c>
    </row>
    <row r="1237" spans="1:4" x14ac:dyDescent="0.2">
      <c r="A1237" s="5">
        <v>1176</v>
      </c>
      <c r="B1237" s="1832">
        <f>'Expenditures 15-22'!E124</f>
        <v>213029</v>
      </c>
      <c r="D1237" s="2" t="str">
        <f t="shared" si="18"/>
        <v>Error?</v>
      </c>
    </row>
    <row r="1238" spans="1:4" x14ac:dyDescent="0.2">
      <c r="A1238" s="10">
        <v>1177</v>
      </c>
      <c r="B1238" s="1832"/>
      <c r="D1238" s="2" t="str">
        <f t="shared" si="18"/>
        <v>OK</v>
      </c>
    </row>
    <row r="1239" spans="1:4" x14ac:dyDescent="0.2">
      <c r="A1239" s="5">
        <v>1178</v>
      </c>
      <c r="B1239" s="1832">
        <f>'Expenditures 15-22'!E127</f>
        <v>267001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267001</v>
      </c>
      <c r="C1241" s="2" t="s">
        <v>569</v>
      </c>
      <c r="D1241" s="2" t="str">
        <f t="shared" si="18"/>
        <v>Error?</v>
      </c>
    </row>
    <row r="1242" spans="1:4" x14ac:dyDescent="0.2">
      <c r="A1242" s="5">
        <v>1181</v>
      </c>
      <c r="B1242" s="1832">
        <f>'Expenditures 15-22'!E151</f>
        <v>406449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301830</v>
      </c>
      <c r="D1245" s="2" t="str">
        <f t="shared" si="18"/>
        <v>Error?</v>
      </c>
    </row>
    <row r="1246" spans="1:4" x14ac:dyDescent="0.2">
      <c r="A1246" s="10">
        <v>1185</v>
      </c>
      <c r="B1246" s="1832"/>
      <c r="D1246" s="2" t="str">
        <f t="shared" si="18"/>
        <v>OK</v>
      </c>
    </row>
    <row r="1247" spans="1:4" x14ac:dyDescent="0.2">
      <c r="A1247" s="5">
        <v>1186</v>
      </c>
      <c r="B1247" s="1832">
        <f>'Expenditures 15-22'!F127</f>
        <v>301830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301830</v>
      </c>
      <c r="C1249" s="2" t="s">
        <v>569</v>
      </c>
      <c r="D1249" s="2" t="str">
        <f t="shared" si="18"/>
        <v>Error?</v>
      </c>
    </row>
    <row r="1250" spans="1:4" x14ac:dyDescent="0.2">
      <c r="A1250" s="5">
        <v>1189</v>
      </c>
      <c r="B1250" s="1832">
        <f>'Expenditures 15-22'!F151</f>
        <v>301830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150514</v>
      </c>
      <c r="D1252" s="2" t="str">
        <f t="shared" si="18"/>
        <v>Error?</v>
      </c>
    </row>
    <row r="1253" spans="1:4" x14ac:dyDescent="0.2">
      <c r="A1253" s="5">
        <v>1192</v>
      </c>
      <c r="B1253" s="1832">
        <f>'Expenditures 15-22'!G124</f>
        <v>43590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194104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194104</v>
      </c>
      <c r="C1258" s="2" t="s">
        <v>569</v>
      </c>
      <c r="D1258" s="2" t="str">
        <f t="shared" si="18"/>
        <v>Error?</v>
      </c>
    </row>
    <row r="1259" spans="1:4" x14ac:dyDescent="0.2">
      <c r="A1259" s="5">
        <v>1198</v>
      </c>
      <c r="B1259" s="1832">
        <f>'Expenditures 15-22'!G151</f>
        <v>194104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204486</v>
      </c>
      <c r="C1275" s="2" t="s">
        <v>569</v>
      </c>
      <c r="D1275" s="2" t="str">
        <f t="shared" si="18"/>
        <v>Error?</v>
      </c>
    </row>
    <row r="1276" spans="1:4" x14ac:dyDescent="0.2">
      <c r="A1276" s="5">
        <v>1215</v>
      </c>
      <c r="B1276" s="1832">
        <f>'Expenditures 15-22'!K124</f>
        <v>1147139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1351625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1351625</v>
      </c>
      <c r="C1281" s="2" t="s">
        <v>569</v>
      </c>
      <c r="D1281" s="2" t="str">
        <f t="shared" si="19"/>
        <v>Error?</v>
      </c>
    </row>
    <row r="1282" spans="1:4" x14ac:dyDescent="0.2">
      <c r="A1282" s="5">
        <v>1221</v>
      </c>
      <c r="B1282" s="1832">
        <f>'Expenditures 15-22'!K139</f>
        <v>139448</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1491073</v>
      </c>
      <c r="C1288" s="2" t="s">
        <v>569</v>
      </c>
      <c r="D1288" s="2" t="str">
        <f t="shared" si="19"/>
        <v>Error?</v>
      </c>
    </row>
    <row r="1289" spans="1:4" x14ac:dyDescent="0.2">
      <c r="A1289" s="5">
        <v>1228</v>
      </c>
      <c r="B1289" s="1832">
        <f>'Expenditures 15-22'!K152</f>
        <v>470788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169946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2110000</v>
      </c>
      <c r="D1315" s="2" t="str">
        <f t="shared" si="19"/>
        <v>Error?</v>
      </c>
    </row>
    <row r="1316" spans="1:4" x14ac:dyDescent="0.2">
      <c r="A1316" s="5">
        <v>1255</v>
      </c>
      <c r="B1316" s="1832">
        <f>'Expenditures 15-22'!H171</f>
        <v>6750</v>
      </c>
      <c r="D1316" s="2" t="str">
        <f t="shared" si="19"/>
        <v>Error?</v>
      </c>
    </row>
    <row r="1317" spans="1:4" x14ac:dyDescent="0.2">
      <c r="A1317" s="5">
        <v>1256</v>
      </c>
      <c r="B1317" s="1832">
        <f>'Expenditures 15-22'!H172</f>
        <v>2286696</v>
      </c>
      <c r="C1317" s="2" t="s">
        <v>569</v>
      </c>
      <c r="D1317" s="2" t="str">
        <f t="shared" si="19"/>
        <v>Error?</v>
      </c>
    </row>
    <row r="1318" spans="1:4" x14ac:dyDescent="0.2">
      <c r="A1318" s="5">
        <v>1257</v>
      </c>
      <c r="B1318" s="1832">
        <f>'Expenditures 15-22'!H174</f>
        <v>2286696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169946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2110000</v>
      </c>
      <c r="C1329" s="2" t="s">
        <v>569</v>
      </c>
      <c r="D1329" s="2" t="str">
        <f t="shared" si="19"/>
        <v>Error?</v>
      </c>
    </row>
    <row r="1330" spans="1:4" x14ac:dyDescent="0.2">
      <c r="A1330" s="5">
        <v>1269</v>
      </c>
      <c r="B1330" s="1832">
        <f>'Expenditures 15-22'!K171</f>
        <v>6750</v>
      </c>
      <c r="C1330" s="2" t="s">
        <v>569</v>
      </c>
      <c r="D1330" s="2" t="str">
        <f t="shared" si="19"/>
        <v>Error?</v>
      </c>
    </row>
    <row r="1331" spans="1:4" x14ac:dyDescent="0.2">
      <c r="A1331" s="5">
        <v>1270</v>
      </c>
      <c r="B1331" s="1832">
        <f>'Expenditures 15-22'!K172</f>
        <v>2286696</v>
      </c>
      <c r="C1331" s="2" t="s">
        <v>569</v>
      </c>
      <c r="D1331" s="2" t="str">
        <f t="shared" si="19"/>
        <v>Error?</v>
      </c>
    </row>
    <row r="1332" spans="1:4" x14ac:dyDescent="0.2">
      <c r="A1332" s="5">
        <v>1271</v>
      </c>
      <c r="B1332" s="1832">
        <f>'Expenditures 15-22'!K174</f>
        <v>2286696</v>
      </c>
      <c r="C1332" s="2" t="s">
        <v>569</v>
      </c>
      <c r="D1332" s="2" t="str">
        <f t="shared" si="19"/>
        <v>Error?</v>
      </c>
    </row>
    <row r="1333" spans="1:4" x14ac:dyDescent="0.2">
      <c r="A1333" s="5">
        <v>1272</v>
      </c>
      <c r="B1333" s="1832">
        <f>'Expenditures 15-22'!K175</f>
        <v>28574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1969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1969</v>
      </c>
      <c r="C1339" s="2" t="s">
        <v>569</v>
      </c>
      <c r="D1339" s="2" t="str">
        <f t="shared" si="19"/>
        <v>Error?</v>
      </c>
    </row>
    <row r="1340" spans="1:4" x14ac:dyDescent="0.2">
      <c r="A1340" s="5">
        <v>1279</v>
      </c>
      <c r="B1340" s="1832">
        <f>'Expenditures 15-22'!C210</f>
        <v>1969</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7400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7400</v>
      </c>
      <c r="C1351" s="2" t="s">
        <v>569</v>
      </c>
      <c r="D1351" s="2" t="str">
        <f t="shared" si="20"/>
        <v>Error?</v>
      </c>
    </row>
    <row r="1352" spans="1:4" x14ac:dyDescent="0.2">
      <c r="A1352" s="5">
        <v>1291</v>
      </c>
      <c r="B1352" s="1832">
        <f>'Expenditures 15-22'!E196</f>
        <v>665464</v>
      </c>
      <c r="C1352" s="2" t="s">
        <v>569</v>
      </c>
      <c r="D1352" s="2" t="str">
        <f t="shared" si="20"/>
        <v>Error?</v>
      </c>
    </row>
    <row r="1353" spans="1:4" x14ac:dyDescent="0.2">
      <c r="A1353" s="5">
        <v>1292</v>
      </c>
      <c r="B1353" s="1832">
        <f>'Expenditures 15-22'!E210</f>
        <v>672864</v>
      </c>
      <c r="C1353" s="2" t="s">
        <v>569</v>
      </c>
      <c r="D1353" s="2" t="str">
        <f t="shared" si="20"/>
        <v>Error?</v>
      </c>
    </row>
    <row r="1354" spans="1:4" x14ac:dyDescent="0.2">
      <c r="A1354" s="5">
        <v>1293</v>
      </c>
      <c r="B1354" s="1832">
        <f>'Expenditures 15-22'!F182</f>
        <v>6960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6960</v>
      </c>
      <c r="C1358" s="2" t="s">
        <v>569</v>
      </c>
      <c r="D1358" s="2" t="str">
        <f t="shared" si="20"/>
        <v>Error?</v>
      </c>
    </row>
    <row r="1359" spans="1:4" x14ac:dyDescent="0.2">
      <c r="A1359" s="5">
        <v>1298</v>
      </c>
      <c r="B1359" s="1832">
        <f>'Expenditures 15-22'!F210</f>
        <v>6960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16329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16329</v>
      </c>
      <c r="C1381" s="2" t="s">
        <v>569</v>
      </c>
      <c r="D1381" s="2" t="str">
        <f t="shared" si="20"/>
        <v>Error?</v>
      </c>
    </row>
    <row r="1382" spans="1:4" x14ac:dyDescent="0.2">
      <c r="A1382" s="5">
        <v>1321</v>
      </c>
      <c r="B1382" s="1832">
        <f>'Expenditures 15-22'!K196</f>
        <v>665464</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681793</v>
      </c>
      <c r="C1388" s="2" t="s">
        <v>569</v>
      </c>
      <c r="D1388" s="2" t="str">
        <f t="shared" si="20"/>
        <v>Error?</v>
      </c>
    </row>
    <row r="1389" spans="1:4" x14ac:dyDescent="0.2">
      <c r="A1389" s="5">
        <v>1328</v>
      </c>
      <c r="B1389" s="1832">
        <f>'Expenditures 15-22'!K211</f>
        <v>149271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18915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102139</v>
      </c>
      <c r="C1410" s="2" t="s">
        <v>569</v>
      </c>
      <c r="D1410" s="2" t="str">
        <f t="shared" si="21"/>
        <v>Error?</v>
      </c>
    </row>
    <row r="1411" spans="1:4" x14ac:dyDescent="0.2">
      <c r="A1411" s="5">
        <v>1350</v>
      </c>
      <c r="B1411" s="1832">
        <f>'Expenditures 15-22'!D232</f>
        <v>563</v>
      </c>
      <c r="D1411" s="2" t="str">
        <f t="shared" si="21"/>
        <v>Error?</v>
      </c>
    </row>
    <row r="1412" spans="1:4" x14ac:dyDescent="0.2">
      <c r="A1412" s="5">
        <v>1351</v>
      </c>
      <c r="B1412" s="1832">
        <f>'Expenditures 15-22'!D233</f>
        <v>18170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1285</v>
      </c>
      <c r="D1416" s="2" t="str">
        <f t="shared" si="21"/>
        <v>Error?</v>
      </c>
    </row>
    <row r="1417" spans="1:4" x14ac:dyDescent="0.2">
      <c r="A1417" s="5">
        <v>1356</v>
      </c>
      <c r="B1417" s="1832">
        <f>'Expenditures 15-22'!D238</f>
        <v>20018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30751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30751</v>
      </c>
      <c r="C1421" s="2" t="s">
        <v>569</v>
      </c>
      <c r="D1421" s="2" t="str">
        <f t="shared" si="21"/>
        <v>Error?</v>
      </c>
    </row>
    <row r="1422" spans="1:4" x14ac:dyDescent="0.2">
      <c r="A1422" s="5">
        <v>1361</v>
      </c>
      <c r="B1422" s="1832">
        <f>'Expenditures 15-22'!D245</f>
        <v>18367</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20148</v>
      </c>
      <c r="C1424" s="2" t="s">
        <v>569</v>
      </c>
      <c r="D1424" s="2" t="str">
        <f t="shared" si="21"/>
        <v>Error?</v>
      </c>
    </row>
    <row r="1425" spans="1:4" x14ac:dyDescent="0.2">
      <c r="A1425" s="5">
        <v>1364</v>
      </c>
      <c r="B1425" s="1832">
        <f>'Expenditures 15-22'!D259</f>
        <v>15490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15490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11913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93916</v>
      </c>
      <c r="D1431" s="2" t="str">
        <f t="shared" si="21"/>
        <v>Error?</v>
      </c>
    </row>
    <row r="1432" spans="1:4" x14ac:dyDescent="0.2">
      <c r="A1432" s="5">
        <v>1371</v>
      </c>
      <c r="B1432" s="1832">
        <f>'Expenditures 15-22'!D267</f>
        <v>170</v>
      </c>
      <c r="D1432" s="2" t="str">
        <f t="shared" si="21"/>
        <v>Error?</v>
      </c>
    </row>
    <row r="1433" spans="1:4" x14ac:dyDescent="0.2">
      <c r="A1433" s="5">
        <v>1372</v>
      </c>
      <c r="B1433" s="1832">
        <f>'Expenditures 15-22'!D268</f>
        <v>1312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107311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193718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295857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18915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102139</v>
      </c>
      <c r="C1474" s="2" t="s">
        <v>569</v>
      </c>
      <c r="D1474" s="2" t="str">
        <f t="shared" si="22"/>
        <v>Error?</v>
      </c>
    </row>
    <row r="1475" spans="1:4" x14ac:dyDescent="0.2">
      <c r="A1475" s="5">
        <v>1414</v>
      </c>
      <c r="B1475" s="1832">
        <f>'Expenditures 15-22'!K232</f>
        <v>563</v>
      </c>
      <c r="C1475" s="2" t="s">
        <v>569</v>
      </c>
      <c r="D1475" s="2" t="str">
        <f t="shared" si="22"/>
        <v>Error?</v>
      </c>
    </row>
    <row r="1476" spans="1:4" x14ac:dyDescent="0.2">
      <c r="A1476" s="5">
        <v>1415</v>
      </c>
      <c r="B1476" s="1832">
        <f>'Expenditures 15-22'!K233</f>
        <v>18170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1285</v>
      </c>
      <c r="C1480" s="2" t="s">
        <v>569</v>
      </c>
      <c r="D1480" s="2" t="str">
        <f t="shared" si="22"/>
        <v>Error?</v>
      </c>
    </row>
    <row r="1481" spans="1:4" x14ac:dyDescent="0.2">
      <c r="A1481" s="5">
        <v>1420</v>
      </c>
      <c r="B1481" s="1832">
        <f>'Expenditures 15-22'!K238</f>
        <v>20018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30751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30751</v>
      </c>
      <c r="C1485" s="2" t="s">
        <v>569</v>
      </c>
      <c r="D1485" s="2" t="str">
        <f t="shared" si="22"/>
        <v>Error?</v>
      </c>
    </row>
    <row r="1486" spans="1:4" x14ac:dyDescent="0.2">
      <c r="A1486" s="5">
        <v>1425</v>
      </c>
      <c r="B1486" s="1832">
        <f>'Expenditures 15-22'!K245</f>
        <v>18367</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20148</v>
      </c>
      <c r="C1488" s="2" t="s">
        <v>569</v>
      </c>
      <c r="D1488" s="2" t="str">
        <f t="shared" si="22"/>
        <v>Error?</v>
      </c>
    </row>
    <row r="1489" spans="1:4" x14ac:dyDescent="0.2">
      <c r="A1489" s="5">
        <v>1428</v>
      </c>
      <c r="B1489" s="1832">
        <f>'Expenditures 15-22'!K259</f>
        <v>15490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15490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11913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93916</v>
      </c>
      <c r="C1495" s="2" t="s">
        <v>569</v>
      </c>
      <c r="D1495" s="2" t="str">
        <f t="shared" si="22"/>
        <v>Error?</v>
      </c>
    </row>
    <row r="1496" spans="1:4" x14ac:dyDescent="0.2">
      <c r="A1496" s="5">
        <v>1435</v>
      </c>
      <c r="B1496" s="1832">
        <f>'Expenditures 15-22'!K267</f>
        <v>170</v>
      </c>
      <c r="C1496" s="2" t="s">
        <v>569</v>
      </c>
      <c r="D1496" s="2" t="str">
        <f t="shared" si="22"/>
        <v>Error?</v>
      </c>
    </row>
    <row r="1497" spans="1:4" x14ac:dyDescent="0.2">
      <c r="A1497" s="5">
        <v>1436</v>
      </c>
      <c r="B1497" s="1832">
        <f>'Expenditures 15-22'!K268</f>
        <v>1312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107311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193718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295857</v>
      </c>
      <c r="C1517" s="2" t="s">
        <v>569</v>
      </c>
      <c r="D1517" s="2" t="str">
        <f t="shared" si="22"/>
        <v>Error?</v>
      </c>
    </row>
    <row r="1518" spans="1:4" x14ac:dyDescent="0.2">
      <c r="A1518" s="5">
        <v>1457</v>
      </c>
      <c r="B1518" s="1832">
        <f>'Expenditures 15-22'!K296</f>
        <v>-94541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473925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473925</v>
      </c>
      <c r="C1547" s="2" t="s">
        <v>569</v>
      </c>
      <c r="D1547" s="2" t="str">
        <f t="shared" si="23"/>
        <v>Error?</v>
      </c>
    </row>
    <row r="1548" spans="1:4" x14ac:dyDescent="0.2">
      <c r="A1548" s="5">
        <v>1487</v>
      </c>
      <c r="B1548" s="1832">
        <f>'Expenditures 15-22'!G312</f>
        <v>473925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76545</v>
      </c>
      <c r="D1552" s="2" t="str">
        <f t="shared" si="23"/>
        <v>Error?</v>
      </c>
    </row>
    <row r="1553" spans="1:4" x14ac:dyDescent="0.2">
      <c r="A1553" s="5">
        <v>1492</v>
      </c>
      <c r="B1553" s="1832">
        <f>'Expenditures 15-22'!H303</f>
        <v>76545</v>
      </c>
      <c r="C1553" s="2" t="s">
        <v>569</v>
      </c>
      <c r="D1553" s="2" t="str">
        <f t="shared" si="23"/>
        <v>Error?</v>
      </c>
    </row>
    <row r="1554" spans="1:4" x14ac:dyDescent="0.2">
      <c r="A1554" s="5">
        <v>1493</v>
      </c>
      <c r="B1554" s="1832">
        <f>'Expenditures 15-22'!H312</f>
        <v>76545</v>
      </c>
      <c r="C1554" s="2" t="s">
        <v>569</v>
      </c>
      <c r="D1554" s="2" t="str">
        <f t="shared" si="23"/>
        <v>Error?</v>
      </c>
    </row>
    <row r="1555" spans="1:4" x14ac:dyDescent="0.2">
      <c r="A1555" s="5">
        <v>1494</v>
      </c>
      <c r="B1555" s="1832">
        <f>'Expenditures 15-22'!K301</f>
        <v>473925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76545</v>
      </c>
      <c r="C1558" s="2" t="s">
        <v>569</v>
      </c>
      <c r="D1558" s="2" t="str">
        <f t="shared" si="23"/>
        <v>Error?</v>
      </c>
    </row>
    <row r="1559" spans="1:4" x14ac:dyDescent="0.2">
      <c r="A1559" s="5">
        <v>1498</v>
      </c>
      <c r="B1559" s="1832">
        <f>'Expenditures 15-22'!K303</f>
        <v>550470</v>
      </c>
      <c r="C1559" s="2" t="s">
        <v>569</v>
      </c>
      <c r="D1559" s="2" t="str">
        <f t="shared" si="23"/>
        <v>Error?</v>
      </c>
    </row>
    <row r="1560" spans="1:4" x14ac:dyDescent="0.2">
      <c r="A1560" s="5">
        <v>1499</v>
      </c>
      <c r="B1560" s="1832">
        <f>'Expenditures 15-22'!K312</f>
        <v>550470</v>
      </c>
      <c r="C1560" s="2" t="s">
        <v>569</v>
      </c>
      <c r="D1560" s="2" t="str">
        <f t="shared" si="23"/>
        <v>Error?</v>
      </c>
    </row>
    <row r="1561" spans="1:4" x14ac:dyDescent="0.2">
      <c r="A1561" s="5">
        <v>1500</v>
      </c>
      <c r="B1561" s="1832">
        <f>'Expenditures 15-22'!K313</f>
        <v>-498156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1851008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2522062</v>
      </c>
      <c r="C1630" s="2" t="s">
        <v>569</v>
      </c>
      <c r="D1630" s="2" t="str">
        <f t="shared" si="24"/>
        <v>Error?</v>
      </c>
    </row>
    <row r="1631" spans="1:4" x14ac:dyDescent="0.2">
      <c r="A1631" s="5">
        <v>1570</v>
      </c>
      <c r="B1631" s="1832">
        <f>'Acct Summary 7-8'!D79</f>
        <v>266027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736815</v>
      </c>
      <c r="C1644" s="2" t="s">
        <v>569</v>
      </c>
      <c r="D1644" s="2" t="str">
        <f t="shared" si="24"/>
        <v>Error?</v>
      </c>
    </row>
    <row r="1645" spans="1:4" x14ac:dyDescent="0.2">
      <c r="A1645" s="5">
        <v>1584</v>
      </c>
      <c r="B1645" s="1832">
        <f>'Acct Summary 7-8'!E79</f>
        <v>608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29182</v>
      </c>
      <c r="C1658" s="2" t="s">
        <v>569</v>
      </c>
      <c r="D1658" s="2" t="str">
        <f t="shared" si="24"/>
        <v>Error?</v>
      </c>
    </row>
    <row r="1659" spans="1:4" x14ac:dyDescent="0.2">
      <c r="A1659" s="5">
        <v>1598</v>
      </c>
      <c r="B1659" s="1832">
        <f>'Acct Summary 7-8'!F79</f>
        <v>112137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261408</v>
      </c>
      <c r="C1672" s="2" t="s">
        <v>569</v>
      </c>
      <c r="D1672" s="2" t="str">
        <f t="shared" si="25"/>
        <v>Error?</v>
      </c>
    </row>
    <row r="1673" spans="1:4" x14ac:dyDescent="0.2">
      <c r="A1673" s="5">
        <v>1612</v>
      </c>
      <c r="B1673" s="1832">
        <f>'Acct Summary 7-8'!G79</f>
        <v>320501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225960</v>
      </c>
      <c r="C1686" s="2" t="s">
        <v>569</v>
      </c>
      <c r="D1686" s="2" t="str">
        <f t="shared" si="25"/>
        <v>Error?</v>
      </c>
    </row>
    <row r="1687" spans="1:4" x14ac:dyDescent="0.2">
      <c r="A1687" s="5">
        <v>1626</v>
      </c>
      <c r="B1687" s="1832">
        <f>'Acct Summary 7-8'!H79</f>
        <v>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1228390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4235605</v>
      </c>
      <c r="C1744" s="2" t="s">
        <v>569</v>
      </c>
      <c r="D1744" s="2" t="str">
        <f t="shared" si="26"/>
        <v>Error?</v>
      </c>
    </row>
    <row r="1745" spans="1:5" x14ac:dyDescent="0.2">
      <c r="A1745" s="5">
        <v>1684</v>
      </c>
      <c r="B1745" s="1832">
        <f>'Tax Sched 23'!B5</f>
        <v>1150856</v>
      </c>
      <c r="C1745" s="2" t="s">
        <v>569</v>
      </c>
      <c r="D1745" s="2" t="str">
        <f t="shared" si="26"/>
        <v>Error?</v>
      </c>
    </row>
    <row r="1746" spans="1:5" x14ac:dyDescent="0.2">
      <c r="A1746" s="5">
        <v>1685</v>
      </c>
      <c r="B1746" s="1832">
        <f>'Tax Sched 23'!B6</f>
        <v>1890270</v>
      </c>
      <c r="C1746" s="2" t="s">
        <v>569</v>
      </c>
      <c r="D1746" s="2" t="str">
        <f t="shared" si="26"/>
        <v>Error?</v>
      </c>
    </row>
    <row r="1747" spans="1:5" x14ac:dyDescent="0.2">
      <c r="A1747" s="5">
        <v>1686</v>
      </c>
      <c r="B1747" s="1832">
        <f>'Tax Sched 23'!B7</f>
        <v>552238</v>
      </c>
      <c r="C1747" s="2" t="s">
        <v>569</v>
      </c>
      <c r="D1747" s="2" t="str">
        <f t="shared" si="26"/>
        <v>Error?</v>
      </c>
    </row>
    <row r="1748" spans="1:5" x14ac:dyDescent="0.2">
      <c r="A1748" s="5">
        <v>1687</v>
      </c>
      <c r="B1748" s="1832">
        <f>'Tax Sched 23'!B8</f>
        <v>100658</v>
      </c>
      <c r="C1748" s="2" t="s">
        <v>569</v>
      </c>
      <c r="D1748" s="2" t="str">
        <f t="shared" si="26"/>
        <v>Error?</v>
      </c>
    </row>
    <row r="1749" spans="1:5" x14ac:dyDescent="0.2">
      <c r="A1749" s="5">
        <v>1688</v>
      </c>
      <c r="B1749" s="1832">
        <f>'Tax Sched 23'!B10</f>
        <v>230122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340369</v>
      </c>
      <c r="C1752" s="2" t="s">
        <v>569</v>
      </c>
      <c r="D1752" s="2" t="str">
        <f t="shared" si="26"/>
        <v>Error?</v>
      </c>
    </row>
    <row r="1753" spans="1:5" x14ac:dyDescent="0.2">
      <c r="A1753" s="5">
        <v>1692</v>
      </c>
      <c r="B1753" s="1832">
        <f>'Tax Sched 23'!B12</f>
        <v>230126</v>
      </c>
      <c r="C1753" s="2" t="s">
        <v>569</v>
      </c>
      <c r="D1753" s="2" t="str">
        <f t="shared" si="26"/>
        <v>Error?</v>
      </c>
    </row>
    <row r="1754" spans="1:5" x14ac:dyDescent="0.2">
      <c r="A1754" s="5">
        <v>1693</v>
      </c>
      <c r="B1754" s="1832">
        <f>'Tax Sched 23'!B14</f>
        <v>92040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9085916</v>
      </c>
      <c r="C1759" s="2" t="s">
        <v>569</v>
      </c>
      <c r="D1759" s="2" t="str">
        <f t="shared" si="26"/>
        <v>Error?</v>
      </c>
    </row>
    <row r="1760" spans="1:5" x14ac:dyDescent="0.2">
      <c r="A1760" s="5">
        <v>1699</v>
      </c>
      <c r="B1760" s="1832">
        <f>'Tax Sched 23'!D4</f>
        <v>4234199</v>
      </c>
      <c r="C1760" s="2" t="s">
        <v>569</v>
      </c>
      <c r="D1760" s="2" t="str">
        <f t="shared" si="26"/>
        <v>Error?</v>
      </c>
    </row>
    <row r="1761" spans="1:7" x14ac:dyDescent="0.2">
      <c r="A1761" s="5">
        <v>1700</v>
      </c>
      <c r="B1761" s="1832">
        <f>'Tax Sched 23'!D5</f>
        <v>1150474</v>
      </c>
      <c r="C1761" s="2" t="s">
        <v>569</v>
      </c>
      <c r="D1761" s="2" t="str">
        <f t="shared" si="26"/>
        <v>Error?</v>
      </c>
    </row>
    <row r="1762" spans="1:7" s="8" customFormat="1" x14ac:dyDescent="0.2">
      <c r="A1762" s="5">
        <v>1701</v>
      </c>
      <c r="B1762" s="1832">
        <f>'Tax Sched 23'!D6</f>
        <v>1889636</v>
      </c>
      <c r="C1762" s="2" t="s">
        <v>569</v>
      </c>
      <c r="D1762" s="2" t="str">
        <f t="shared" si="26"/>
        <v>Error?</v>
      </c>
      <c r="E1762" s="9"/>
      <c r="G1762"/>
    </row>
    <row r="1763" spans="1:7" x14ac:dyDescent="0.2">
      <c r="A1763" s="5">
        <v>1702</v>
      </c>
      <c r="B1763" s="1832">
        <f>'Tax Sched 23'!D7</f>
        <v>552055</v>
      </c>
      <c r="C1763" s="2" t="s">
        <v>569</v>
      </c>
      <c r="D1763" s="2" t="str">
        <f t="shared" si="26"/>
        <v>Error?</v>
      </c>
    </row>
    <row r="1764" spans="1:7" x14ac:dyDescent="0.2">
      <c r="A1764" s="5">
        <v>1703</v>
      </c>
      <c r="B1764" s="1832">
        <f>'Tax Sched 23'!D8</f>
        <v>100613</v>
      </c>
      <c r="C1764" s="2" t="s">
        <v>569</v>
      </c>
      <c r="D1764" s="2" t="str">
        <f t="shared" si="26"/>
        <v>Error?</v>
      </c>
    </row>
    <row r="1765" spans="1:7" x14ac:dyDescent="0.2">
      <c r="A1765" s="5">
        <v>1704</v>
      </c>
      <c r="B1765" s="1832">
        <f>'Tax Sched 23'!D10</f>
        <v>230045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340256</v>
      </c>
      <c r="C1768" s="2" t="s">
        <v>569</v>
      </c>
      <c r="D1768" s="2" t="str">
        <f t="shared" si="26"/>
        <v>Error?</v>
      </c>
    </row>
    <row r="1769" spans="1:7" x14ac:dyDescent="0.2">
      <c r="A1769" s="5">
        <v>1708</v>
      </c>
      <c r="B1769" s="1832">
        <f>'Tax Sched 23'!D12</f>
        <v>230056</v>
      </c>
      <c r="C1769" s="2" t="s">
        <v>569</v>
      </c>
      <c r="D1769" s="2" t="str">
        <f t="shared" si="26"/>
        <v>Error?</v>
      </c>
    </row>
    <row r="1770" spans="1:7" x14ac:dyDescent="0.2">
      <c r="A1770" s="5">
        <v>1709</v>
      </c>
      <c r="B1770" s="1832">
        <f>'Tax Sched 23'!D14</f>
        <v>92009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9082873</v>
      </c>
      <c r="C1775" s="2" t="s">
        <v>569</v>
      </c>
      <c r="D1775" s="2" t="str">
        <f t="shared" si="26"/>
        <v>Error?</v>
      </c>
    </row>
    <row r="1776" spans="1:7" x14ac:dyDescent="0.2">
      <c r="A1776" s="5">
        <v>1715</v>
      </c>
      <c r="B1776" s="1832">
        <f>'Tax Sched 23'!C4</f>
        <v>1406</v>
      </c>
      <c r="D1776" s="2" t="str">
        <f t="shared" si="26"/>
        <v>Error?</v>
      </c>
    </row>
    <row r="1777" spans="1:4" x14ac:dyDescent="0.2">
      <c r="A1777" s="5">
        <v>1716</v>
      </c>
      <c r="B1777" s="1832">
        <f>'Tax Sched 23'!C5</f>
        <v>382</v>
      </c>
      <c r="D1777" s="2" t="str">
        <f t="shared" si="26"/>
        <v>Error?</v>
      </c>
    </row>
    <row r="1778" spans="1:4" x14ac:dyDescent="0.2">
      <c r="A1778" s="5">
        <v>1717</v>
      </c>
      <c r="B1778" s="1832">
        <f>'Tax Sched 23'!C6</f>
        <v>634</v>
      </c>
      <c r="D1778" s="2" t="str">
        <f t="shared" si="26"/>
        <v>Error?</v>
      </c>
    </row>
    <row r="1779" spans="1:4" x14ac:dyDescent="0.2">
      <c r="A1779" s="5">
        <v>1718</v>
      </c>
      <c r="B1779" s="1832">
        <f>'Tax Sched 23'!C7</f>
        <v>183</v>
      </c>
      <c r="D1779" s="2" t="str">
        <f t="shared" si="26"/>
        <v>Error?</v>
      </c>
    </row>
    <row r="1780" spans="1:4" x14ac:dyDescent="0.2">
      <c r="A1780" s="5">
        <v>1719</v>
      </c>
      <c r="B1780" s="1832">
        <f>'Tax Sched 23'!C8</f>
        <v>45</v>
      </c>
      <c r="D1780" s="2" t="str">
        <f t="shared" si="26"/>
        <v>Error?</v>
      </c>
    </row>
    <row r="1781" spans="1:4" x14ac:dyDescent="0.2">
      <c r="A1781" s="5">
        <v>1720</v>
      </c>
      <c r="B1781" s="1832">
        <f>'Tax Sched 23'!C10</f>
        <v>77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113</v>
      </c>
      <c r="D1784" s="2" t="str">
        <f t="shared" si="26"/>
        <v>Error?</v>
      </c>
    </row>
    <row r="1785" spans="1:4" x14ac:dyDescent="0.2">
      <c r="A1785" s="5">
        <v>1724</v>
      </c>
      <c r="B1785" s="1832">
        <f>'Tax Sched 23'!C12</f>
        <v>70</v>
      </c>
      <c r="D1785" s="2" t="str">
        <f t="shared" si="26"/>
        <v>Error?</v>
      </c>
    </row>
    <row r="1786" spans="1:4" x14ac:dyDescent="0.2">
      <c r="A1786" s="5">
        <v>1725</v>
      </c>
      <c r="B1786" s="1832">
        <f>'Tax Sched 23'!C14</f>
        <v>31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3043</v>
      </c>
      <c r="C1791" s="2" t="s">
        <v>569</v>
      </c>
      <c r="D1791" s="2" t="str">
        <f t="shared" ref="D1791:D1854" si="27">IF(ISBLANK(B1791),"OK",IF(A1791-B1791=0,"OK","Error?"))</f>
        <v>Error?</v>
      </c>
    </row>
    <row r="1792" spans="1:4" x14ac:dyDescent="0.2">
      <c r="A1792" s="5">
        <v>1731</v>
      </c>
      <c r="B1792" s="1832">
        <f>'Tax Sched 23'!F4</f>
        <v>4598963</v>
      </c>
      <c r="C1792" s="2" t="s">
        <v>569</v>
      </c>
      <c r="D1792" s="2" t="str">
        <f t="shared" si="27"/>
        <v>Error?</v>
      </c>
    </row>
    <row r="1793" spans="1:4" x14ac:dyDescent="0.2">
      <c r="A1793" s="5">
        <v>1732</v>
      </c>
      <c r="B1793" s="1832">
        <f>'Tax Sched 23'!F5</f>
        <v>1249742</v>
      </c>
      <c r="C1793" s="2" t="s">
        <v>569</v>
      </c>
      <c r="D1793" s="2" t="str">
        <f t="shared" si="27"/>
        <v>Error?</v>
      </c>
    </row>
    <row r="1794" spans="1:4" x14ac:dyDescent="0.2">
      <c r="A1794" s="5">
        <v>1733</v>
      </c>
      <c r="B1794" s="1832">
        <f>'Tax Sched 23'!F6</f>
        <v>1993799</v>
      </c>
      <c r="C1794" s="2" t="s">
        <v>569</v>
      </c>
      <c r="D1794" s="2" t="str">
        <f t="shared" si="27"/>
        <v>Error?</v>
      </c>
    </row>
    <row r="1795" spans="1:4" x14ac:dyDescent="0.2">
      <c r="A1795" s="5">
        <v>1734</v>
      </c>
      <c r="B1795" s="1832">
        <f>'Tax Sched 23'!F7</f>
        <v>599876</v>
      </c>
      <c r="C1795" s="2" t="s">
        <v>569</v>
      </c>
      <c r="D1795" s="2" t="str">
        <f t="shared" si="27"/>
        <v>Error?</v>
      </c>
    </row>
    <row r="1796" spans="1:4" x14ac:dyDescent="0.2">
      <c r="A1796" s="5">
        <v>1735</v>
      </c>
      <c r="B1796" s="1832">
        <f>'Tax Sched 23'!F8</f>
        <v>139972</v>
      </c>
      <c r="C1796" s="2" t="s">
        <v>569</v>
      </c>
      <c r="D1796" s="2" t="str">
        <f t="shared" si="27"/>
        <v>Error?</v>
      </c>
    </row>
    <row r="1797" spans="1:4" x14ac:dyDescent="0.2">
      <c r="A1797" s="5">
        <v>1736</v>
      </c>
      <c r="B1797" s="1832">
        <f>'Tax Sched 23'!F10</f>
        <v>249948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354878</v>
      </c>
      <c r="C1800" s="2" t="s">
        <v>569</v>
      </c>
      <c r="D1800" s="2" t="str">
        <f t="shared" si="27"/>
        <v>Error?</v>
      </c>
    </row>
    <row r="1801" spans="1:4" x14ac:dyDescent="0.2">
      <c r="A1801" s="5">
        <v>1740</v>
      </c>
      <c r="B1801" s="1832">
        <f>'Tax Sched 23'!F12</f>
        <v>219956</v>
      </c>
      <c r="C1801" s="2" t="s">
        <v>569</v>
      </c>
      <c r="D1801" s="2" t="str">
        <f t="shared" si="27"/>
        <v>Error?</v>
      </c>
    </row>
    <row r="1802" spans="1:4" x14ac:dyDescent="0.2">
      <c r="A1802" s="5">
        <v>1741</v>
      </c>
      <c r="B1802" s="1832">
        <f>'Tax Sched 23'!F14</f>
        <v>99979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9827049</v>
      </c>
      <c r="C1807" s="2" t="s">
        <v>569</v>
      </c>
      <c r="D1807" s="2" t="str">
        <f t="shared" si="27"/>
        <v>Error?</v>
      </c>
    </row>
    <row r="1808" spans="1:4" x14ac:dyDescent="0.2">
      <c r="A1808" s="5">
        <v>1747</v>
      </c>
      <c r="B1808" s="1832">
        <f>'Tax Sched 23'!E4</f>
        <v>4600369</v>
      </c>
      <c r="D1808" s="2" t="str">
        <f t="shared" si="27"/>
        <v>Error?</v>
      </c>
    </row>
    <row r="1809" spans="1:4" x14ac:dyDescent="0.2">
      <c r="A1809" s="5">
        <v>1748</v>
      </c>
      <c r="B1809" s="1832">
        <f>'Tax Sched 23'!E5</f>
        <v>1250124</v>
      </c>
      <c r="D1809" s="2" t="str">
        <f t="shared" si="27"/>
        <v>Error?</v>
      </c>
    </row>
    <row r="1810" spans="1:4" x14ac:dyDescent="0.2">
      <c r="A1810" s="5">
        <v>1749</v>
      </c>
      <c r="B1810" s="1832">
        <f>'Tax Sched 23'!E6</f>
        <v>1994433</v>
      </c>
      <c r="D1810" s="2" t="str">
        <f t="shared" si="27"/>
        <v>Error?</v>
      </c>
    </row>
    <row r="1811" spans="1:4" x14ac:dyDescent="0.2">
      <c r="A1811" s="5">
        <v>1750</v>
      </c>
      <c r="B1811" s="1832">
        <f>'Tax Sched 23'!E7</f>
        <v>600059</v>
      </c>
      <c r="D1811" s="2" t="str">
        <f t="shared" si="27"/>
        <v>Error?</v>
      </c>
    </row>
    <row r="1812" spans="1:4" x14ac:dyDescent="0.2">
      <c r="A1812" s="5">
        <v>1751</v>
      </c>
      <c r="B1812" s="1832">
        <f>'Tax Sched 23'!E8</f>
        <v>140017</v>
      </c>
      <c r="D1812" s="2" t="str">
        <f t="shared" si="27"/>
        <v>Error?</v>
      </c>
    </row>
    <row r="1813" spans="1:4" x14ac:dyDescent="0.2">
      <c r="A1813" s="5">
        <v>1752</v>
      </c>
      <c r="B1813" s="1832">
        <f>'Tax Sched 23'!E10</f>
        <v>250025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354991</v>
      </c>
      <c r="D1816" s="2" t="str">
        <f t="shared" si="27"/>
        <v>Error?</v>
      </c>
    </row>
    <row r="1817" spans="1:4" x14ac:dyDescent="0.2">
      <c r="A1817" s="5">
        <v>1756</v>
      </c>
      <c r="B1817" s="1832">
        <f>'Tax Sched 23'!E12</f>
        <v>220026</v>
      </c>
      <c r="D1817" s="2" t="str">
        <f t="shared" si="27"/>
        <v>Error?</v>
      </c>
    </row>
    <row r="1818" spans="1:4" x14ac:dyDescent="0.2">
      <c r="A1818" s="5">
        <v>1757</v>
      </c>
      <c r="B1818" s="1832">
        <f>'Tax Sched 23'!E14</f>
        <v>100010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9830092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5455000</v>
      </c>
      <c r="C1939" s="2" t="s">
        <v>569</v>
      </c>
      <c r="D1939" s="2" t="str">
        <f t="shared" si="29"/>
        <v>Error?</v>
      </c>
    </row>
    <row r="1940" spans="1:5" x14ac:dyDescent="0.2">
      <c r="A1940" s="5">
        <v>1879</v>
      </c>
      <c r="B1940" s="1832">
        <f>'Short-Term Long-Term Debt 24'!F49</f>
        <v>3855000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92040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92040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92040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62042</v>
      </c>
      <c r="D2008" s="2" t="str">
        <f t="shared" si="30"/>
        <v>Error?</v>
      </c>
    </row>
    <row r="2009" spans="1:4" x14ac:dyDescent="0.2">
      <c r="A2009" s="5">
        <v>1948</v>
      </c>
      <c r="B2009" s="1832">
        <f>'Cap Outlay Deprec 26'!C8</f>
        <v>18978664</v>
      </c>
      <c r="D2009" s="2" t="str">
        <f t="shared" si="30"/>
        <v>Error?</v>
      </c>
    </row>
    <row r="2010" spans="1:4" x14ac:dyDescent="0.2">
      <c r="A2010" s="5">
        <v>1949</v>
      </c>
      <c r="B2010" s="1832">
        <f>'Cap Outlay Deprec 26'!C10</f>
        <v>1549263</v>
      </c>
      <c r="D2010" s="2" t="str">
        <f t="shared" si="30"/>
        <v>Error?</v>
      </c>
    </row>
    <row r="2011" spans="1:4" x14ac:dyDescent="0.2">
      <c r="A2011" s="5">
        <v>1950</v>
      </c>
      <c r="B2011" s="1832">
        <f>'Cap Outlay Deprec 26'!C12</f>
        <v>4901608</v>
      </c>
      <c r="D2011" s="2" t="str">
        <f t="shared" si="30"/>
        <v>Error?</v>
      </c>
    </row>
    <row r="2012" spans="1:4" x14ac:dyDescent="0.2">
      <c r="A2012" s="5">
        <v>1951</v>
      </c>
      <c r="B2012" s="1832">
        <f>'Cap Outlay Deprec 26'!C13</f>
        <v>546150</v>
      </c>
      <c r="D2012" s="2" t="str">
        <f t="shared" si="30"/>
        <v>Error?</v>
      </c>
    </row>
    <row r="2013" spans="1:4" x14ac:dyDescent="0.2">
      <c r="A2013" s="5">
        <v>1952</v>
      </c>
      <c r="B2013" s="1832">
        <f>'Cap Outlay Deprec 26'!C16</f>
        <v>26037727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235507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43470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756999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62042</v>
      </c>
      <c r="C2026" s="2" t="s">
        <v>569</v>
      </c>
      <c r="D2026" s="2" t="str">
        <f t="shared" si="30"/>
        <v>Error?</v>
      </c>
    </row>
    <row r="2027" spans="1:4" x14ac:dyDescent="0.2">
      <c r="A2027" s="5">
        <v>1966</v>
      </c>
      <c r="B2027" s="1832">
        <f>'Cap Outlay Deprec 26'!F8</f>
        <v>19214171</v>
      </c>
      <c r="C2027" s="2" t="s">
        <v>569</v>
      </c>
      <c r="D2027" s="2" t="str">
        <f t="shared" si="30"/>
        <v>Error?</v>
      </c>
    </row>
    <row r="2028" spans="1:4" x14ac:dyDescent="0.2">
      <c r="A2028" s="5">
        <v>1967</v>
      </c>
      <c r="B2028" s="1832">
        <f>'Cap Outlay Deprec 26'!F10</f>
        <v>1549263</v>
      </c>
      <c r="C2028" s="2" t="s">
        <v>569</v>
      </c>
      <c r="D2028" s="2" t="str">
        <f t="shared" si="30"/>
        <v>Error?</v>
      </c>
    </row>
    <row r="2029" spans="1:4" x14ac:dyDescent="0.2">
      <c r="A2029" s="5">
        <v>1968</v>
      </c>
      <c r="B2029" s="1832">
        <f>'Cap Outlay Deprec 26'!F12</f>
        <v>4945078</v>
      </c>
      <c r="C2029" s="2" t="s">
        <v>569</v>
      </c>
      <c r="D2029" s="2" t="str">
        <f t="shared" si="30"/>
        <v>Error?</v>
      </c>
    </row>
    <row r="2030" spans="1:4" x14ac:dyDescent="0.2">
      <c r="A2030" s="5">
        <v>1969</v>
      </c>
      <c r="B2030" s="1832">
        <f>'Cap Outlay Deprec 26'!F13</f>
        <v>546150</v>
      </c>
      <c r="C2030" s="2" t="s">
        <v>569</v>
      </c>
      <c r="D2030" s="2" t="str">
        <f t="shared" si="30"/>
        <v>Error?</v>
      </c>
    </row>
    <row r="2031" spans="1:4" x14ac:dyDescent="0.2">
      <c r="A2031" s="5">
        <v>1970</v>
      </c>
      <c r="B2031" s="1832">
        <f>'Cap Outlay Deprec 26'!F16</f>
        <v>26794726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11254344</v>
      </c>
      <c r="D2033" s="2" t="str">
        <f t="shared" si="30"/>
        <v>Error?</v>
      </c>
    </row>
    <row r="2034" spans="1:4" x14ac:dyDescent="0.2">
      <c r="A2034" s="5">
        <v>1973</v>
      </c>
      <c r="B2034" s="1832">
        <f>'Cap Outlay Deprec 26'!H10</f>
        <v>565248</v>
      </c>
      <c r="D2034" s="2" t="str">
        <f t="shared" si="30"/>
        <v>Error?</v>
      </c>
    </row>
    <row r="2035" spans="1:4" x14ac:dyDescent="0.2">
      <c r="A2035" s="5">
        <v>1974</v>
      </c>
      <c r="B2035" s="1832">
        <f>'Cap Outlay Deprec 26'!H12</f>
        <v>4722578</v>
      </c>
      <c r="D2035" s="2" t="str">
        <f t="shared" si="30"/>
        <v>Error?</v>
      </c>
    </row>
    <row r="2036" spans="1:4" x14ac:dyDescent="0.2">
      <c r="A2036" s="5">
        <v>1975</v>
      </c>
      <c r="B2036" s="1832">
        <f>'Cap Outlay Deprec 26'!H13</f>
        <v>511255</v>
      </c>
      <c r="D2036" s="2" t="str">
        <f t="shared" si="30"/>
        <v>Error?</v>
      </c>
    </row>
    <row r="2037" spans="1:4" x14ac:dyDescent="0.2">
      <c r="A2037" s="5">
        <v>1976</v>
      </c>
      <c r="B2037" s="1832">
        <f>'Cap Outlay Deprec 26'!H16</f>
        <v>17053425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458618</v>
      </c>
      <c r="D2039" s="2" t="str">
        <f t="shared" si="30"/>
        <v>Error?</v>
      </c>
    </row>
    <row r="2040" spans="1:4" x14ac:dyDescent="0.2">
      <c r="A2040" s="5">
        <v>1979</v>
      </c>
      <c r="B2040" s="1832">
        <f>'Cap Outlay Deprec 26'!I10</f>
        <v>65575</v>
      </c>
      <c r="D2040" s="2" t="str">
        <f t="shared" si="30"/>
        <v>Error?</v>
      </c>
    </row>
    <row r="2041" spans="1:4" x14ac:dyDescent="0.2">
      <c r="A2041" s="5">
        <v>1980</v>
      </c>
      <c r="B2041" s="1832">
        <f>'Cap Outlay Deprec 26'!I12</f>
        <v>82292</v>
      </c>
      <c r="D2041" s="2" t="str">
        <f t="shared" si="30"/>
        <v>Error?</v>
      </c>
    </row>
    <row r="2042" spans="1:4" x14ac:dyDescent="0.2">
      <c r="A2042" s="5">
        <v>1981</v>
      </c>
      <c r="B2042" s="1832">
        <f>'Cap Outlay Deprec 26'!I13</f>
        <v>12894</v>
      </c>
      <c r="D2042" s="2" t="str">
        <f t="shared" si="30"/>
        <v>Error?</v>
      </c>
    </row>
    <row r="2043" spans="1:4" x14ac:dyDescent="0.2">
      <c r="A2043" s="5">
        <v>1982</v>
      </c>
      <c r="B2043" s="1832">
        <f>'Cap Outlay Deprec 26'!I16</f>
        <v>619379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11712962</v>
      </c>
      <c r="C2051" s="2" t="s">
        <v>569</v>
      </c>
      <c r="D2051" s="2" t="str">
        <f t="shared" si="31"/>
        <v>Error?</v>
      </c>
    </row>
    <row r="2052" spans="1:4" x14ac:dyDescent="0.2">
      <c r="A2052" s="5">
        <v>1991</v>
      </c>
      <c r="B2052" s="1832">
        <f>'Cap Outlay Deprec 26'!K10</f>
        <v>630823</v>
      </c>
      <c r="C2052" s="2" t="s">
        <v>569</v>
      </c>
      <c r="D2052" s="2" t="str">
        <f t="shared" si="31"/>
        <v>Error?</v>
      </c>
    </row>
    <row r="2053" spans="1:4" x14ac:dyDescent="0.2">
      <c r="A2053" s="5">
        <v>1992</v>
      </c>
      <c r="B2053" s="1832">
        <f>'Cap Outlay Deprec 26'!K12</f>
        <v>4804870</v>
      </c>
      <c r="C2053" s="2" t="s">
        <v>569</v>
      </c>
      <c r="D2053" s="2" t="str">
        <f t="shared" si="31"/>
        <v>Error?</v>
      </c>
    </row>
    <row r="2054" spans="1:4" x14ac:dyDescent="0.2">
      <c r="A2054" s="5">
        <v>1993</v>
      </c>
      <c r="B2054" s="1832">
        <f>'Cap Outlay Deprec 26'!K13</f>
        <v>524149</v>
      </c>
      <c r="C2054" s="2" t="s">
        <v>569</v>
      </c>
      <c r="D2054" s="2" t="str">
        <f t="shared" si="31"/>
        <v>Error?</v>
      </c>
    </row>
    <row r="2055" spans="1:4" x14ac:dyDescent="0.2">
      <c r="A2055" s="5">
        <v>1994</v>
      </c>
      <c r="B2055" s="1832">
        <f>'Cap Outlay Deprec 26'!K16</f>
        <v>17672804</v>
      </c>
      <c r="C2055" s="2" t="s">
        <v>569</v>
      </c>
      <c r="D2055" s="2" t="str">
        <f t="shared" si="31"/>
        <v>Error?</v>
      </c>
    </row>
    <row r="2056" spans="1:4" x14ac:dyDescent="0.2">
      <c r="A2056" s="5">
        <v>1995</v>
      </c>
      <c r="B2056" s="1832">
        <f>'Cap Outlay Deprec 26'!L5</f>
        <v>62042</v>
      </c>
      <c r="C2056" s="2" t="s">
        <v>569</v>
      </c>
      <c r="D2056" s="2" t="str">
        <f t="shared" si="31"/>
        <v>Error?</v>
      </c>
    </row>
    <row r="2057" spans="1:4" x14ac:dyDescent="0.2">
      <c r="A2057" s="5">
        <v>1996</v>
      </c>
      <c r="B2057" s="1832">
        <f>'Cap Outlay Deprec 26'!L8</f>
        <v>7501209</v>
      </c>
      <c r="C2057" s="2" t="s">
        <v>569</v>
      </c>
      <c r="D2057" s="2" t="str">
        <f t="shared" si="31"/>
        <v>Error?</v>
      </c>
    </row>
    <row r="2058" spans="1:4" x14ac:dyDescent="0.2">
      <c r="A2058" s="5">
        <v>1997</v>
      </c>
      <c r="B2058" s="1832">
        <f>'Cap Outlay Deprec 26'!L10</f>
        <v>918440</v>
      </c>
      <c r="C2058" s="2" t="s">
        <v>569</v>
      </c>
      <c r="D2058" s="2" t="str">
        <f t="shared" si="31"/>
        <v>Error?</v>
      </c>
    </row>
    <row r="2059" spans="1:4" x14ac:dyDescent="0.2">
      <c r="A2059" s="5">
        <v>1998</v>
      </c>
      <c r="B2059" s="1832">
        <f>'Cap Outlay Deprec 26'!L12</f>
        <v>140208</v>
      </c>
      <c r="C2059" s="2" t="s">
        <v>569</v>
      </c>
      <c r="D2059" s="2" t="str">
        <f t="shared" si="31"/>
        <v>Error?</v>
      </c>
    </row>
    <row r="2060" spans="1:4" x14ac:dyDescent="0.2">
      <c r="A2060" s="5">
        <v>1999</v>
      </c>
      <c r="B2060" s="1832">
        <f>'Cap Outlay Deprec 26'!L13</f>
        <v>22001</v>
      </c>
      <c r="C2060" s="2" t="s">
        <v>569</v>
      </c>
      <c r="D2060" s="2" t="str">
        <f t="shared" si="31"/>
        <v>Error?</v>
      </c>
    </row>
    <row r="2061" spans="1:4" x14ac:dyDescent="0.2">
      <c r="A2061" s="5">
        <v>2000</v>
      </c>
      <c r="B2061" s="1832">
        <f>'Cap Outlay Deprec 26'!L16</f>
        <v>9121922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1217174</v>
      </c>
      <c r="C2088" s="2" t="s">
        <v>569</v>
      </c>
      <c r="D2088" s="2" t="str">
        <f t="shared" si="31"/>
        <v>Error?</v>
      </c>
    </row>
    <row r="2089" spans="1:4" x14ac:dyDescent="0.2">
      <c r="A2089" s="5">
        <v>2028</v>
      </c>
      <c r="B2089" s="1832">
        <f>'Expenditures 15-22'!K92</f>
        <v>1254875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139448</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2229201</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768214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261408</v>
      </c>
      <c r="D2475" s="2" t="str">
        <f t="shared" si="37"/>
        <v>Error?</v>
      </c>
    </row>
    <row r="2476" spans="1:4" x14ac:dyDescent="0.2">
      <c r="A2476" s="10">
        <v>2415</v>
      </c>
      <c r="B2476" s="1832"/>
      <c r="D2476" s="2" t="str">
        <f t="shared" si="37"/>
        <v>OK</v>
      </c>
    </row>
    <row r="2477" spans="1:4" x14ac:dyDescent="0.2">
      <c r="A2477" s="5">
        <v>2416</v>
      </c>
      <c r="B2477" s="1832">
        <f>'Assets-Liab 5-6'!G38</f>
        <v>261092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29182</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1228390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6677065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2579514</v>
      </c>
      <c r="C2553" s="2" t="s">
        <v>569</v>
      </c>
      <c r="D2553" s="2" t="str">
        <f t="shared" si="38"/>
        <v>Error?</v>
      </c>
    </row>
    <row r="2554" spans="1:4" x14ac:dyDescent="0.2">
      <c r="A2554" s="5">
        <v>2493</v>
      </c>
      <c r="B2554" s="1832">
        <f>'Acct Summary 7-8'!C7</f>
        <v>382147</v>
      </c>
      <c r="C2554" s="2" t="s">
        <v>569</v>
      </c>
      <c r="D2554" s="2" t="str">
        <f t="shared" si="38"/>
        <v>Error?</v>
      </c>
    </row>
    <row r="2555" spans="1:4" x14ac:dyDescent="0.2">
      <c r="A2555" s="5">
        <v>2494</v>
      </c>
      <c r="B2555" s="1832">
        <f>'Acct Summary 7-8'!C8</f>
        <v>9638726</v>
      </c>
      <c r="C2555" s="2" t="s">
        <v>569</v>
      </c>
      <c r="D2555" s="2" t="str">
        <f t="shared" si="38"/>
        <v>Error?</v>
      </c>
    </row>
    <row r="2556" spans="1:4" x14ac:dyDescent="0.2">
      <c r="A2556" s="5">
        <v>2495</v>
      </c>
      <c r="B2556" s="1832">
        <f>'Acct Summary 7-8'!C12</f>
        <v>6648712</v>
      </c>
      <c r="C2556" s="2" t="s">
        <v>569</v>
      </c>
      <c r="D2556" s="2" t="str">
        <f t="shared" si="38"/>
        <v>Error?</v>
      </c>
    </row>
    <row r="2557" spans="1:4" x14ac:dyDescent="0.2">
      <c r="A2557" s="5">
        <v>2496</v>
      </c>
      <c r="B2557" s="1832">
        <f>'Acct Summary 7-8'!C13</f>
        <v>2044256</v>
      </c>
      <c r="C2557" s="2" t="s">
        <v>569</v>
      </c>
      <c r="D2557" s="2" t="str">
        <f t="shared" si="38"/>
        <v>Error?</v>
      </c>
    </row>
    <row r="2558" spans="1:4" x14ac:dyDescent="0.2">
      <c r="A2558" s="5">
        <v>2497</v>
      </c>
      <c r="B2558" s="1832">
        <f>'Acct Summary 7-8'!C14</f>
        <v>31856</v>
      </c>
      <c r="C2558" s="2" t="s">
        <v>569</v>
      </c>
      <c r="D2558" s="2" t="str">
        <f t="shared" si="38"/>
        <v>Error?</v>
      </c>
    </row>
    <row r="2559" spans="1:4" x14ac:dyDescent="0.2">
      <c r="A2559" s="5">
        <v>2498</v>
      </c>
      <c r="B2559" s="1832">
        <f>'Acct Summary 7-8'!C15</f>
        <v>2472049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11196873</v>
      </c>
      <c r="C2561" s="2" t="s">
        <v>569</v>
      </c>
      <c r="D2561" s="2" t="str">
        <f t="shared" si="39"/>
        <v>Error?</v>
      </c>
    </row>
    <row r="2562" spans="1:4" x14ac:dyDescent="0.2">
      <c r="A2562" s="5">
        <v>2501</v>
      </c>
      <c r="B2562" s="1832">
        <f>'Acct Summary 7-8'!C20</f>
        <v>-1558147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1961861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1961861</v>
      </c>
      <c r="C2568" s="2" t="s">
        <v>569</v>
      </c>
      <c r="D2568" s="2" t="str">
        <f t="shared" si="39"/>
        <v>Error?</v>
      </c>
    </row>
    <row r="2569" spans="1:4" x14ac:dyDescent="0.2">
      <c r="A2569" s="5">
        <v>2508</v>
      </c>
      <c r="B2569" s="1832">
        <f>'Acct Summary 7-8'!D13</f>
        <v>1351625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139448</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1491073</v>
      </c>
      <c r="C2573" s="2" t="s">
        <v>569</v>
      </c>
      <c r="D2573" s="2" t="str">
        <f t="shared" si="39"/>
        <v>Error?</v>
      </c>
    </row>
    <row r="2574" spans="1:4" x14ac:dyDescent="0.2">
      <c r="A2574" s="5">
        <v>2513</v>
      </c>
      <c r="B2574" s="1832">
        <f>'Acct Summary 7-8'!D20</f>
        <v>470788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554818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276246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831064</v>
      </c>
      <c r="C2595" s="2" t="s">
        <v>569</v>
      </c>
      <c r="D2595" s="2" t="str">
        <f t="shared" si="39"/>
        <v>Error?</v>
      </c>
    </row>
    <row r="2596" spans="1:4" x14ac:dyDescent="0.2">
      <c r="A2596" s="5">
        <v>2535</v>
      </c>
      <c r="B2596" s="1832">
        <f>'Acct Summary 7-8'!F13</f>
        <v>16329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665464</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681793</v>
      </c>
      <c r="C2600" s="2" t="s">
        <v>569</v>
      </c>
      <c r="D2600" s="2" t="str">
        <f t="shared" si="39"/>
        <v>Error?</v>
      </c>
    </row>
    <row r="2601" spans="1:4" x14ac:dyDescent="0.2">
      <c r="A2601" s="5">
        <v>2540</v>
      </c>
      <c r="B2601" s="1832">
        <f>'Acct Summary 7-8'!F20</f>
        <v>149271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201316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201316</v>
      </c>
      <c r="C2606" s="2" t="s">
        <v>569</v>
      </c>
      <c r="D2606" s="2" t="str">
        <f t="shared" si="39"/>
        <v>Error?</v>
      </c>
    </row>
    <row r="2607" spans="1:4" x14ac:dyDescent="0.2">
      <c r="A2607" s="5">
        <v>2546</v>
      </c>
      <c r="B2607" s="1832">
        <f>'Acct Summary 7-8'!G12</f>
        <v>102139</v>
      </c>
      <c r="C2607" s="2" t="s">
        <v>569</v>
      </c>
      <c r="D2607" s="2" t="str">
        <f t="shared" si="39"/>
        <v>Error?</v>
      </c>
    </row>
    <row r="2608" spans="1:4" x14ac:dyDescent="0.2">
      <c r="A2608" s="5">
        <v>2547</v>
      </c>
      <c r="B2608" s="1832">
        <f>'Acct Summary 7-8'!G13</f>
        <v>193718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295857</v>
      </c>
      <c r="C2612" s="2" t="s">
        <v>569</v>
      </c>
      <c r="D2612" s="2" t="str">
        <f t="shared" si="39"/>
        <v>Error?</v>
      </c>
    </row>
    <row r="2613" spans="1:4" x14ac:dyDescent="0.2">
      <c r="A2613" s="5">
        <v>2552</v>
      </c>
      <c r="B2613" s="1832">
        <f>'Acct Summary 7-8'!G20</f>
        <v>-94541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2315270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2315270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2286696</v>
      </c>
      <c r="C2634" s="2" t="s">
        <v>569</v>
      </c>
      <c r="D2634" s="2" t="str">
        <f t="shared" si="40"/>
        <v>Error?</v>
      </c>
    </row>
    <row r="2635" spans="1:4" x14ac:dyDescent="0.2">
      <c r="A2635" s="5">
        <v>2574</v>
      </c>
      <c r="B2635" s="1832">
        <f>'Acct Summary 7-8'!E17</f>
        <v>2286696</v>
      </c>
      <c r="C2635" s="2" t="s">
        <v>569</v>
      </c>
      <c r="D2635" s="2" t="str">
        <f t="shared" si="40"/>
        <v>Error?</v>
      </c>
    </row>
    <row r="2636" spans="1:4" x14ac:dyDescent="0.2">
      <c r="A2636" s="5">
        <v>2575</v>
      </c>
      <c r="B2636" s="1832">
        <f>'Acct Summary 7-8'!E20</f>
        <v>28574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2314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52314</v>
      </c>
      <c r="C2658" s="2" t="s">
        <v>569</v>
      </c>
      <c r="D2658" s="2" t="str">
        <f t="shared" si="40"/>
        <v>Error?</v>
      </c>
    </row>
    <row r="2659" spans="1:4" x14ac:dyDescent="0.2">
      <c r="A2659" s="5">
        <v>2598</v>
      </c>
      <c r="B2659" s="1832">
        <f>'Acct Summary 7-8'!H13</f>
        <v>550470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550470</v>
      </c>
      <c r="C2661" s="2" t="s">
        <v>569</v>
      </c>
      <c r="D2661" s="2" t="str">
        <f t="shared" si="40"/>
        <v>Error?</v>
      </c>
    </row>
    <row r="2662" spans="1:4" x14ac:dyDescent="0.2">
      <c r="A2662" s="5">
        <v>2601</v>
      </c>
      <c r="B2662" s="1832">
        <f>'Acct Summary 7-8'!H20</f>
        <v>-498156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1217174</v>
      </c>
      <c r="C2789" s="2" t="s">
        <v>569</v>
      </c>
      <c r="D2789" s="2" t="str">
        <f t="shared" si="42"/>
        <v>Error?</v>
      </c>
    </row>
    <row r="2790" spans="1:4" x14ac:dyDescent="0.2">
      <c r="A2790" s="5">
        <v>2729</v>
      </c>
      <c r="B2790" s="1832">
        <f>'Expenditures 15-22'!E102</f>
        <v>1217174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665464</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665464</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478022</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20074</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20094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137157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20094</v>
      </c>
      <c r="D2912" s="2" t="str">
        <f t="shared" si="44"/>
        <v>Error?</v>
      </c>
    </row>
    <row r="2913" spans="1:4" x14ac:dyDescent="0.2">
      <c r="A2913" s="5">
        <v>2852</v>
      </c>
      <c r="B2913" s="1832">
        <f>'Assets-Liab 5-6'!I41</f>
        <v>20094</v>
      </c>
      <c r="C2913" s="2" t="s">
        <v>569</v>
      </c>
      <c r="D2913" s="2" t="str">
        <f t="shared" si="44"/>
        <v>Error?</v>
      </c>
    </row>
    <row r="2914" spans="1:4" x14ac:dyDescent="0.2">
      <c r="A2914" s="5">
        <v>2853</v>
      </c>
      <c r="B2914" s="1832">
        <f>'Assets-Liab 5-6'!L33</f>
        <v>137157</v>
      </c>
      <c r="D2914" s="2" t="str">
        <f t="shared" si="44"/>
        <v>Error?</v>
      </c>
    </row>
    <row r="2915" spans="1:4" x14ac:dyDescent="0.2">
      <c r="A2915" s="10">
        <v>2854</v>
      </c>
      <c r="B2915" s="1832"/>
      <c r="D2915" s="2" t="str">
        <f t="shared" si="44"/>
        <v>OK</v>
      </c>
    </row>
    <row r="2916" spans="1:4" x14ac:dyDescent="0.2">
      <c r="A2916" s="5">
        <v>2855</v>
      </c>
      <c r="B2916" s="1832">
        <f>'Assets-Liab 5-6'!L34</f>
        <v>137157</v>
      </c>
      <c r="C2916" s="2" t="s">
        <v>569</v>
      </c>
      <c r="D2916" s="2" t="str">
        <f t="shared" si="44"/>
        <v>Error?</v>
      </c>
    </row>
    <row r="2917" spans="1:4" x14ac:dyDescent="0.2">
      <c r="A2917" s="5">
        <v>2856</v>
      </c>
      <c r="B2917" s="1832">
        <f>'Assets-Liab 5-6'!L41</f>
        <v>137157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1217174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1217174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139448</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242429</v>
      </c>
      <c r="D2989" s="2" t="str">
        <f t="shared" si="45"/>
        <v>Error?</v>
      </c>
    </row>
    <row r="2990" spans="1:4" x14ac:dyDescent="0.2">
      <c r="A2990" s="5">
        <v>2929</v>
      </c>
      <c r="B2990" s="1832">
        <f>'Expenditures 15-22'!E189</f>
        <v>423035</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242429</v>
      </c>
      <c r="C3007" s="2" t="s">
        <v>569</v>
      </c>
      <c r="D3007" s="2" t="str">
        <f t="shared" ref="D3007:D3070" si="46">IF(ISBLANK(B3007),"OK",IF(A3007-B3007=0,"OK","Error?"))</f>
        <v>Error?</v>
      </c>
    </row>
    <row r="3008" spans="1:4" x14ac:dyDescent="0.2">
      <c r="A3008" s="5">
        <v>2947</v>
      </c>
      <c r="B3008" s="1832">
        <f>'Expenditures 15-22'!K189</f>
        <v>423035</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68544</v>
      </c>
      <c r="D3055" s="2" t="str">
        <f t="shared" si="46"/>
        <v>Error?</v>
      </c>
    </row>
    <row r="3056" spans="1:4" x14ac:dyDescent="0.2">
      <c r="A3056" s="5">
        <v>2995</v>
      </c>
      <c r="B3056" s="1832">
        <f>'Expenditures 15-22'!D10</f>
        <v>19235</v>
      </c>
      <c r="D3056" s="2" t="str">
        <f t="shared" si="46"/>
        <v>Error?</v>
      </c>
    </row>
    <row r="3057" spans="1:4" x14ac:dyDescent="0.2">
      <c r="A3057" s="5">
        <v>2996</v>
      </c>
      <c r="B3057" s="1832">
        <f>'Expenditures 15-22'!E10</f>
        <v>2645</v>
      </c>
      <c r="D3057" s="2" t="str">
        <f t="shared" si="46"/>
        <v>Error?</v>
      </c>
    </row>
    <row r="3058" spans="1:4" x14ac:dyDescent="0.2">
      <c r="A3058" s="5">
        <v>2997</v>
      </c>
      <c r="B3058" s="1832">
        <f>'Expenditures 15-22'!F10</f>
        <v>15508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105932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230122</v>
      </c>
      <c r="C3225" s="2" t="s">
        <v>569</v>
      </c>
      <c r="D3225" s="2" t="str">
        <f t="shared" si="49"/>
        <v>Error?</v>
      </c>
    </row>
    <row r="3226" spans="1:4" x14ac:dyDescent="0.2">
      <c r="A3226" s="5">
        <v>3165</v>
      </c>
      <c r="B3226" s="1832">
        <f>'Acct Summary 7-8'!I8</f>
        <v>230122</v>
      </c>
      <c r="C3226" s="2" t="s">
        <v>569</v>
      </c>
      <c r="D3226" s="2" t="str">
        <f t="shared" si="49"/>
        <v>Error?</v>
      </c>
    </row>
    <row r="3227" spans="1:4" x14ac:dyDescent="0.2">
      <c r="A3227" s="5">
        <v>3166</v>
      </c>
      <c r="B3227" s="1832">
        <f>'Acct Summary 7-8'!I20</f>
        <v>230122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2229201</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2229201</v>
      </c>
      <c r="C3232" s="2" t="s">
        <v>569</v>
      </c>
      <c r="D3232" s="2" t="str">
        <f t="shared" si="49"/>
        <v>Error?</v>
      </c>
    </row>
    <row r="3233" spans="1:4" x14ac:dyDescent="0.2">
      <c r="A3233" s="5">
        <v>3172</v>
      </c>
      <c r="B3233" s="1832">
        <f>'Acct Summary 7-8'!C78</f>
        <v>671054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470788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149271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-94541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28574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2136545</v>
      </c>
      <c r="C3296" s="2" t="s">
        <v>569</v>
      </c>
      <c r="D3296" s="2" t="str">
        <f t="shared" si="50"/>
        <v>Error?</v>
      </c>
    </row>
    <row r="3297" spans="1:4" x14ac:dyDescent="0.2">
      <c r="A3297" s="5">
        <v>3236</v>
      </c>
      <c r="B3297" s="1832">
        <f>'Acct Summary 7-8'!H75</f>
        <v>410000</v>
      </c>
      <c r="D3297" s="2" t="str">
        <f t="shared" si="50"/>
        <v>Error?</v>
      </c>
    </row>
    <row r="3298" spans="1:4" x14ac:dyDescent="0.2">
      <c r="A3298" s="5">
        <v>3237</v>
      </c>
      <c r="B3298" s="1832">
        <f>'Acct Summary 7-8'!H76</f>
        <v>410000</v>
      </c>
      <c r="C3298" s="2" t="s">
        <v>569</v>
      </c>
      <c r="D3298" s="2" t="str">
        <f t="shared" si="50"/>
        <v>Error?</v>
      </c>
    </row>
    <row r="3299" spans="1:4" x14ac:dyDescent="0.2">
      <c r="A3299" s="5">
        <v>3238</v>
      </c>
      <c r="B3299" s="1832">
        <f>'Acct Summary 7-8'!H77</f>
        <v>1726545</v>
      </c>
      <c r="C3299" s="2" t="s">
        <v>569</v>
      </c>
      <c r="D3299" s="2" t="str">
        <f t="shared" si="50"/>
        <v>Error?</v>
      </c>
    </row>
    <row r="3300" spans="1:4" x14ac:dyDescent="0.2">
      <c r="A3300" s="5">
        <v>3239</v>
      </c>
      <c r="B3300" s="1832">
        <f>'Acct Summary 7-8'!H78</f>
        <v>1228389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2048100</v>
      </c>
      <c r="C3317" s="2" t="s">
        <v>569</v>
      </c>
      <c r="D3317" s="2" t="str">
        <f t="shared" si="50"/>
        <v>Error?</v>
      </c>
    </row>
    <row r="3318" spans="1:4" x14ac:dyDescent="0.2">
      <c r="A3318" s="5">
        <v>3257</v>
      </c>
      <c r="B3318" s="1832">
        <f>'Acct Summary 7-8'!I76</f>
        <v>2278201</v>
      </c>
      <c r="C3318" s="2" t="s">
        <v>569</v>
      </c>
      <c r="D3318" s="2" t="str">
        <f t="shared" si="50"/>
        <v>Error?</v>
      </c>
    </row>
    <row r="3319" spans="1:4" x14ac:dyDescent="0.2">
      <c r="A3319" s="5">
        <v>3258</v>
      </c>
      <c r="B3319" s="1832">
        <f>'Acct Summary 7-8'!I77</f>
        <v>-230101</v>
      </c>
      <c r="C3319" s="2" t="s">
        <v>569</v>
      </c>
      <c r="D3319" s="2" t="str">
        <f t="shared" si="50"/>
        <v>Error?</v>
      </c>
    </row>
    <row r="3320" spans="1:4" x14ac:dyDescent="0.2">
      <c r="A3320" s="5">
        <v>3259</v>
      </c>
      <c r="B3320" s="1832">
        <f>'Acct Summary 7-8'!I78</f>
        <v>21</v>
      </c>
      <c r="C3320" s="2" t="s">
        <v>569</v>
      </c>
      <c r="D3320" s="2" t="str">
        <f t="shared" si="50"/>
        <v>Error?</v>
      </c>
    </row>
    <row r="3321" spans="1:4" x14ac:dyDescent="0.2">
      <c r="A3321" s="5">
        <v>3260</v>
      </c>
      <c r="B3321" s="1832">
        <f>'Acct Summary 7-8'!I79</f>
        <v>20073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20094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444277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187072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545547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10873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6798</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1194567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78652</v>
      </c>
      <c r="D3387" s="2" t="str">
        <f t="shared" si="51"/>
        <v>Error?</v>
      </c>
    </row>
    <row r="3388" spans="1:4" x14ac:dyDescent="0.2">
      <c r="A3388" s="5">
        <v>3327</v>
      </c>
      <c r="B3388" s="1832">
        <f>'Expenditures 15-22'!D217</f>
        <v>4572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78652</v>
      </c>
      <c r="C3390" s="2" t="s">
        <v>569</v>
      </c>
      <c r="D3390" s="2" t="str">
        <f t="shared" si="51"/>
        <v>Error?</v>
      </c>
    </row>
    <row r="3391" spans="1:4" x14ac:dyDescent="0.2">
      <c r="A3391" s="5">
        <v>3330</v>
      </c>
      <c r="B3391" s="1832">
        <f>'Expenditures 15-22'!K217</f>
        <v>4572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773139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93815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29182</v>
      </c>
      <c r="D3417" s="2" t="str">
        <f t="shared" si="52"/>
        <v>Error?</v>
      </c>
    </row>
    <row r="3418" spans="1:4" x14ac:dyDescent="0.2">
      <c r="A3418" s="10">
        <v>3357</v>
      </c>
      <c r="B3418" s="1832"/>
      <c r="D3418" s="2" t="str">
        <f t="shared" si="52"/>
        <v>OK</v>
      </c>
    </row>
    <row r="3419" spans="1:4" x14ac:dyDescent="0.2">
      <c r="A3419" s="5">
        <v>3358</v>
      </c>
      <c r="B3419" s="1832">
        <f>'Assets-Liab 5-6'!F4</f>
        <v>46280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33972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55076</v>
      </c>
      <c r="D3425" s="2" t="str">
        <f t="shared" si="52"/>
        <v>Error?</v>
      </c>
    </row>
    <row r="3426" spans="1:4" x14ac:dyDescent="0.2">
      <c r="A3426" s="10">
        <v>3365</v>
      </c>
      <c r="B3426" s="1832"/>
      <c r="D3426" s="2" t="str">
        <f t="shared" si="52"/>
        <v>OK</v>
      </c>
    </row>
    <row r="3427" spans="1:4" x14ac:dyDescent="0.2">
      <c r="A3427" s="5">
        <v>3366</v>
      </c>
      <c r="B3427" s="1832">
        <f>'Assets-Liab 5-6'!I4</f>
        <v>20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137157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100658</v>
      </c>
      <c r="C3446" s="2" t="s">
        <v>569</v>
      </c>
      <c r="D3446" s="2" t="str">
        <f t="shared" si="52"/>
        <v>Error?</v>
      </c>
    </row>
    <row r="3447" spans="1:4" x14ac:dyDescent="0.2">
      <c r="A3447" s="5">
        <v>3386</v>
      </c>
      <c r="B3447" s="1832">
        <f>'Tax Sched 23'!D16</f>
        <v>100613</v>
      </c>
      <c r="C3447" s="2" t="s">
        <v>569</v>
      </c>
      <c r="D3447" s="2" t="str">
        <f t="shared" si="52"/>
        <v>Error?</v>
      </c>
    </row>
    <row r="3448" spans="1:4" x14ac:dyDescent="0.2">
      <c r="A3448" s="5">
        <v>3387</v>
      </c>
      <c r="B3448" s="1832">
        <f>'Tax Sched 23'!C16</f>
        <v>45</v>
      </c>
      <c r="D3448" s="2" t="str">
        <f t="shared" si="52"/>
        <v>Error?</v>
      </c>
    </row>
    <row r="3449" spans="1:4" x14ac:dyDescent="0.2">
      <c r="A3449" s="5">
        <v>3388</v>
      </c>
      <c r="B3449" s="1832">
        <f>'Tax Sched 23'!F16</f>
        <v>139972</v>
      </c>
      <c r="C3449" s="2" t="s">
        <v>569</v>
      </c>
      <c r="D3449" s="2" t="str">
        <f t="shared" si="52"/>
        <v>Error?</v>
      </c>
    </row>
    <row r="3450" spans="1:4" x14ac:dyDescent="0.2">
      <c r="A3450" s="5">
        <v>3389</v>
      </c>
      <c r="B3450" s="1832">
        <f>'Tax Sched 23'!E16</f>
        <v>140017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478022</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478022</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478022</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20607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115000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135607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135607</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135607</v>
      </c>
      <c r="C3568" s="2" t="s">
        <v>569</v>
      </c>
      <c r="D3568" s="2" t="str">
        <f t="shared" si="54"/>
        <v>Error?</v>
      </c>
    </row>
    <row r="3569" spans="1:4" x14ac:dyDescent="0.2">
      <c r="A3569" s="5">
        <v>3508</v>
      </c>
      <c r="B3569" s="1832">
        <f>'Acct Summary 7-8'!K4</f>
        <v>230126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230126</v>
      </c>
      <c r="C3571" s="2" t="s">
        <v>569</v>
      </c>
      <c r="D3571" s="2" t="str">
        <f t="shared" si="54"/>
        <v>Error?</v>
      </c>
    </row>
    <row r="3572" spans="1:4" x14ac:dyDescent="0.2">
      <c r="A3572" s="5">
        <v>3511</v>
      </c>
      <c r="B3572" s="1832">
        <f>'Acct Summary 7-8'!K13</f>
        <v>214594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214594</v>
      </c>
      <c r="C3575" s="2" t="s">
        <v>569</v>
      </c>
      <c r="D3575" s="2" t="str">
        <f t="shared" si="54"/>
        <v>Error?</v>
      </c>
    </row>
    <row r="3576" spans="1:4" x14ac:dyDescent="0.2">
      <c r="A3576" s="5">
        <v>3515</v>
      </c>
      <c r="B3576" s="1832">
        <f>'Acct Summary 7-8'!K20</f>
        <v>15532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15532</v>
      </c>
      <c r="C3588" s="2" t="s">
        <v>569</v>
      </c>
      <c r="D3588" s="2" t="str">
        <f t="shared" si="55"/>
        <v>Error?</v>
      </c>
    </row>
    <row r="3589" spans="1:4" x14ac:dyDescent="0.2">
      <c r="A3589" s="5">
        <v>3528</v>
      </c>
      <c r="B3589" s="1832">
        <f>'Acct Summary 7-8'!K79</f>
        <v>120075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135607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189290</v>
      </c>
      <c r="D3645" s="2" t="str">
        <f t="shared" si="55"/>
        <v>Error?</v>
      </c>
    </row>
    <row r="3646" spans="1:4" x14ac:dyDescent="0.2">
      <c r="A3646" s="5">
        <v>3585</v>
      </c>
      <c r="B3646" s="1832">
        <f>'Expenditures 15-22'!G349</f>
        <v>25304</v>
      </c>
      <c r="D3646" s="2" t="str">
        <f t="shared" si="55"/>
        <v>Error?</v>
      </c>
    </row>
    <row r="3647" spans="1:4" x14ac:dyDescent="0.2">
      <c r="A3647" s="5">
        <v>3586</v>
      </c>
      <c r="B3647" s="1832">
        <f>'Expenditures 15-22'!G350</f>
        <v>214594</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214594</v>
      </c>
      <c r="C3649" s="2" t="s">
        <v>569</v>
      </c>
      <c r="D3649" s="2" t="str">
        <f t="shared" si="56"/>
        <v>Error?</v>
      </c>
    </row>
    <row r="3650" spans="1:4" x14ac:dyDescent="0.2">
      <c r="A3650" s="5">
        <v>3589</v>
      </c>
      <c r="B3650" s="1832">
        <f>'Expenditures 15-22'!G367</f>
        <v>214594</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189290</v>
      </c>
      <c r="C3668" s="2" t="s">
        <v>569</v>
      </c>
      <c r="D3668" s="2" t="str">
        <f t="shared" si="56"/>
        <v>Error?</v>
      </c>
    </row>
    <row r="3669" spans="1:4" x14ac:dyDescent="0.2">
      <c r="A3669" s="5">
        <v>3608</v>
      </c>
      <c r="B3669" s="1832">
        <f>'Expenditures 15-22'!K349</f>
        <v>25304</v>
      </c>
      <c r="C3669" s="2" t="s">
        <v>569</v>
      </c>
      <c r="D3669" s="2" t="str">
        <f t="shared" si="56"/>
        <v>Error?</v>
      </c>
    </row>
    <row r="3670" spans="1:4" x14ac:dyDescent="0.2">
      <c r="A3670" s="5">
        <v>3609</v>
      </c>
      <c r="B3670" s="1832">
        <f>'Expenditures 15-22'!K350</f>
        <v>214594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214594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214594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15532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162974</v>
      </c>
      <c r="C3725" s="2" t="s">
        <v>569</v>
      </c>
      <c r="D3725" s="2" t="str">
        <f t="shared" si="57"/>
        <v>Error?</v>
      </c>
    </row>
    <row r="3726" spans="1:4" x14ac:dyDescent="0.2">
      <c r="A3726" s="5">
        <v>3665</v>
      </c>
      <c r="B3726" s="1832">
        <f>'Tax Sched 23'!D13</f>
        <v>162917</v>
      </c>
      <c r="C3726" s="2" t="s">
        <v>569</v>
      </c>
      <c r="D3726" s="2" t="str">
        <f t="shared" si="57"/>
        <v>Error?</v>
      </c>
    </row>
    <row r="3727" spans="1:4" x14ac:dyDescent="0.2">
      <c r="A3727" s="5">
        <v>3666</v>
      </c>
      <c r="B3727" s="1832">
        <f>'Tax Sched 23'!C13</f>
        <v>57</v>
      </c>
      <c r="D3727" s="2" t="str">
        <f t="shared" si="57"/>
        <v>Error?</v>
      </c>
    </row>
    <row r="3728" spans="1:4" x14ac:dyDescent="0.2">
      <c r="A3728" s="5">
        <v>3667</v>
      </c>
      <c r="B3728" s="1832">
        <f>'Tax Sched 23'!F13</f>
        <v>179964</v>
      </c>
      <c r="C3728" s="2" t="s">
        <v>569</v>
      </c>
      <c r="D3728" s="2" t="str">
        <f t="shared" si="57"/>
        <v>Error?</v>
      </c>
    </row>
    <row r="3729" spans="1:4" x14ac:dyDescent="0.2">
      <c r="A3729" s="5">
        <v>3668</v>
      </c>
      <c r="B3729" s="1832">
        <f>'Tax Sched 23'!E13</f>
        <v>180021</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628780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10267506</v>
      </c>
      <c r="C4122" s="2" t="s">
        <v>569</v>
      </c>
      <c r="D4122" s="2" t="str">
        <f t="shared" si="63"/>
        <v>Error?</v>
      </c>
    </row>
    <row r="4123" spans="1:4" x14ac:dyDescent="0.2">
      <c r="A4123" s="5">
        <v>4062</v>
      </c>
      <c r="B4123" s="1832">
        <f>'Acct Summary 7-8'!D10</f>
        <v>1961861</v>
      </c>
      <c r="C4123" s="2" t="s">
        <v>569</v>
      </c>
      <c r="D4123" s="2" t="str">
        <f t="shared" si="63"/>
        <v>Error?</v>
      </c>
    </row>
    <row r="4124" spans="1:4" x14ac:dyDescent="0.2">
      <c r="A4124" s="5">
        <v>4063</v>
      </c>
      <c r="B4124" s="1832">
        <f>'Acct Summary 7-8'!E10</f>
        <v>2315270</v>
      </c>
      <c r="C4124" s="2" t="s">
        <v>569</v>
      </c>
      <c r="D4124" s="2" t="str">
        <f t="shared" si="63"/>
        <v>Error?</v>
      </c>
    </row>
    <row r="4125" spans="1:4" x14ac:dyDescent="0.2">
      <c r="A4125" s="5">
        <v>4064</v>
      </c>
      <c r="B4125" s="1832">
        <f>'Acct Summary 7-8'!F10</f>
        <v>831064</v>
      </c>
      <c r="C4125" s="2" t="s">
        <v>569</v>
      </c>
      <c r="D4125" s="2" t="str">
        <f t="shared" si="63"/>
        <v>Error?</v>
      </c>
    </row>
    <row r="4126" spans="1:4" x14ac:dyDescent="0.2">
      <c r="A4126" s="5">
        <v>4065</v>
      </c>
      <c r="B4126" s="1832">
        <f>'Acct Summary 7-8'!G10</f>
        <v>201316</v>
      </c>
      <c r="C4126" s="2" t="s">
        <v>569</v>
      </c>
      <c r="D4126" s="2" t="str">
        <f t="shared" si="63"/>
        <v>Error?</v>
      </c>
    </row>
    <row r="4127" spans="1:4" x14ac:dyDescent="0.2">
      <c r="A4127" s="5">
        <v>4066</v>
      </c>
      <c r="B4127" s="1832">
        <f>'Acct Summary 7-8'!H10</f>
        <v>52314</v>
      </c>
      <c r="C4127" s="2" t="s">
        <v>569</v>
      </c>
      <c r="D4127" s="2" t="str">
        <f t="shared" si="63"/>
        <v>Error?</v>
      </c>
    </row>
    <row r="4128" spans="1:4" x14ac:dyDescent="0.2">
      <c r="A4128" s="5">
        <v>4067</v>
      </c>
      <c r="B4128" s="1832">
        <f>'Acct Summary 7-8'!I10</f>
        <v>230122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230126</v>
      </c>
      <c r="C4130" s="2" t="s">
        <v>569</v>
      </c>
      <c r="D4130" s="2" t="str">
        <f t="shared" si="63"/>
        <v>Error?</v>
      </c>
    </row>
    <row r="4131" spans="1:4" x14ac:dyDescent="0.2">
      <c r="A4131" s="5">
        <v>4070</v>
      </c>
      <c r="B4131" s="1832">
        <f>'Acct Summary 7-8'!C18</f>
        <v>628780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11825653</v>
      </c>
      <c r="C4136" s="2" t="s">
        <v>569</v>
      </c>
      <c r="D4136" s="2" t="str">
        <f t="shared" si="63"/>
        <v>Error?</v>
      </c>
    </row>
    <row r="4137" spans="1:4" x14ac:dyDescent="0.2">
      <c r="A4137" s="5">
        <v>4076</v>
      </c>
      <c r="B4137" s="1832">
        <f>'Acct Summary 7-8'!D19</f>
        <v>1491073</v>
      </c>
      <c r="C4137" s="2" t="s">
        <v>569</v>
      </c>
      <c r="D4137" s="2" t="str">
        <f t="shared" si="63"/>
        <v>Error?</v>
      </c>
    </row>
    <row r="4138" spans="1:4" x14ac:dyDescent="0.2">
      <c r="A4138" s="5">
        <v>4077</v>
      </c>
      <c r="B4138" s="1832">
        <f>'Acct Summary 7-8'!E19</f>
        <v>2286696</v>
      </c>
      <c r="C4138" s="2" t="s">
        <v>569</v>
      </c>
      <c r="D4138" s="2" t="str">
        <f t="shared" si="63"/>
        <v>Error?</v>
      </c>
    </row>
    <row r="4139" spans="1:4" x14ac:dyDescent="0.2">
      <c r="A4139" s="5">
        <v>4078</v>
      </c>
      <c r="B4139" s="1832">
        <f>'Acct Summary 7-8'!F19</f>
        <v>681793</v>
      </c>
      <c r="C4139" s="2" t="s">
        <v>569</v>
      </c>
      <c r="D4139" s="2" t="str">
        <f t="shared" si="63"/>
        <v>Error?</v>
      </c>
    </row>
    <row r="4140" spans="1:4" x14ac:dyDescent="0.2">
      <c r="A4140" s="5">
        <v>4079</v>
      </c>
      <c r="B4140" s="1832">
        <f>'Acct Summary 7-8'!G19</f>
        <v>295857</v>
      </c>
      <c r="C4140" s="2" t="s">
        <v>569</v>
      </c>
      <c r="D4140" s="2" t="str">
        <f t="shared" si="63"/>
        <v>Error?</v>
      </c>
    </row>
    <row r="4141" spans="1:4" x14ac:dyDescent="0.2">
      <c r="A4141" s="5">
        <v>4080</v>
      </c>
      <c r="B4141" s="1832">
        <f>'Acct Summary 7-8'!H19</f>
        <v>550470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214594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6790000</v>
      </c>
      <c r="C4171" s="2" t="s">
        <v>569</v>
      </c>
      <c r="D4171" s="2" t="str">
        <f t="shared" si="64"/>
        <v>Error?</v>
      </c>
    </row>
    <row r="4172" spans="1:4" x14ac:dyDescent="0.2">
      <c r="A4172" s="5">
        <v>4111</v>
      </c>
      <c r="B4172" s="1832">
        <f>'Short-Term Long-Term Debt 24'!J49</f>
        <v>6760818</v>
      </c>
      <c r="C4172" s="2" t="s">
        <v>569</v>
      </c>
      <c r="D4172" s="2" t="str">
        <f t="shared" si="64"/>
        <v>Error?</v>
      </c>
    </row>
    <row r="4173" spans="1:4" x14ac:dyDescent="0.2">
      <c r="A4173" s="5">
        <v>4112</v>
      </c>
      <c r="B4173" s="1832">
        <f>'Short-Term Long-Term Debt 24'!H49</f>
        <v>2110000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-410000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139448</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139448</v>
      </c>
      <c r="C4202" s="2" t="s">
        <v>569</v>
      </c>
      <c r="D4202" s="2" t="str">
        <f t="shared" si="64"/>
        <v>Error?</v>
      </c>
    </row>
    <row r="4203" spans="1:4" x14ac:dyDescent="0.2">
      <c r="A4203" s="5">
        <v>4142</v>
      </c>
      <c r="B4203" s="1832">
        <f>'Expenditures 15-22'!E139</f>
        <v>139448</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3540379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4087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18931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5589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21746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136865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500274333</v>
      </c>
      <c r="D4995" s="2" t="str">
        <f t="shared" si="77"/>
        <v>Error?</v>
      </c>
    </row>
    <row r="4996" spans="1:4" x14ac:dyDescent="0.2">
      <c r="A4996" s="12">
        <v>4935</v>
      </c>
      <c r="B4996" s="1832">
        <f>'FP Info 3'!H31</f>
        <v>34518928.977000006</v>
      </c>
      <c r="D4996" s="2" t="str">
        <f t="shared" si="77"/>
        <v>Error?</v>
      </c>
    </row>
    <row r="4997" spans="1:4" x14ac:dyDescent="0.2">
      <c r="A4997" s="12">
        <v>4936</v>
      </c>
      <c r="B4997" s="1832">
        <f>'FP Info 3'!H37</f>
        <v>6790000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162974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4235605</v>
      </c>
      <c r="D5061" s="2" t="str">
        <f t="shared" si="78"/>
        <v>Error?</v>
      </c>
    </row>
    <row r="5062" spans="1:4" x14ac:dyDescent="0.2">
      <c r="A5062" s="10">
        <v>5001</v>
      </c>
      <c r="B5062" s="1832"/>
      <c r="D5062" s="2" t="str">
        <f t="shared" si="78"/>
        <v>OK</v>
      </c>
    </row>
    <row r="5063" spans="1:4" x14ac:dyDescent="0.2">
      <c r="A5063" s="5">
        <v>5002</v>
      </c>
      <c r="B5063" s="1832">
        <f>'Revenues 9-14'!C7</f>
        <v>92040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4490619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158223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158223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74686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74686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176987</v>
      </c>
      <c r="C5096" s="2" t="s">
        <v>569</v>
      </c>
      <c r="D5096" s="2" t="str">
        <f t="shared" si="78"/>
        <v>Error?</v>
      </c>
    </row>
    <row r="5097" spans="1:4" x14ac:dyDescent="0.2">
      <c r="A5097" s="5">
        <v>5036</v>
      </c>
      <c r="B5097" s="1832">
        <f>'Revenues 9-14'!C77</f>
        <v>61554</v>
      </c>
      <c r="D5097" s="2" t="str">
        <f t="shared" si="78"/>
        <v>Error?</v>
      </c>
    </row>
    <row r="5098" spans="1:4" x14ac:dyDescent="0.2">
      <c r="A5098" s="5">
        <v>5037</v>
      </c>
      <c r="B5098" s="1832">
        <f>'Revenues 9-14'!C78</f>
        <v>5823</v>
      </c>
      <c r="D5098" s="2" t="str">
        <f t="shared" si="78"/>
        <v>Error?</v>
      </c>
    </row>
    <row r="5099" spans="1:4" x14ac:dyDescent="0.2">
      <c r="A5099" s="5">
        <v>5038</v>
      </c>
      <c r="B5099" s="1832">
        <f>'Revenues 9-14'!C79</f>
        <v>7974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75351</v>
      </c>
      <c r="C5102" s="2" t="s">
        <v>569</v>
      </c>
      <c r="D5102" s="2" t="str">
        <f t="shared" si="78"/>
        <v>Error?</v>
      </c>
    </row>
    <row r="5103" spans="1:4" x14ac:dyDescent="0.2">
      <c r="A5103" s="5">
        <v>5042</v>
      </c>
      <c r="B5103" s="1832">
        <f>'Revenues 9-14'!C84</f>
        <v>147376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147376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4650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80100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17681</v>
      </c>
      <c r="D5118" s="2" t="str">
        <f t="shared" si="78"/>
        <v>Error?</v>
      </c>
    </row>
    <row r="5119" spans="1:4" x14ac:dyDescent="0.2">
      <c r="A5119" s="5">
        <v>5058</v>
      </c>
      <c r="B5119" s="1832">
        <f>'Revenues 9-14'!C107</f>
        <v>64526</v>
      </c>
      <c r="D5119" s="2" t="str">
        <f t="shared" ref="D5119:D5182" si="79">IF(ISBLANK(B5119),"OK",IF(A5119-B5119=0,"OK","Error?"))</f>
        <v>Error?</v>
      </c>
    </row>
    <row r="5120" spans="1:4" x14ac:dyDescent="0.2">
      <c r="A5120" s="5">
        <v>5059</v>
      </c>
      <c r="B5120" s="1832">
        <f>'Revenues 9-14'!C108</f>
        <v>1553823</v>
      </c>
      <c r="C5120" s="2" t="s">
        <v>569</v>
      </c>
      <c r="D5120" s="2" t="str">
        <f t="shared" si="79"/>
        <v>Error?</v>
      </c>
    </row>
    <row r="5121" spans="1:4" x14ac:dyDescent="0.2">
      <c r="A5121" s="5">
        <v>5060</v>
      </c>
      <c r="B5121" s="1832">
        <f>'Revenues 9-14'!C109</f>
        <v>6677065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2357264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2357264</v>
      </c>
      <c r="C5132" s="2" t="s">
        <v>569</v>
      </c>
      <c r="D5132" s="2" t="str">
        <f t="shared" si="79"/>
        <v>Error?</v>
      </c>
    </row>
    <row r="5133" spans="1:4" x14ac:dyDescent="0.2">
      <c r="A5133" s="5">
        <v>5072</v>
      </c>
      <c r="B5133" s="1832">
        <f>'Revenues 9-14'!C125</f>
        <v>193187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193187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249</v>
      </c>
      <c r="D5167" s="2" t="str">
        <f t="shared" si="79"/>
        <v>Error?</v>
      </c>
    </row>
    <row r="5168" spans="1:4" x14ac:dyDescent="0.2">
      <c r="A5168" s="5">
        <v>5107</v>
      </c>
      <c r="B5168" s="1832">
        <f>'Revenues 9-14'!C148</f>
        <v>28064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222250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2579514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116763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5589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116763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60470</v>
      </c>
      <c r="D5278" s="2" t="str">
        <f t="shared" si="81"/>
        <v>Error?</v>
      </c>
    </row>
    <row r="5279" spans="1:4" x14ac:dyDescent="0.2">
      <c r="A5279" s="5">
        <v>5218</v>
      </c>
      <c r="B5279" s="1832">
        <f>'Revenues 9-14'!C214</f>
        <v>133830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194300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20731</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20731</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382147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382147</v>
      </c>
      <c r="C5326" s="2" t="s">
        <v>569</v>
      </c>
      <c r="D5326" s="2" t="str">
        <f t="shared" si="82"/>
        <v>Error?</v>
      </c>
    </row>
    <row r="5327" spans="1:5" x14ac:dyDescent="0.2">
      <c r="A5327" s="5">
        <v>5266</v>
      </c>
      <c r="B5327" s="1832">
        <f>'Revenues 9-14'!C268</f>
        <v>9638726</v>
      </c>
      <c r="C5327" s="2" t="s">
        <v>569</v>
      </c>
      <c r="D5327" s="2" t="str">
        <f t="shared" si="82"/>
        <v>Error?</v>
      </c>
    </row>
    <row r="5328" spans="1:5" x14ac:dyDescent="0.2">
      <c r="A5328" s="5">
        <v>5267</v>
      </c>
      <c r="B5328" s="1832">
        <f>'Revenues 9-14'!D5</f>
        <v>1150856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1150856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9997</v>
      </c>
      <c r="D5336" s="2" t="str">
        <f t="shared" si="82"/>
        <v>Error?</v>
      </c>
    </row>
    <row r="5337" spans="1:4" x14ac:dyDescent="0.2">
      <c r="A5337" s="5">
        <v>5276</v>
      </c>
      <c r="B5337" s="1832">
        <f>'Revenues 9-14'!D16</f>
        <v>277760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287757</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36530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12789</v>
      </c>
      <c r="D5354" s="2" t="str">
        <f t="shared" si="82"/>
        <v>Error?</v>
      </c>
    </row>
    <row r="5355" spans="1:4" x14ac:dyDescent="0.2">
      <c r="A5355" s="5">
        <v>5294</v>
      </c>
      <c r="B5355" s="1832">
        <f>'Revenues 9-14'!D108</f>
        <v>523248</v>
      </c>
      <c r="C5355" s="2" t="s">
        <v>569</v>
      </c>
      <c r="D5355" s="2" t="str">
        <f t="shared" si="82"/>
        <v>Error?</v>
      </c>
    </row>
    <row r="5356" spans="1:4" x14ac:dyDescent="0.2">
      <c r="A5356" s="5">
        <v>5295</v>
      </c>
      <c r="B5356" s="1832">
        <f>'Revenues 9-14'!D109</f>
        <v>1961861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1961861</v>
      </c>
      <c r="C5508" s="2" t="s">
        <v>569</v>
      </c>
      <c r="D5508" s="2" t="str">
        <f t="shared" si="85"/>
        <v>Error?</v>
      </c>
    </row>
    <row r="5509" spans="1:4" x14ac:dyDescent="0.2">
      <c r="A5509" s="5">
        <v>5448</v>
      </c>
      <c r="B5509" s="1832">
        <f>'Revenues 9-14'!E5</f>
        <v>1890270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1890270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425000</v>
      </c>
      <c r="C5526" s="2" t="s">
        <v>569</v>
      </c>
      <c r="D5526" s="2" t="str">
        <f t="shared" si="85"/>
        <v>Error?</v>
      </c>
    </row>
    <row r="5527" spans="1:4" x14ac:dyDescent="0.2">
      <c r="A5527" s="5">
        <v>5466</v>
      </c>
      <c r="B5527" s="1832">
        <f>'Revenues 9-14'!E109</f>
        <v>2315270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2315270</v>
      </c>
      <c r="C5552" s="2" t="s">
        <v>569</v>
      </c>
      <c r="D5552" s="2" t="str">
        <f t="shared" si="85"/>
        <v>Error?</v>
      </c>
    </row>
    <row r="5553" spans="1:4" x14ac:dyDescent="0.2">
      <c r="A5553" s="5">
        <v>5492</v>
      </c>
      <c r="B5553" s="1832">
        <f>'Revenues 9-14'!F5</f>
        <v>552238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552238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2580</v>
      </c>
      <c r="D5586" s="2" t="str">
        <f t="shared" si="86"/>
        <v>Error?</v>
      </c>
    </row>
    <row r="5587" spans="1:4" x14ac:dyDescent="0.2">
      <c r="A5587" s="5">
        <v>5526</v>
      </c>
      <c r="B5587" s="1832">
        <f>'Revenues 9-14'!F108</f>
        <v>2580</v>
      </c>
      <c r="C5587" s="2" t="s">
        <v>569</v>
      </c>
      <c r="D5587" s="2" t="str">
        <f t="shared" si="86"/>
        <v>Error?</v>
      </c>
    </row>
    <row r="5588" spans="1:4" x14ac:dyDescent="0.2">
      <c r="A5588" s="5">
        <v>5527</v>
      </c>
      <c r="B5588" s="1832">
        <f>'Revenues 9-14'!F109</f>
        <v>554818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5614</v>
      </c>
      <c r="D5615" s="2" t="str">
        <f t="shared" si="86"/>
        <v>Error?</v>
      </c>
    </row>
    <row r="5616" spans="1:4" x14ac:dyDescent="0.2">
      <c r="A5616" s="10">
        <v>5555</v>
      </c>
      <c r="B5616" s="1832"/>
      <c r="D5616" s="2" t="str">
        <f t="shared" si="86"/>
        <v>OK</v>
      </c>
    </row>
    <row r="5617" spans="1:5" x14ac:dyDescent="0.2">
      <c r="A5617" s="5">
        <v>5556</v>
      </c>
      <c r="B5617" s="1832">
        <f>'Revenues 9-14'!F153</f>
        <v>270632</v>
      </c>
      <c r="D5617" s="2" t="str">
        <f t="shared" si="86"/>
        <v>Error?</v>
      </c>
    </row>
    <row r="5618" spans="1:5" x14ac:dyDescent="0.2">
      <c r="A5618" s="5">
        <v>5557</v>
      </c>
      <c r="B5618" s="1832">
        <f>'Revenues 9-14'!F155</f>
        <v>276246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276246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276246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831064</v>
      </c>
      <c r="C5720" s="2" t="s">
        <v>569</v>
      </c>
      <c r="D5720" s="2" t="str">
        <f t="shared" si="88"/>
        <v>Error?</v>
      </c>
    </row>
    <row r="5721" spans="1:4" x14ac:dyDescent="0.2">
      <c r="A5721" s="5">
        <v>5660</v>
      </c>
      <c r="B5721" s="1832">
        <f>'Revenues 9-14'!G5</f>
        <v>100658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100658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201316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201316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2314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2314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52314</v>
      </c>
      <c r="C5915" s="2" t="s">
        <v>569</v>
      </c>
      <c r="D5915" s="2" t="str">
        <f t="shared" si="91"/>
        <v>Error?</v>
      </c>
    </row>
    <row r="5916" spans="1:4" x14ac:dyDescent="0.2">
      <c r="A5916" s="5">
        <v>5855</v>
      </c>
      <c r="B5916" s="1832">
        <f>'Revenues 9-14'!I5</f>
        <v>230122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230122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230122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230126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230126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230126</v>
      </c>
      <c r="C6023" s="2" t="s">
        <v>569</v>
      </c>
      <c r="D6023" s="2" t="str">
        <f t="shared" si="93"/>
        <v>Error?</v>
      </c>
    </row>
    <row r="6024" spans="1:5" x14ac:dyDescent="0.2">
      <c r="A6024" s="5">
        <v>5963</v>
      </c>
      <c r="B6024" s="1832">
        <f>'Revenues 9-14'!G109</f>
        <v>201316</v>
      </c>
      <c r="C6024" s="2" t="s">
        <v>569</v>
      </c>
      <c r="D6024" s="2" t="str">
        <f t="shared" si="93"/>
        <v>Error?</v>
      </c>
    </row>
    <row r="6025" spans="1:5" x14ac:dyDescent="0.2">
      <c r="A6025" s="5">
        <v>5964</v>
      </c>
      <c r="B6025" s="1832">
        <f>'Revenues 9-14'!H109</f>
        <v>2314</v>
      </c>
      <c r="C6025" s="2" t="s">
        <v>569</v>
      </c>
      <c r="D6025" s="2" t="str">
        <f t="shared" si="93"/>
        <v>Error?</v>
      </c>
    </row>
    <row r="6026" spans="1:5" x14ac:dyDescent="0.2">
      <c r="A6026" s="5">
        <v>5965</v>
      </c>
      <c r="B6026" s="1832">
        <f>'Revenues 9-14'!I109</f>
        <v>230122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230126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176987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796.9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124150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124150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124150</v>
      </c>
      <c r="D6216" s="2" t="str">
        <f t="shared" si="96"/>
        <v>Error?</v>
      </c>
      <c r="E6216" s="2" t="s">
        <v>189</v>
      </c>
    </row>
    <row r="6217" spans="1:5" x14ac:dyDescent="0.2">
      <c r="A6217">
        <v>6156</v>
      </c>
      <c r="B6217" s="1832">
        <f>'Assets-Liab 5-6'!J4</f>
        <v>17630</v>
      </c>
      <c r="D6217" s="2" t="str">
        <f t="shared" si="96"/>
        <v>Error?</v>
      </c>
      <c r="E6217" s="2" t="s">
        <v>189</v>
      </c>
    </row>
    <row r="6218" spans="1:5" x14ac:dyDescent="0.2">
      <c r="A6218">
        <v>6157</v>
      </c>
      <c r="B6218" s="1832">
        <f>'Assets-Liab 5-6'!J5</f>
        <v>106520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340369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340369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340369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321388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321388</v>
      </c>
      <c r="D6229" s="2" t="str">
        <f t="shared" si="96"/>
        <v>Error?</v>
      </c>
      <c r="E6229" s="2" t="s">
        <v>189</v>
      </c>
    </row>
    <row r="6230" spans="1:5" x14ac:dyDescent="0.2">
      <c r="A6230">
        <v>6169</v>
      </c>
      <c r="B6230" s="1832">
        <f>'Acct Summary 7-8'!J20</f>
        <v>18981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49000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18981</v>
      </c>
      <c r="D6263" s="2" t="str">
        <f t="shared" si="96"/>
        <v>Error?</v>
      </c>
      <c r="E6263" s="2" t="s">
        <v>189</v>
      </c>
    </row>
    <row r="6264" spans="1:5" x14ac:dyDescent="0.2">
      <c r="A6264">
        <v>6203</v>
      </c>
      <c r="B6264" s="1832">
        <f>'Acct Summary 7-8'!J79</f>
        <v>105169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124150</v>
      </c>
      <c r="D6266" s="2" t="str">
        <f t="shared" si="96"/>
        <v>Error?</v>
      </c>
      <c r="E6266" s="2" t="s">
        <v>189</v>
      </c>
    </row>
    <row r="6267" spans="1:5" x14ac:dyDescent="0.2">
      <c r="A6267">
        <v>6206</v>
      </c>
      <c r="B6267" s="1832">
        <f>'Acct Summary 7-8'!C82</f>
        <v>671054</v>
      </c>
      <c r="D6267" s="2" t="str">
        <f t="shared" si="96"/>
        <v>Error?</v>
      </c>
      <c r="E6267" s="2" t="s">
        <v>189</v>
      </c>
    </row>
    <row r="6268" spans="1:5" x14ac:dyDescent="0.2">
      <c r="A6268">
        <v>6207</v>
      </c>
      <c r="B6268" s="1832">
        <f>'Acct Summary 7-8'!D82</f>
        <v>470788</v>
      </c>
      <c r="D6268" s="2" t="str">
        <f t="shared" si="96"/>
        <v>Error?</v>
      </c>
      <c r="E6268" s="2" t="s">
        <v>189</v>
      </c>
    </row>
    <row r="6269" spans="1:5" x14ac:dyDescent="0.2">
      <c r="A6269">
        <v>6208</v>
      </c>
      <c r="B6269" s="1832">
        <f>'Acct Summary 7-8'!E82</f>
        <v>28574</v>
      </c>
      <c r="D6269" s="2" t="str">
        <f t="shared" si="96"/>
        <v>Error?</v>
      </c>
      <c r="E6269" s="2" t="s">
        <v>189</v>
      </c>
    </row>
    <row r="6270" spans="1:5" x14ac:dyDescent="0.2">
      <c r="A6270">
        <v>6209</v>
      </c>
      <c r="B6270" s="1832">
        <f>'Acct Summary 7-8'!F82</f>
        <v>149271</v>
      </c>
      <c r="D6270" s="2" t="str">
        <f t="shared" si="96"/>
        <v>Error?</v>
      </c>
      <c r="E6270" s="2" t="s">
        <v>189</v>
      </c>
    </row>
    <row r="6271" spans="1:5" x14ac:dyDescent="0.2">
      <c r="A6271">
        <v>6210</v>
      </c>
      <c r="B6271" s="1832">
        <f>'Acct Summary 7-8'!G82</f>
        <v>-94541</v>
      </c>
      <c r="D6271" s="2" t="str">
        <f t="shared" ref="D6271:D6334" si="97">IF(ISBLANK(B6271),"OK",IF(A6271-B6271=0,"OK","Error?"))</f>
        <v>Error?</v>
      </c>
      <c r="E6271" s="2" t="s">
        <v>189</v>
      </c>
    </row>
    <row r="6272" spans="1:5" x14ac:dyDescent="0.2">
      <c r="A6272">
        <v>6211</v>
      </c>
      <c r="B6272" s="1832">
        <f>'Acct Summary 7-8'!H82</f>
        <v>1228389</v>
      </c>
      <c r="D6272" s="2" t="str">
        <f t="shared" si="97"/>
        <v>Error?</v>
      </c>
      <c r="E6272" s="2" t="s">
        <v>189</v>
      </c>
    </row>
    <row r="6273" spans="1:5" x14ac:dyDescent="0.2">
      <c r="A6273">
        <v>6212</v>
      </c>
      <c r="B6273" s="1832">
        <f>'Acct Summary 7-8'!I82</f>
        <v>21</v>
      </c>
      <c r="D6273" s="2" t="str">
        <f t="shared" si="97"/>
        <v>Error?</v>
      </c>
      <c r="E6273" s="2" t="s">
        <v>189</v>
      </c>
    </row>
    <row r="6274" spans="1:5" x14ac:dyDescent="0.2">
      <c r="A6274">
        <v>6213</v>
      </c>
      <c r="B6274" s="1832">
        <f>'Acct Summary 7-8'!J82</f>
        <v>18981</v>
      </c>
      <c r="D6274" s="2" t="str">
        <f t="shared" si="97"/>
        <v>Error?</v>
      </c>
      <c r="E6274" s="2" t="s">
        <v>189</v>
      </c>
    </row>
    <row r="6275" spans="1:5" x14ac:dyDescent="0.2">
      <c r="A6275">
        <v>6214</v>
      </c>
      <c r="B6275" s="1832">
        <f>'Acct Summary 7-8'!K82</f>
        <v>15532</v>
      </c>
      <c r="D6275" s="2" t="str">
        <f t="shared" si="97"/>
        <v>Error?</v>
      </c>
      <c r="E6275" s="2" t="s">
        <v>189</v>
      </c>
    </row>
    <row r="6276" spans="1:5" x14ac:dyDescent="0.2">
      <c r="A6276">
        <v>6215</v>
      </c>
      <c r="B6276" s="1832">
        <f>'Acct Summary 7-8'!C83</f>
        <v>0.26607355409978029</v>
      </c>
      <c r="D6276" s="2" t="str">
        <f t="shared" si="97"/>
        <v>Error?</v>
      </c>
      <c r="E6276" s="2" t="s">
        <v>189</v>
      </c>
    </row>
    <row r="6277" spans="1:5" x14ac:dyDescent="0.2">
      <c r="A6277">
        <v>6216</v>
      </c>
      <c r="B6277" s="1832">
        <f>'Acct Summary 7-8'!D83</f>
        <v>0.6389500756634976</v>
      </c>
      <c r="D6277" s="2" t="str">
        <f t="shared" si="97"/>
        <v>Error?</v>
      </c>
      <c r="E6277" s="2" t="s">
        <v>189</v>
      </c>
    </row>
    <row r="6278" spans="1:5" x14ac:dyDescent="0.2">
      <c r="A6278">
        <v>6217</v>
      </c>
      <c r="B6278" s="1832">
        <f>'Acct Summary 7-8'!E83</f>
        <v>0.97916523884586393</v>
      </c>
      <c r="D6278" s="2" t="str">
        <f t="shared" si="97"/>
        <v>Error?</v>
      </c>
      <c r="E6278" s="2" t="s">
        <v>189</v>
      </c>
    </row>
    <row r="6279" spans="1:5" x14ac:dyDescent="0.2">
      <c r="A6279">
        <v>6218</v>
      </c>
      <c r="B6279" s="1832">
        <f>'Acct Summary 7-8'!F83</f>
        <v>0.57102690047741467</v>
      </c>
      <c r="D6279" s="2" t="str">
        <f t="shared" si="97"/>
        <v>Error?</v>
      </c>
      <c r="E6279" s="2" t="s">
        <v>189</v>
      </c>
    </row>
    <row r="6280" spans="1:5" x14ac:dyDescent="0.2">
      <c r="A6280">
        <v>6219</v>
      </c>
      <c r="B6280" s="1832">
        <f>'Acct Summary 7-8'!G83</f>
        <v>-0.41839706142680122</v>
      </c>
      <c r="D6280" s="2" t="str">
        <f t="shared" si="97"/>
        <v>Error?</v>
      </c>
      <c r="E6280" s="2" t="s">
        <v>189</v>
      </c>
    </row>
    <row r="6281" spans="1:5" x14ac:dyDescent="0.2">
      <c r="A6281">
        <v>6220</v>
      </c>
      <c r="B6281" s="1832">
        <f>'Acct Summary 7-8'!H83</f>
        <v>0.99999918592629378</v>
      </c>
      <c r="D6281" s="2" t="str">
        <f t="shared" si="97"/>
        <v>Error?</v>
      </c>
      <c r="E6281" s="2" t="s">
        <v>189</v>
      </c>
    </row>
    <row r="6282" spans="1:5" x14ac:dyDescent="0.2">
      <c r="A6282">
        <v>6221</v>
      </c>
      <c r="B6282" s="1832">
        <f>'Acct Summary 7-8'!I83</f>
        <v>1.0450880859958196E-3</v>
      </c>
      <c r="D6282" s="2" t="str">
        <f t="shared" si="97"/>
        <v>Error?</v>
      </c>
      <c r="E6282" s="2" t="s">
        <v>189</v>
      </c>
    </row>
    <row r="6283" spans="1:5" x14ac:dyDescent="0.2">
      <c r="A6283">
        <v>6222</v>
      </c>
      <c r="B6283" s="1832">
        <f>'Acct Summary 7-8'!J83</f>
        <v>0.15288763592428514</v>
      </c>
      <c r="D6283" s="2" t="str">
        <f t="shared" si="97"/>
        <v>Error?</v>
      </c>
      <c r="E6283" s="2" t="s">
        <v>189</v>
      </c>
    </row>
    <row r="6284" spans="1:5" x14ac:dyDescent="0.2">
      <c r="A6284">
        <v>6223</v>
      </c>
      <c r="B6284" s="1832">
        <f>'Acct Summary 7-8'!K83</f>
        <v>0.11453686019158303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340369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340369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1232875</v>
      </c>
      <c r="D6330" s="2" t="str">
        <f t="shared" si="97"/>
        <v>Error?</v>
      </c>
      <c r="E6330" s="2" t="s">
        <v>189</v>
      </c>
    </row>
    <row r="6331" spans="1:5" x14ac:dyDescent="0.2">
      <c r="A6331">
        <v>6270</v>
      </c>
      <c r="B6331" s="1832">
        <f>'Revenues 9-14'!D100</f>
        <v>473929</v>
      </c>
      <c r="D6331" s="2" t="str">
        <f t="shared" si="97"/>
        <v>Error?</v>
      </c>
      <c r="E6331" s="2" t="s">
        <v>189</v>
      </c>
    </row>
    <row r="6332" spans="1:5" x14ac:dyDescent="0.2">
      <c r="A6332">
        <v>6271</v>
      </c>
      <c r="B6332" s="1832">
        <f>'Revenues 9-14'!E100</f>
        <v>425000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17126</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340369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4309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1254875</v>
      </c>
      <c r="D6993" s="2" t="str">
        <f t="shared" si="108"/>
        <v>Error?</v>
      </c>
    </row>
    <row r="6994" spans="1:4" x14ac:dyDescent="0.2">
      <c r="A6994">
        <v>6933</v>
      </c>
      <c r="B6994" s="1832">
        <f>'Expenditures 15-22'!K91</f>
        <v>1254875</v>
      </c>
      <c r="D6994" s="2" t="str">
        <f t="shared" si="108"/>
        <v>Error?</v>
      </c>
    </row>
    <row r="6995" spans="1:4" x14ac:dyDescent="0.2">
      <c r="A6995">
        <v>6934</v>
      </c>
      <c r="B6995" s="1832">
        <f>'Expenditures 15-22'!H92</f>
        <v>1254875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321388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340369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1781</v>
      </c>
      <c r="D7093" s="2" t="str">
        <f t="shared" si="109"/>
        <v>Error?</v>
      </c>
    </row>
    <row r="7094" spans="1:4" x14ac:dyDescent="0.2">
      <c r="A7094">
        <v>7033</v>
      </c>
      <c r="B7094" s="1832">
        <f>'Expenditures 15-22'!K254</f>
        <v>1781</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600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600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112226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112226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12889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12889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135767</v>
      </c>
      <c r="D7172" s="2" t="str">
        <f t="shared" si="111"/>
        <v>Error?</v>
      </c>
    </row>
    <row r="7173" spans="1:4" x14ac:dyDescent="0.2">
      <c r="A7173">
        <v>7112</v>
      </c>
      <c r="B7173" s="1832">
        <f>'Expenditures 15-22'!D325</f>
        <v>6322</v>
      </c>
      <c r="D7173" s="2" t="str">
        <f t="shared" si="111"/>
        <v>Error?</v>
      </c>
    </row>
    <row r="7174" spans="1:4" x14ac:dyDescent="0.2">
      <c r="A7174">
        <v>7113</v>
      </c>
      <c r="B7174" s="1832">
        <f>'Expenditures 15-22'!E325</f>
        <v>53584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195673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135767</v>
      </c>
      <c r="D7199" s="2" t="str">
        <f t="shared" si="111"/>
        <v>Error?</v>
      </c>
    </row>
    <row r="7200" spans="1:4" x14ac:dyDescent="0.2">
      <c r="A7200">
        <v>7139</v>
      </c>
      <c r="B7200" s="1832">
        <f>'Expenditures 15-22'!D330</f>
        <v>6322</v>
      </c>
      <c r="D7200" s="2" t="str">
        <f t="shared" si="111"/>
        <v>Error?</v>
      </c>
    </row>
    <row r="7201" spans="1:4" x14ac:dyDescent="0.2">
      <c r="A7201">
        <v>7140</v>
      </c>
      <c r="B7201" s="1832">
        <f>'Expenditures 15-22'!E330</f>
        <v>179299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321388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135767</v>
      </c>
      <c r="D7216" s="2" t="str">
        <f t="shared" si="111"/>
        <v>Error?</v>
      </c>
    </row>
    <row r="7217" spans="1:4" x14ac:dyDescent="0.2">
      <c r="A7217">
        <v>7156</v>
      </c>
      <c r="B7217" s="1832">
        <f>'Expenditures 15-22'!D342</f>
        <v>6322</v>
      </c>
      <c r="D7217" s="2" t="str">
        <f t="shared" si="111"/>
        <v>Error?</v>
      </c>
    </row>
    <row r="7218" spans="1:4" x14ac:dyDescent="0.2">
      <c r="A7218">
        <v>7157</v>
      </c>
      <c r="B7218" s="1832">
        <f>'Expenditures 15-22'!E342</f>
        <v>179299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321388</v>
      </c>
      <c r="D7224" s="2" t="str">
        <f t="shared" si="111"/>
        <v>Error?</v>
      </c>
    </row>
    <row r="7225" spans="1:4" x14ac:dyDescent="0.2">
      <c r="A7225">
        <v>7164</v>
      </c>
      <c r="B7225" s="1832">
        <f>'Expenditures 15-22'!K343</f>
        <v>18981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4309</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619379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17126</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28064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45190</v>
      </c>
      <c r="D7719" s="2" t="str">
        <f t="shared" si="126"/>
        <v>Error?</v>
      </c>
      <c r="E7719" s="2" t="s">
        <v>822</v>
      </c>
    </row>
    <row r="7720" spans="1:6" x14ac:dyDescent="0.2">
      <c r="A7720">
        <v>7659</v>
      </c>
      <c r="B7720" s="1832">
        <f>'Rest Tax Levies-Tort Im 25'!H14</f>
        <v>92040</v>
      </c>
      <c r="D7720" s="2" t="str">
        <f t="shared" si="126"/>
        <v>Error?</v>
      </c>
      <c r="E7720" s="2" t="s">
        <v>822</v>
      </c>
    </row>
    <row r="7721" spans="1:6" x14ac:dyDescent="0.2">
      <c r="A7721">
        <v>7660</v>
      </c>
      <c r="B7721" s="1832">
        <f>'Rest Tax Levies-Tort Im 25'!K14</f>
        <v>45190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2229201</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45190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10970000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-431072</v>
      </c>
      <c r="D7820" s="2" t="str">
        <f t="shared" si="128"/>
        <v>Error?</v>
      </c>
    </row>
    <row r="7821" spans="1:5" x14ac:dyDescent="0.2">
      <c r="A7821">
        <v>7760</v>
      </c>
      <c r="B7821" s="1832">
        <f>'ICR Computation 30'!G40</f>
        <v>-431072</v>
      </c>
      <c r="D7821" s="2" t="str">
        <f t="shared" si="128"/>
        <v>Error?</v>
      </c>
    </row>
    <row r="7822" spans="1:5" x14ac:dyDescent="0.2">
      <c r="A7822" s="1">
        <v>7761</v>
      </c>
      <c r="B7822" s="1832">
        <f>'PCTC-OEPP 27-28'!F14</f>
        <v>16273680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31856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5665132</v>
      </c>
      <c r="D7834" s="2" t="str">
        <f t="shared" si="129"/>
        <v>Error?</v>
      </c>
      <c r="E7834" s="4" t="s">
        <v>1998</v>
      </c>
    </row>
    <row r="7835" spans="1:5" x14ac:dyDescent="0.2">
      <c r="A7835">
        <v>7774</v>
      </c>
      <c r="B7835" s="1832">
        <f>'PCTC-OEPP 27-28'!F78</f>
        <v>10608548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13312.270046429916</v>
      </c>
      <c r="D7837" s="2" t="str">
        <f t="shared" si="129"/>
        <v>Error?</v>
      </c>
      <c r="E7837" s="4" t="s">
        <v>1998</v>
      </c>
    </row>
    <row r="7838" spans="1:5" x14ac:dyDescent="0.2">
      <c r="A7838">
        <v>7777</v>
      </c>
      <c r="B7838" s="1832">
        <f>'PCTC-OEPP 27-28'!F96</f>
        <v>75351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136865</v>
      </c>
      <c r="D7841" s="2" t="str">
        <f t="shared" si="129"/>
        <v>Error?</v>
      </c>
      <c r="E7841" s="4" t="s">
        <v>1998</v>
      </c>
    </row>
    <row r="7842" spans="1:5" x14ac:dyDescent="0.2">
      <c r="A7842">
        <v>7781</v>
      </c>
      <c r="B7842" s="1832">
        <f>'PCTC-OEPP 27-28'!F106</f>
        <v>193187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28064</v>
      </c>
      <c r="D7846" s="2" t="str">
        <f t="shared" si="129"/>
        <v>Error?</v>
      </c>
      <c r="E7846" s="4" t="s">
        <v>1998</v>
      </c>
    </row>
    <row r="7847" spans="1:5" x14ac:dyDescent="0.2">
      <c r="A7847">
        <v>7786</v>
      </c>
      <c r="B7847" s="1832">
        <f>'PCTC-OEPP 27-28'!F112</f>
        <v>276246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116763</v>
      </c>
      <c r="D7859" s="2" t="str">
        <f t="shared" si="129"/>
        <v>Error?</v>
      </c>
      <c r="E7859" s="4" t="s">
        <v>1998</v>
      </c>
    </row>
    <row r="7860" spans="1:5" x14ac:dyDescent="0.2">
      <c r="A7860">
        <v>7799</v>
      </c>
      <c r="B7860" s="1832">
        <f>'PCTC-OEPP 27-28'!F128</f>
        <v>5589</v>
      </c>
      <c r="D7860" s="2" t="str">
        <f t="shared" si="129"/>
        <v>Error?</v>
      </c>
      <c r="E7860" s="4" t="s">
        <v>1998</v>
      </c>
    </row>
    <row r="7861" spans="1:5" x14ac:dyDescent="0.2">
      <c r="A7861">
        <v>7800</v>
      </c>
      <c r="B7861" s="1832">
        <f>'PCTC-OEPP 27-28'!F129</f>
        <v>60470</v>
      </c>
      <c r="D7861" s="2" t="str">
        <f t="shared" si="129"/>
        <v>Error?</v>
      </c>
      <c r="E7861" s="4" t="s">
        <v>1998</v>
      </c>
    </row>
    <row r="7862" spans="1:5" x14ac:dyDescent="0.2">
      <c r="A7862">
        <v>7801</v>
      </c>
      <c r="B7862" s="1832">
        <f>'PCTC-OEPP 27-28'!F130</f>
        <v>133830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20731</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21746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4087</v>
      </c>
      <c r="D7874" s="2" t="str">
        <f t="shared" si="129"/>
        <v>Error?</v>
      </c>
      <c r="E7874" s="4" t="s">
        <v>1998</v>
      </c>
    </row>
    <row r="7875" spans="1:5" x14ac:dyDescent="0.2">
      <c r="A7875">
        <v>7814</v>
      </c>
      <c r="B7875" s="1832">
        <f>'PCTC-OEPP 27-28'!F170</f>
        <v>18931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1434903</v>
      </c>
      <c r="D7877" s="2" t="str">
        <f t="shared" si="129"/>
        <v>Error?</v>
      </c>
      <c r="E7877" s="4" t="s">
        <v>1998</v>
      </c>
    </row>
    <row r="7878" spans="1:5" x14ac:dyDescent="0.2">
      <c r="A7878">
        <v>7817</v>
      </c>
      <c r="B7878" s="1832">
        <f>'PCTC-OEPP 27-28'!F176</f>
        <v>9173645</v>
      </c>
      <c r="D7878" s="2" t="str">
        <f t="shared" si="129"/>
        <v>Error?</v>
      </c>
      <c r="E7878" s="4" t="s">
        <v>1998</v>
      </c>
    </row>
    <row r="7879" spans="1:5" x14ac:dyDescent="0.2">
      <c r="A7879">
        <v>7818</v>
      </c>
      <c r="B7879" s="1832">
        <f>'PCTC-OEPP 27-28'!F178</f>
        <v>9793024</v>
      </c>
      <c r="D7879" s="2" t="str">
        <f t="shared" si="129"/>
        <v>Error?</v>
      </c>
      <c r="E7879" s="4" t="s">
        <v>1998</v>
      </c>
    </row>
    <row r="7880" spans="1:5" x14ac:dyDescent="0.2">
      <c r="A7880">
        <v>7819</v>
      </c>
      <c r="B7880" s="1832">
        <f>'PCTC-OEPP 27-28'!F180</f>
        <v>12288.899485506337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Morris CHSD 101</v>
      </c>
      <c r="B7" s="2536"/>
      <c r="C7" s="2536"/>
      <c r="D7" s="2537"/>
      <c r="E7" s="2538">
        <f>COVER!A13</f>
        <v>24032101016</v>
      </c>
      <c r="F7" s="2539"/>
      <c r="G7" s="2545" t="str">
        <f>COVER!T23</f>
        <v>066-005100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Mack &amp; Associates, P.C.</v>
      </c>
      <c r="H9" s="2551"/>
      <c r="I9" s="2551"/>
      <c r="J9" s="2551"/>
      <c r="K9" s="2551"/>
      <c r="L9" s="2552"/>
    </row>
    <row r="10" spans="1:29" ht="13.5" customHeight="1" x14ac:dyDescent="0.2">
      <c r="A10" s="2524" t="str">
        <f>COVER!A38</f>
        <v>Dr. Craig Ortiz</v>
      </c>
      <c r="B10" s="2525"/>
      <c r="C10" s="2525"/>
      <c r="D10" s="2525"/>
      <c r="E10" s="2525"/>
      <c r="F10" s="2526"/>
      <c r="G10" s="2518" t="str">
        <f>COVER!T17</f>
        <v>116 E. Washington Street, Suite One</v>
      </c>
      <c r="H10" s="2519"/>
      <c r="I10" s="2519"/>
      <c r="J10" s="2519"/>
      <c r="K10" s="2519"/>
      <c r="L10" s="2520"/>
    </row>
    <row r="11" spans="1:29" ht="13.5" customHeight="1" x14ac:dyDescent="0.2">
      <c r="A11" s="963" t="s">
        <v>1502</v>
      </c>
      <c r="B11" s="964"/>
      <c r="C11" s="965"/>
      <c r="D11" s="970"/>
      <c r="E11" s="965"/>
      <c r="F11" s="969"/>
      <c r="G11" s="2518" t="str">
        <f>COVER!T19</f>
        <v>Morris</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tmack@mackcpas.com</v>
      </c>
      <c r="J13" s="2531"/>
      <c r="K13" s="2531"/>
      <c r="L13" s="2532"/>
    </row>
    <row r="14" spans="1:29" ht="13.5" customHeight="1" x14ac:dyDescent="0.2">
      <c r="A14" s="2518" t="str">
        <f>COVER!A19</f>
        <v>1000 Union Street</v>
      </c>
      <c r="B14" s="2519"/>
      <c r="C14" s="2519"/>
      <c r="D14" s="2519"/>
      <c r="E14" s="2519"/>
      <c r="F14" s="2520"/>
      <c r="G14" s="974" t="s">
        <v>1175</v>
      </c>
      <c r="H14" s="972"/>
      <c r="I14" s="972"/>
      <c r="J14" s="972"/>
      <c r="K14" s="972"/>
      <c r="L14" s="973"/>
    </row>
    <row r="15" spans="1:29" ht="13.5" customHeight="1" x14ac:dyDescent="0.2">
      <c r="A15" s="2518" t="str">
        <f>COVER!A21</f>
        <v>Morris</v>
      </c>
      <c r="B15" s="2519"/>
      <c r="C15" s="2519"/>
      <c r="D15" s="2519"/>
      <c r="E15" s="2519"/>
      <c r="F15" s="2520"/>
      <c r="G15" s="2515" t="str">
        <f>COVER!T15</f>
        <v>Tawnya Mack, CPA</v>
      </c>
      <c r="H15" s="2516"/>
      <c r="I15" s="2516"/>
      <c r="J15" s="2516"/>
      <c r="K15" s="2516"/>
      <c r="L15" s="2517"/>
    </row>
    <row r="16" spans="1:29" ht="12.2" customHeight="1" x14ac:dyDescent="0.2">
      <c r="A16" s="2541">
        <f>COVER!A25</f>
        <v>60450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815-942-3306</v>
      </c>
      <c r="H18" s="2536"/>
      <c r="I18" s="2536"/>
      <c r="J18" s="2536"/>
      <c r="K18" s="2535" t="str">
        <f>COVER!X21</f>
        <v>815-942-9430</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Morris CHSD 101</v>
      </c>
      <c r="B1" s="2558"/>
      <c r="C1" s="2558"/>
      <c r="D1" s="2558"/>
    </row>
    <row r="2" spans="1:11" s="991" customFormat="1" ht="12.75" x14ac:dyDescent="0.2">
      <c r="A2" s="2559">
        <f>'Single Audit Cover'!E7</f>
        <v>24032101016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Morris CHSD 101</v>
      </c>
      <c r="B1" s="2562"/>
      <c r="C1" s="2562"/>
      <c r="D1" s="2562"/>
      <c r="E1" s="2562"/>
    </row>
    <row r="2" spans="1:5" x14ac:dyDescent="0.2">
      <c r="A2" s="2563">
        <f>'Single Audit Cover'!E7</f>
        <v>24032101016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382147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-18931</v>
      </c>
    </row>
    <row r="19" spans="1:4" ht="13.5" thickBot="1" x14ac:dyDescent="0.25">
      <c r="A19" s="1041" t="s">
        <v>1224</v>
      </c>
      <c r="D19" s="1042">
        <f>SUM(D10:D17)</f>
        <v>363216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363216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363216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Morris CHSD 101</v>
      </c>
      <c r="C1" s="2566"/>
      <c r="D1" s="2566"/>
      <c r="E1" s="2566"/>
      <c r="F1" s="2566"/>
      <c r="G1" s="2566"/>
      <c r="H1" s="2566"/>
      <c r="I1" s="2566"/>
      <c r="J1" s="2566"/>
      <c r="K1" s="2566"/>
      <c r="L1" s="2566"/>
      <c r="M1" s="2566"/>
    </row>
    <row r="2" spans="2:14" ht="15" x14ac:dyDescent="0.2">
      <c r="B2" s="2567">
        <f>'Single Audit Cover'!E7</f>
        <v>24032101016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Morris CHSD 101</v>
      </c>
      <c r="B1" s="2579"/>
      <c r="C1" s="2579"/>
      <c r="D1" s="2579"/>
      <c r="E1" s="2579"/>
      <c r="F1" s="2579"/>
    </row>
    <row r="2" spans="1:7" ht="13.5" customHeight="1" x14ac:dyDescent="0.2">
      <c r="A2" s="2567">
        <f>'Single Audit Cover'!E7</f>
        <v>24032101016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6" colorId="8" zoomScaleNormal="100" workbookViewId="0">
      <selection activeCell="O42" sqref="O4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2055</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Morris CHSD 101</v>
      </c>
      <c r="C1" s="2594"/>
      <c r="D1" s="2594"/>
      <c r="E1" s="2594"/>
      <c r="F1" s="2594"/>
      <c r="G1" s="2594"/>
      <c r="H1" s="2594"/>
      <c r="I1" s="2594"/>
      <c r="J1" s="1178"/>
    </row>
    <row r="2" spans="2:10" s="295" customFormat="1" ht="12.75" customHeight="1" x14ac:dyDescent="0.2">
      <c r="B2" s="2595">
        <f>'Single Audit Cover'!E7</f>
        <v>24032101016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Morris CHSD 101</v>
      </c>
      <c r="C1" s="2593"/>
      <c r="D1" s="2593"/>
      <c r="E1" s="2593"/>
      <c r="F1" s="2593"/>
      <c r="G1" s="2593"/>
      <c r="H1" s="2593"/>
      <c r="I1" s="2593"/>
      <c r="J1" s="2593"/>
      <c r="K1" s="2593"/>
      <c r="L1" s="1144"/>
      <c r="M1" s="1144"/>
    </row>
    <row r="2" spans="1:13" ht="12" customHeight="1" x14ac:dyDescent="0.2">
      <c r="B2" s="2595">
        <f>'Single Audit Cover'!E7</f>
        <v>24032101016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Morris CHSD 101</v>
      </c>
      <c r="C1" s="2616"/>
      <c r="D1" s="2616"/>
      <c r="E1" s="2616"/>
      <c r="F1" s="2616"/>
      <c r="G1" s="2616"/>
      <c r="H1" s="2616"/>
      <c r="I1" s="2616"/>
      <c r="J1" s="2616"/>
      <c r="K1" s="2616"/>
      <c r="L1" s="1221"/>
    </row>
    <row r="2" spans="1:12" ht="12.75" customHeight="1" x14ac:dyDescent="0.2">
      <c r="B2" s="2617">
        <f>'Single Audit Cover'!E7</f>
        <v>24032101016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Morris CHSD 101</v>
      </c>
      <c r="C1" s="2593"/>
      <c r="D1" s="2593"/>
      <c r="E1" s="1240"/>
    </row>
    <row r="2" spans="2:5" s="1058" customFormat="1" ht="12.75" customHeight="1" x14ac:dyDescent="0.2">
      <c r="B2" s="2595">
        <f>'Single Audit Cover'!E7</f>
        <v>24032101016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L179" sqref="L17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500274333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12661773</v>
      </c>
      <c r="E16" s="1547"/>
      <c r="F16" s="1546">
        <f>SUM('Acct Summary 7-8'!C17,'Acct Summary 7-8'!D17,'Acct Summary 7-8'!F17)</f>
        <v>13369739</v>
      </c>
      <c r="G16" s="1547"/>
      <c r="H16" s="1546">
        <f>SUM(D16-F16)</f>
        <v>-707966</v>
      </c>
      <c r="I16" s="1548"/>
      <c r="J16" s="1546">
        <f>SUM('Acct Summary 7-8'!C81,'Acct Summary 7-8'!D81,'Acct Summary 7-8'!F81,'Acct Summary 7-8'!I81)</f>
        <v>3540379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582</v>
      </c>
      <c r="D31" s="232" t="s">
        <v>1063</v>
      </c>
      <c r="E31" s="217"/>
      <c r="F31" s="217"/>
      <c r="G31" s="340"/>
      <c r="H31" s="1425">
        <f>IF(B31="X",(J7*0.069),IF(B32="X",(J7*0.138),"Enter x in a.or b."))</f>
        <v>34518928.977000006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6790000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L179" sqref="L17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Morris CHSD 101</v>
      </c>
      <c r="E7" s="368"/>
      <c r="G7" s="247"/>
      <c r="H7" s="364"/>
      <c r="I7" s="364"/>
      <c r="J7" s="364"/>
      <c r="K7" s="364"/>
      <c r="L7" s="307"/>
      <c r="M7" s="307"/>
      <c r="N7" s="307"/>
      <c r="O7" s="307"/>
      <c r="P7" s="307"/>
    </row>
    <row r="8" spans="1:18" ht="12.75" x14ac:dyDescent="0.2">
      <c r="A8" s="307"/>
      <c r="B8" s="307"/>
      <c r="C8" s="366" t="s">
        <v>1115</v>
      </c>
      <c r="D8" s="369">
        <f>COVER!A13</f>
        <v>24032101016</v>
      </c>
      <c r="E8" s="370"/>
      <c r="G8" s="307"/>
      <c r="H8" s="307"/>
      <c r="I8" s="307"/>
      <c r="J8" s="307"/>
      <c r="K8" s="307"/>
      <c r="L8" s="307"/>
      <c r="M8" s="307"/>
      <c r="N8" s="307"/>
      <c r="O8" s="307"/>
      <c r="P8" s="307"/>
    </row>
    <row r="9" spans="1:18" ht="12.75" x14ac:dyDescent="0.2">
      <c r="A9" s="307"/>
      <c r="B9" s="307"/>
      <c r="C9" s="366" t="s">
        <v>708</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3540379</v>
      </c>
      <c r="I12" s="380"/>
      <c r="J12" s="380"/>
      <c r="K12" s="1559">
        <f>TRUNC((H12/H13*100000),5)/100000</f>
        <v>0.27961163100000003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12661773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13369739</v>
      </c>
      <c r="I17" s="380"/>
      <c r="J17" s="389"/>
      <c r="K17" s="1559">
        <f>TRUNC((H17/H18*100000),5)/100000</f>
        <v>1.0559136543999998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12661773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3.2123035</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3540379</v>
      </c>
      <c r="I24" s="394"/>
      <c r="J24" s="394"/>
      <c r="K24" s="1555">
        <f>TRUNC(((H24/H25*100000)/100000),2)</f>
        <v>95.32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37138.163890000003</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5485508.0613500001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6790000</v>
      </c>
      <c r="I32" s="392"/>
      <c r="J32" s="392"/>
      <c r="K32" s="1555">
        <f>TRUNC(100-((((H32/H33*100))*100)/100),2)</f>
        <v>80.319999999999993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34518928.977000006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L179" sqref="L179"/>
      <selection pane="bottomLeft" activeCell="L179" sqref="L17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773139</v>
      </c>
      <c r="D4" s="1573">
        <v>93815</v>
      </c>
      <c r="E4" s="1573">
        <v>29182</v>
      </c>
      <c r="F4" s="1573">
        <v>46280</v>
      </c>
      <c r="G4" s="1573">
        <v>33972</v>
      </c>
      <c r="H4" s="1573">
        <v>55076</v>
      </c>
      <c r="I4" s="1573">
        <v>20</v>
      </c>
      <c r="J4" s="1574">
        <v>17630</v>
      </c>
      <c r="K4" s="1573">
        <v>20607</v>
      </c>
      <c r="L4" s="1573">
        <v>137157</v>
      </c>
      <c r="M4" s="1575"/>
      <c r="N4" s="1576"/>
    </row>
    <row r="5" spans="1:14" x14ac:dyDescent="0.2">
      <c r="A5" s="427" t="s">
        <v>985</v>
      </c>
      <c r="B5" s="429">
        <v>120</v>
      </c>
      <c r="C5" s="1572">
        <v>1748923</v>
      </c>
      <c r="D5" s="1573">
        <v>643000</v>
      </c>
      <c r="E5" s="1573"/>
      <c r="F5" s="1573">
        <v>215128</v>
      </c>
      <c r="G5" s="1573">
        <v>191988</v>
      </c>
      <c r="H5" s="1573">
        <v>1173314</v>
      </c>
      <c r="I5" s="1573">
        <v>20074</v>
      </c>
      <c r="J5" s="1574">
        <v>106520</v>
      </c>
      <c r="K5" s="1577">
        <v>115000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2522062</v>
      </c>
      <c r="D13" s="1587">
        <f t="shared" ref="D13:L13" si="0">SUM(D4:D12)</f>
        <v>736815</v>
      </c>
      <c r="E13" s="1587">
        <f t="shared" si="0"/>
        <v>29182</v>
      </c>
      <c r="F13" s="1587">
        <f t="shared" si="0"/>
        <v>261408</v>
      </c>
      <c r="G13" s="1587">
        <f t="shared" si="0"/>
        <v>225960</v>
      </c>
      <c r="H13" s="1587">
        <f t="shared" si="0"/>
        <v>1228390</v>
      </c>
      <c r="I13" s="1587">
        <f t="shared" si="0"/>
        <v>20094</v>
      </c>
      <c r="J13" s="1587">
        <f t="shared" si="0"/>
        <v>124150</v>
      </c>
      <c r="K13" s="1587">
        <f t="shared" si="0"/>
        <v>135607</v>
      </c>
      <c r="L13" s="1587">
        <f t="shared" si="0"/>
        <v>137157</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62042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7501209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918440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162209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478022</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29182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6760818</v>
      </c>
    </row>
    <row r="23" spans="1:14" ht="13.5" customHeight="1" thickBot="1" x14ac:dyDescent="0.25">
      <c r="A23" s="1426" t="s">
        <v>638</v>
      </c>
      <c r="B23" s="1429"/>
      <c r="C23" s="1575"/>
      <c r="D23" s="1575"/>
      <c r="E23" s="1575"/>
      <c r="F23" s="1575"/>
      <c r="G23" s="1575"/>
      <c r="H23" s="1575"/>
      <c r="I23" s="1575"/>
      <c r="J23" s="1575"/>
      <c r="K23" s="1575"/>
      <c r="L23" s="1575"/>
      <c r="M23" s="1594">
        <f>SUM(M15:M22)</f>
        <v>9121922</v>
      </c>
      <c r="N23" s="1594">
        <f>SUM(N21:N22)</f>
        <v>6790000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137157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137157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6790000</v>
      </c>
    </row>
    <row r="37" spans="1:14" ht="13.5" thickBot="1" x14ac:dyDescent="0.25">
      <c r="A37" s="1426" t="s">
        <v>648</v>
      </c>
      <c r="B37" s="1429"/>
      <c r="C37" s="1582"/>
      <c r="D37" s="1582"/>
      <c r="E37" s="1582"/>
      <c r="F37" s="1582"/>
      <c r="G37" s="1582"/>
      <c r="H37" s="1582"/>
      <c r="I37" s="1582"/>
      <c r="J37" s="1582"/>
      <c r="K37" s="1582"/>
      <c r="L37" s="1585"/>
      <c r="M37" s="1575"/>
      <c r="N37" s="1594">
        <f>SUM(N36:N36)</f>
        <v>6790000</v>
      </c>
    </row>
    <row r="38" spans="1:14" s="307" customFormat="1" ht="13.5" customHeight="1" thickTop="1" x14ac:dyDescent="0.2">
      <c r="A38" s="438" t="s">
        <v>417</v>
      </c>
      <c r="B38" s="432">
        <v>714</v>
      </c>
      <c r="C38" s="1573">
        <v>768214</v>
      </c>
      <c r="D38" s="1573"/>
      <c r="E38" s="1573">
        <v>29182</v>
      </c>
      <c r="F38" s="1573">
        <v>261408</v>
      </c>
      <c r="G38" s="1573">
        <v>261092</v>
      </c>
      <c r="H38" s="1573">
        <v>1228390</v>
      </c>
      <c r="I38" s="1573"/>
      <c r="J38" s="1574">
        <v>124150</v>
      </c>
      <c r="K38" s="1573">
        <v>135607</v>
      </c>
      <c r="L38" s="1586"/>
      <c r="M38" s="1604"/>
      <c r="N38" s="1604"/>
    </row>
    <row r="39" spans="1:14" s="307" customFormat="1" ht="13.5" customHeight="1" x14ac:dyDescent="0.2">
      <c r="A39" s="438" t="s">
        <v>339</v>
      </c>
      <c r="B39" s="432">
        <v>730</v>
      </c>
      <c r="C39" s="1573">
        <v>1753848</v>
      </c>
      <c r="D39" s="1573">
        <v>736815</v>
      </c>
      <c r="E39" s="1573"/>
      <c r="F39" s="1573"/>
      <c r="G39" s="1573">
        <v>-35132</v>
      </c>
      <c r="H39" s="1573"/>
      <c r="I39" s="1573">
        <v>20094</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9121922</v>
      </c>
      <c r="N40" s="1604"/>
    </row>
    <row r="41" spans="1:14" ht="13.5" customHeight="1" thickBot="1" x14ac:dyDescent="0.25">
      <c r="A41" s="1426" t="s">
        <v>650</v>
      </c>
      <c r="B41" s="1405"/>
      <c r="C41" s="1594">
        <f>(SUM(C34,C37,C38,C39))</f>
        <v>2522062</v>
      </c>
      <c r="D41" s="1594">
        <f t="shared" ref="D41:L41" si="2">SUM(D34,D37,D38:D39)</f>
        <v>736815</v>
      </c>
      <c r="E41" s="1594">
        <f t="shared" si="2"/>
        <v>29182</v>
      </c>
      <c r="F41" s="1594">
        <f t="shared" si="2"/>
        <v>261408</v>
      </c>
      <c r="G41" s="1594">
        <f t="shared" si="2"/>
        <v>225960</v>
      </c>
      <c r="H41" s="1594">
        <f t="shared" si="2"/>
        <v>1228390</v>
      </c>
      <c r="I41" s="1594">
        <f t="shared" si="2"/>
        <v>20094</v>
      </c>
      <c r="J41" s="1594">
        <f t="shared" si="2"/>
        <v>124150</v>
      </c>
      <c r="K41" s="1594">
        <f t="shared" si="2"/>
        <v>135607</v>
      </c>
      <c r="L41" s="1594">
        <f t="shared" si="2"/>
        <v>137157</v>
      </c>
      <c r="M41" s="1594">
        <f>SUM(M40)</f>
        <v>9121922</v>
      </c>
      <c r="N41" s="1594">
        <f>SUM(N37)</f>
        <v>6790000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L179" sqref="L179"/>
      <selection pane="bottomLeft" activeCell="H76" sqref="H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6677065</v>
      </c>
      <c r="D4" s="1606">
        <f>'Revenues 9-14'!D109</f>
        <v>1961861</v>
      </c>
      <c r="E4" s="1606">
        <f>'Revenues 9-14'!E109</f>
        <v>2315270</v>
      </c>
      <c r="F4" s="1606">
        <f>'Revenues 9-14'!F109</f>
        <v>554818</v>
      </c>
      <c r="G4" s="1606">
        <f>'Revenues 9-14'!G109</f>
        <v>201316</v>
      </c>
      <c r="H4" s="1606">
        <f>'Revenues 9-14'!H109</f>
        <v>2314</v>
      </c>
      <c r="I4" s="1606">
        <f>'Revenues 9-14'!I109</f>
        <v>230122</v>
      </c>
      <c r="J4" s="1606">
        <f>'Revenues 9-14'!J109</f>
        <v>340369</v>
      </c>
      <c r="K4" s="1606">
        <f>'Revenues 9-14'!K109</f>
        <v>230126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2579514</v>
      </c>
      <c r="D6" s="1607">
        <f>'Revenues 9-14'!D170</f>
        <v>0</v>
      </c>
      <c r="E6" s="1607">
        <f>'Revenues 9-14'!E170</f>
        <v>0</v>
      </c>
      <c r="F6" s="1607">
        <f>'Revenues 9-14'!F170</f>
        <v>276246</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382147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9638726</v>
      </c>
      <c r="D8" s="1594">
        <f t="shared" ref="D8:K8" si="0">SUM(D4:D7)</f>
        <v>1961861</v>
      </c>
      <c r="E8" s="1594">
        <f t="shared" si="0"/>
        <v>2315270</v>
      </c>
      <c r="F8" s="1594">
        <f t="shared" si="0"/>
        <v>831064</v>
      </c>
      <c r="G8" s="1594">
        <f t="shared" si="0"/>
        <v>201316</v>
      </c>
      <c r="H8" s="1594">
        <f t="shared" si="0"/>
        <v>52314</v>
      </c>
      <c r="I8" s="1594">
        <f t="shared" si="0"/>
        <v>230122</v>
      </c>
      <c r="J8" s="1594">
        <f t="shared" si="0"/>
        <v>340369</v>
      </c>
      <c r="K8" s="1594">
        <f t="shared" si="0"/>
        <v>230126</v>
      </c>
      <c r="L8" s="325"/>
    </row>
    <row r="9" spans="1:13" ht="15.75" thickTop="1" x14ac:dyDescent="0.2">
      <c r="A9" s="449" t="s">
        <v>1634</v>
      </c>
      <c r="B9" s="450">
        <v>3998</v>
      </c>
      <c r="C9" s="1586">
        <v>628780</v>
      </c>
      <c r="D9" s="1613"/>
      <c r="E9" s="1586"/>
      <c r="F9" s="1586"/>
      <c r="G9" s="1614"/>
      <c r="H9" s="1586"/>
      <c r="I9" s="1609" t="s">
        <v>1159</v>
      </c>
      <c r="J9" s="1583"/>
      <c r="K9" s="1586"/>
      <c r="L9" s="325"/>
    </row>
    <row r="10" spans="1:13" s="452" customFormat="1" ht="13.5" thickBot="1" x14ac:dyDescent="0.25">
      <c r="A10" s="1426" t="s">
        <v>1163</v>
      </c>
      <c r="B10" s="1407"/>
      <c r="C10" s="1594">
        <f>SUM(C8:C9)</f>
        <v>10267506</v>
      </c>
      <c r="D10" s="1594">
        <f t="shared" ref="D10:K10" si="1">SUM(D8:D9)</f>
        <v>1961861</v>
      </c>
      <c r="E10" s="1594">
        <f t="shared" si="1"/>
        <v>2315270</v>
      </c>
      <c r="F10" s="1594">
        <f t="shared" si="1"/>
        <v>831064</v>
      </c>
      <c r="G10" s="1594">
        <f t="shared" si="1"/>
        <v>201316</v>
      </c>
      <c r="H10" s="1594">
        <f t="shared" si="1"/>
        <v>52314</v>
      </c>
      <c r="I10" s="1594">
        <f t="shared" si="1"/>
        <v>230122</v>
      </c>
      <c r="J10" s="1594">
        <f t="shared" si="1"/>
        <v>340369</v>
      </c>
      <c r="K10" s="1594">
        <f t="shared" si="1"/>
        <v>230126</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6648712</v>
      </c>
      <c r="D12" s="1616" t="s">
        <v>1159</v>
      </c>
      <c r="E12" s="1575" t="s">
        <v>1159</v>
      </c>
      <c r="F12" s="1575" t="s">
        <v>1159</v>
      </c>
      <c r="G12" s="1606">
        <f>'Expenditures 15-22'!K229</f>
        <v>102139</v>
      </c>
      <c r="H12" s="1617"/>
      <c r="I12" s="1575" t="s">
        <v>1159</v>
      </c>
      <c r="J12" s="1575" t="s">
        <v>1159</v>
      </c>
      <c r="K12" s="1617" t="s">
        <v>1159</v>
      </c>
      <c r="L12" s="325"/>
    </row>
    <row r="13" spans="1:13" ht="15.75" customHeight="1" x14ac:dyDescent="0.2">
      <c r="A13" s="1314" t="s">
        <v>454</v>
      </c>
      <c r="B13" s="1316">
        <v>2000</v>
      </c>
      <c r="C13" s="1607">
        <f>'Expenditures 15-22'!K74</f>
        <v>2044256</v>
      </c>
      <c r="D13" s="1607">
        <f>'Expenditures 15-22'!K129</f>
        <v>1351625</v>
      </c>
      <c r="E13" s="1576" t="s">
        <v>1159</v>
      </c>
      <c r="F13" s="1607">
        <f>'Expenditures 15-22'!K184</f>
        <v>16329</v>
      </c>
      <c r="G13" s="1607">
        <f>'Expenditures 15-22'!K279</f>
        <v>193718</v>
      </c>
      <c r="H13" s="1607">
        <f>'Expenditures 15-22'!K303</f>
        <v>550470</v>
      </c>
      <c r="I13" s="1575" t="s">
        <v>1159</v>
      </c>
      <c r="J13" s="1607">
        <f>'Expenditures 15-22'!K330</f>
        <v>321388</v>
      </c>
      <c r="K13" s="1618">
        <f>'Expenditures 15-22'!K352</f>
        <v>214594</v>
      </c>
      <c r="L13" s="325"/>
    </row>
    <row r="14" spans="1:13" ht="15.75" customHeight="1" x14ac:dyDescent="0.2">
      <c r="A14" s="1314" t="s">
        <v>446</v>
      </c>
      <c r="B14" s="1316">
        <v>3000</v>
      </c>
      <c r="C14" s="1607">
        <f>'Expenditures 15-22'!K75</f>
        <v>31856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2472049</v>
      </c>
      <c r="D15" s="1607">
        <f>'Expenditures 15-22'!K139</f>
        <v>139448</v>
      </c>
      <c r="E15" s="1607">
        <f>'Expenditures 15-22'!K160</f>
        <v>0</v>
      </c>
      <c r="F15" s="1607">
        <f>'Expenditures 15-22'!K196</f>
        <v>665464</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2286696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11196873</v>
      </c>
      <c r="D17" s="1594">
        <f t="shared" si="2"/>
        <v>1491073</v>
      </c>
      <c r="E17" s="1594">
        <f t="shared" si="2"/>
        <v>2286696</v>
      </c>
      <c r="F17" s="1594">
        <f t="shared" si="2"/>
        <v>681793</v>
      </c>
      <c r="G17" s="1594">
        <f t="shared" si="2"/>
        <v>295857</v>
      </c>
      <c r="H17" s="1594">
        <f t="shared" si="2"/>
        <v>550470</v>
      </c>
      <c r="I17" s="1575"/>
      <c r="J17" s="1594">
        <f>SUM(J12:J16)</f>
        <v>321388</v>
      </c>
      <c r="K17" s="1594">
        <f>SUM(K12:K16)</f>
        <v>214594</v>
      </c>
      <c r="L17" s="325"/>
    </row>
    <row r="18" spans="1:12" ht="15" customHeight="1" thickTop="1" x14ac:dyDescent="0.2">
      <c r="A18" s="1430" t="s">
        <v>1635</v>
      </c>
      <c r="B18" s="1431">
        <v>4180</v>
      </c>
      <c r="C18" s="1606">
        <f t="shared" ref="C18:H18" si="3">C9</f>
        <v>628780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11825653</v>
      </c>
      <c r="D19" s="1594">
        <f t="shared" si="4"/>
        <v>1491073</v>
      </c>
      <c r="E19" s="1594">
        <f t="shared" si="4"/>
        <v>2286696</v>
      </c>
      <c r="F19" s="1594">
        <f t="shared" si="4"/>
        <v>681793</v>
      </c>
      <c r="G19" s="1594">
        <f t="shared" si="4"/>
        <v>295857</v>
      </c>
      <c r="H19" s="1594">
        <f t="shared" si="4"/>
        <v>550470</v>
      </c>
      <c r="I19" s="1575"/>
      <c r="J19" s="1594">
        <f>SUM(J17:J18)</f>
        <v>321388</v>
      </c>
      <c r="K19" s="1594">
        <f>SUM(K17:K18)</f>
        <v>214594</v>
      </c>
      <c r="L19" s="325"/>
    </row>
    <row r="20" spans="1:12" ht="16.5" thickTop="1" thickBot="1" x14ac:dyDescent="0.25">
      <c r="A20" s="2231" t="s">
        <v>1636</v>
      </c>
      <c r="B20" s="2232"/>
      <c r="C20" s="1622">
        <f>C8-C17</f>
        <v>-1558147</v>
      </c>
      <c r="D20" s="1622">
        <f t="shared" ref="D20:K20" si="5">D8-D17</f>
        <v>470788</v>
      </c>
      <c r="E20" s="1622">
        <f t="shared" si="5"/>
        <v>28574</v>
      </c>
      <c r="F20" s="1622">
        <f t="shared" si="5"/>
        <v>149271</v>
      </c>
      <c r="G20" s="1622">
        <f t="shared" si="5"/>
        <v>-94541</v>
      </c>
      <c r="H20" s="1622">
        <f t="shared" si="5"/>
        <v>-498156</v>
      </c>
      <c r="I20" s="1622">
        <f t="shared" si="5"/>
        <v>230122</v>
      </c>
      <c r="J20" s="1622">
        <f t="shared" si="5"/>
        <v>18981</v>
      </c>
      <c r="K20" s="1622">
        <f t="shared" si="5"/>
        <v>15532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2229201</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1855000</v>
      </c>
      <c r="I33" s="1574">
        <v>2000000</v>
      </c>
      <c r="J33" s="1574"/>
      <c r="K33" s="1574"/>
      <c r="L33" s="453"/>
    </row>
    <row r="34" spans="1:12" s="433" customFormat="1" x14ac:dyDescent="0.2">
      <c r="A34" s="1260" t="s">
        <v>994</v>
      </c>
      <c r="B34" s="454">
        <v>7220</v>
      </c>
      <c r="C34" s="1574"/>
      <c r="D34" s="1574"/>
      <c r="E34" s="1574"/>
      <c r="F34" s="1574"/>
      <c r="G34" s="1582"/>
      <c r="H34" s="1583">
        <v>281545</v>
      </c>
      <c r="I34" s="1583">
        <v>48100</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2229201</v>
      </c>
      <c r="D44" s="1624">
        <f t="shared" ref="D44:K44" si="6">SUM(D24:D43)</f>
        <v>0</v>
      </c>
      <c r="E44" s="1624">
        <f t="shared" si="6"/>
        <v>0</v>
      </c>
      <c r="F44" s="1624">
        <f t="shared" si="6"/>
        <v>0</v>
      </c>
      <c r="G44" s="1624">
        <f t="shared" si="6"/>
        <v>0</v>
      </c>
      <c r="H44" s="1624">
        <f t="shared" si="6"/>
        <v>2136545</v>
      </c>
      <c r="I44" s="1624">
        <f t="shared" si="6"/>
        <v>2048100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2229201</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410000</v>
      </c>
      <c r="I75" s="1626">
        <v>49000</v>
      </c>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410000</v>
      </c>
      <c r="I76" s="1624">
        <f t="shared" si="7"/>
        <v>2278201</v>
      </c>
      <c r="J76" s="1624">
        <f t="shared" si="7"/>
        <v>0</v>
      </c>
      <c r="K76" s="1624">
        <f t="shared" si="7"/>
        <v>0</v>
      </c>
      <c r="L76" s="453"/>
    </row>
    <row r="77" spans="1:12" ht="14.25" thickTop="1" thickBot="1" x14ac:dyDescent="0.25">
      <c r="A77" s="2223" t="s">
        <v>1167</v>
      </c>
      <c r="B77" s="2224"/>
      <c r="C77" s="1624">
        <f t="shared" ref="C77:K77" si="8">C44-C76</f>
        <v>2229201</v>
      </c>
      <c r="D77" s="1624">
        <f t="shared" si="8"/>
        <v>0</v>
      </c>
      <c r="E77" s="1624">
        <f t="shared" si="8"/>
        <v>0</v>
      </c>
      <c r="F77" s="1624">
        <f t="shared" si="8"/>
        <v>0</v>
      </c>
      <c r="G77" s="1624">
        <f t="shared" si="8"/>
        <v>0</v>
      </c>
      <c r="H77" s="1624">
        <f t="shared" si="8"/>
        <v>1726545</v>
      </c>
      <c r="I77" s="1624">
        <f t="shared" si="8"/>
        <v>-230101</v>
      </c>
      <c r="J77" s="1624">
        <f t="shared" si="8"/>
        <v>0</v>
      </c>
      <c r="K77" s="1624">
        <f t="shared" si="8"/>
        <v>0</v>
      </c>
      <c r="L77" s="325"/>
    </row>
    <row r="78" spans="1:12" ht="21.75" customHeight="1" thickTop="1" thickBot="1" x14ac:dyDescent="0.25">
      <c r="A78" s="2227" t="s">
        <v>593</v>
      </c>
      <c r="B78" s="2228"/>
      <c r="C78" s="1629">
        <f t="shared" ref="C78:K78" si="9">C20+C77</f>
        <v>671054</v>
      </c>
      <c r="D78" s="1629">
        <f t="shared" si="9"/>
        <v>470788</v>
      </c>
      <c r="E78" s="1629">
        <f t="shared" si="9"/>
        <v>28574</v>
      </c>
      <c r="F78" s="1629">
        <f t="shared" si="9"/>
        <v>149271</v>
      </c>
      <c r="G78" s="1629">
        <f t="shared" si="9"/>
        <v>-94541</v>
      </c>
      <c r="H78" s="1629">
        <f t="shared" si="9"/>
        <v>1228389</v>
      </c>
      <c r="I78" s="1629">
        <f t="shared" si="9"/>
        <v>21</v>
      </c>
      <c r="J78" s="1629">
        <f t="shared" si="9"/>
        <v>18981</v>
      </c>
      <c r="K78" s="1629">
        <f t="shared" si="9"/>
        <v>15532</v>
      </c>
      <c r="L78" s="457"/>
    </row>
    <row r="79" spans="1:12" ht="13.5" thickTop="1" x14ac:dyDescent="0.2">
      <c r="A79" s="1844" t="str">
        <f>"Fund Balances - July 1, "&amp;'AFR20'!E2-1</f>
        <v>Fund Balances - July 1, 2019</v>
      </c>
      <c r="B79" s="458"/>
      <c r="C79" s="1583">
        <v>1851008</v>
      </c>
      <c r="D79" s="1630">
        <v>266027</v>
      </c>
      <c r="E79" s="1630">
        <v>608</v>
      </c>
      <c r="F79" s="1630">
        <v>112137</v>
      </c>
      <c r="G79" s="1630">
        <v>320501</v>
      </c>
      <c r="H79" s="1630">
        <v>1</v>
      </c>
      <c r="I79" s="1630">
        <v>20073</v>
      </c>
      <c r="J79" s="1630">
        <v>105169</v>
      </c>
      <c r="K79" s="1630">
        <v>120075</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2522062</v>
      </c>
      <c r="D81" s="1594">
        <f>SUM(D78:D80)</f>
        <v>736815</v>
      </c>
      <c r="E81" s="1594">
        <f t="shared" ref="E81:K81" si="10">SUM(E78:E80)</f>
        <v>29182</v>
      </c>
      <c r="F81" s="1594">
        <f t="shared" si="10"/>
        <v>261408</v>
      </c>
      <c r="G81" s="1594">
        <f t="shared" si="10"/>
        <v>225960</v>
      </c>
      <c r="H81" s="1594">
        <f t="shared" si="10"/>
        <v>1228390</v>
      </c>
      <c r="I81" s="1594">
        <f t="shared" si="10"/>
        <v>20094</v>
      </c>
      <c r="J81" s="1594">
        <f t="shared" si="10"/>
        <v>124150</v>
      </c>
      <c r="K81" s="1594">
        <f t="shared" si="10"/>
        <v>135607</v>
      </c>
      <c r="L81" s="325"/>
    </row>
    <row r="82" spans="1:12" ht="0.75" customHeight="1" thickTop="1" thickBot="1" x14ac:dyDescent="0.25">
      <c r="A82" s="459" t="s">
        <v>340</v>
      </c>
      <c r="B82" s="460"/>
      <c r="C82" s="461">
        <f>(C81-C79)</f>
        <v>671054</v>
      </c>
      <c r="D82" s="461">
        <f t="shared" ref="D82:K82" si="11">(D81-D79)</f>
        <v>470788</v>
      </c>
      <c r="E82" s="461">
        <f t="shared" si="11"/>
        <v>28574</v>
      </c>
      <c r="F82" s="461">
        <f t="shared" si="11"/>
        <v>149271</v>
      </c>
      <c r="G82" s="461">
        <f t="shared" si="11"/>
        <v>-94541</v>
      </c>
      <c r="H82" s="461">
        <f t="shared" si="11"/>
        <v>1228389</v>
      </c>
      <c r="I82" s="461">
        <f t="shared" si="11"/>
        <v>21</v>
      </c>
      <c r="J82" s="461">
        <f t="shared" si="11"/>
        <v>18981</v>
      </c>
      <c r="K82" s="461">
        <f t="shared" si="11"/>
        <v>15532</v>
      </c>
    </row>
    <row r="83" spans="1:12" ht="14.25" hidden="1" thickTop="1" thickBot="1" x14ac:dyDescent="0.25">
      <c r="A83" s="462" t="s">
        <v>341</v>
      </c>
      <c r="B83" s="428"/>
      <c r="C83" s="463">
        <f>C82/C81</f>
        <v>0.26607355409978029</v>
      </c>
      <c r="D83" s="463">
        <f t="shared" ref="D83:K83" si="12">D82/D81</f>
        <v>0.6389500756634976</v>
      </c>
      <c r="E83" s="463">
        <f t="shared" si="12"/>
        <v>0.97916523884586393</v>
      </c>
      <c r="F83" s="463">
        <f t="shared" si="12"/>
        <v>0.57102690047741467</v>
      </c>
      <c r="G83" s="463">
        <f t="shared" si="12"/>
        <v>-0.41839706142680122</v>
      </c>
      <c r="H83" s="463">
        <f t="shared" si="12"/>
        <v>0.99999918592629378</v>
      </c>
      <c r="I83" s="463">
        <f t="shared" si="12"/>
        <v>1.0450880859958196E-3</v>
      </c>
      <c r="J83" s="463">
        <f t="shared" si="12"/>
        <v>0.15288763592428514</v>
      </c>
      <c r="K83" s="463">
        <f t="shared" si="12"/>
        <v>0.11453686019158303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28" activePane="bottomLeft" state="frozen"/>
      <selection activeCell="L179" sqref="L179"/>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4235605</v>
      </c>
      <c r="D5" s="1586">
        <v>1150856</v>
      </c>
      <c r="E5" s="1573">
        <v>1890270</v>
      </c>
      <c r="F5" s="1631">
        <v>552238</v>
      </c>
      <c r="G5" s="1573">
        <v>100658</v>
      </c>
      <c r="H5" s="1573"/>
      <c r="I5" s="1573">
        <v>230122</v>
      </c>
      <c r="J5" s="1574">
        <v>340369</v>
      </c>
      <c r="K5" s="1573">
        <v>230126</v>
      </c>
    </row>
    <row r="6" spans="1:12" ht="15" x14ac:dyDescent="0.2">
      <c r="A6" s="427" t="s">
        <v>1643</v>
      </c>
      <c r="B6" s="429">
        <v>1130</v>
      </c>
      <c r="C6" s="1573">
        <v>162974</v>
      </c>
      <c r="D6" s="1573"/>
      <c r="E6" s="1580"/>
      <c r="F6" s="1580"/>
      <c r="G6" s="1575"/>
      <c r="H6" s="1575"/>
      <c r="I6" s="1575"/>
      <c r="J6" s="1575"/>
      <c r="K6" s="1575"/>
    </row>
    <row r="7" spans="1:12" x14ac:dyDescent="0.2">
      <c r="A7" s="427" t="s">
        <v>110</v>
      </c>
      <c r="B7" s="471">
        <v>1140</v>
      </c>
      <c r="C7" s="1573">
        <v>92040</v>
      </c>
      <c r="D7" s="1573"/>
      <c r="E7" s="1575"/>
      <c r="F7" s="1574"/>
      <c r="G7" s="1574"/>
      <c r="H7" s="1574"/>
      <c r="I7" s="1575"/>
      <c r="J7" s="1575"/>
      <c r="K7" s="1575"/>
    </row>
    <row r="8" spans="1:12" x14ac:dyDescent="0.2">
      <c r="A8" s="427" t="s">
        <v>410</v>
      </c>
      <c r="B8" s="429">
        <v>1150</v>
      </c>
      <c r="C8" s="1580"/>
      <c r="D8" s="1580"/>
      <c r="E8" s="1582"/>
      <c r="F8" s="1582"/>
      <c r="G8" s="1586">
        <v>100658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4490619</v>
      </c>
      <c r="D12" s="1633">
        <f t="shared" si="0"/>
        <v>1150856</v>
      </c>
      <c r="E12" s="1633">
        <f t="shared" si="0"/>
        <v>1890270</v>
      </c>
      <c r="F12" s="1633">
        <f t="shared" si="0"/>
        <v>552238</v>
      </c>
      <c r="G12" s="1633">
        <f t="shared" si="0"/>
        <v>201316</v>
      </c>
      <c r="H12" s="1633">
        <f t="shared" si="0"/>
        <v>0</v>
      </c>
      <c r="I12" s="1633">
        <f t="shared" si="0"/>
        <v>230122</v>
      </c>
      <c r="J12" s="1633">
        <f t="shared" si="0"/>
        <v>340369</v>
      </c>
      <c r="K12" s="1594">
        <f t="shared" si="0"/>
        <v>230126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v>9997</v>
      </c>
      <c r="E15" s="1573"/>
      <c r="F15" s="1573"/>
      <c r="G15" s="1573"/>
      <c r="H15" s="1573"/>
      <c r="I15" s="1573"/>
      <c r="J15" s="1574"/>
      <c r="K15" s="1573"/>
    </row>
    <row r="16" spans="1:12" ht="15" customHeight="1" x14ac:dyDescent="0.2">
      <c r="A16" s="427" t="s">
        <v>1644</v>
      </c>
      <c r="B16" s="471">
        <v>1230</v>
      </c>
      <c r="C16" s="1632">
        <v>158223</v>
      </c>
      <c r="D16" s="1573">
        <v>277760</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158223</v>
      </c>
      <c r="D18" s="1635">
        <f t="shared" ref="D18:K18" si="1">SUM(D14:D17)</f>
        <v>287757</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74686</v>
      </c>
      <c r="D65" s="1573"/>
      <c r="E65" s="1573"/>
      <c r="F65" s="1574"/>
      <c r="G65" s="1573"/>
      <c r="H65" s="1573">
        <v>2314</v>
      </c>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74686</v>
      </c>
      <c r="D67" s="1594">
        <f t="shared" ref="D67:K67" si="2">SUM(D65:D66)</f>
        <v>0</v>
      </c>
      <c r="E67" s="1594">
        <f t="shared" si="2"/>
        <v>0</v>
      </c>
      <c r="F67" s="1594">
        <f t="shared" si="2"/>
        <v>0</v>
      </c>
      <c r="G67" s="1594">
        <f t="shared" si="2"/>
        <v>0</v>
      </c>
      <c r="H67" s="1594">
        <f t="shared" si="2"/>
        <v>2314</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176987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176987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61554</v>
      </c>
      <c r="D77" s="1573"/>
      <c r="E77" s="1575"/>
      <c r="F77" s="1575"/>
      <c r="G77" s="1575"/>
      <c r="H77" s="1575"/>
      <c r="I77" s="1575"/>
      <c r="J77" s="1575"/>
      <c r="K77" s="1575"/>
    </row>
    <row r="78" spans="1:11" ht="12.75" customHeight="1" x14ac:dyDescent="0.2">
      <c r="A78" s="427" t="s">
        <v>76</v>
      </c>
      <c r="B78" s="429">
        <v>1719</v>
      </c>
      <c r="C78" s="1632">
        <v>5823</v>
      </c>
      <c r="D78" s="1573"/>
      <c r="E78" s="1575"/>
      <c r="F78" s="1575"/>
      <c r="G78" s="1575"/>
      <c r="H78" s="1575"/>
      <c r="I78" s="1575"/>
      <c r="J78" s="1575"/>
      <c r="K78" s="1575"/>
    </row>
    <row r="79" spans="1:11" ht="12.75" customHeight="1" x14ac:dyDescent="0.2">
      <c r="A79" s="427" t="s">
        <v>546</v>
      </c>
      <c r="B79" s="429">
        <v>1720</v>
      </c>
      <c r="C79" s="1632">
        <v>7974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75351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147376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147376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4650</v>
      </c>
      <c r="D96" s="1632">
        <v>36530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80100</v>
      </c>
      <c r="D99" s="1573"/>
      <c r="E99" s="1573"/>
      <c r="F99" s="1573"/>
      <c r="G99" s="1573"/>
      <c r="H99" s="1573"/>
      <c r="I99" s="1575"/>
      <c r="J99" s="1574"/>
      <c r="K99" s="1573"/>
    </row>
    <row r="100" spans="1:12" ht="12.75" customHeight="1" x14ac:dyDescent="0.2">
      <c r="A100" s="427" t="s">
        <v>243</v>
      </c>
      <c r="B100" s="429">
        <v>1960</v>
      </c>
      <c r="C100" s="1598">
        <v>1232875</v>
      </c>
      <c r="D100" s="1598">
        <v>473929</v>
      </c>
      <c r="E100" s="1598">
        <v>425000</v>
      </c>
      <c r="F100" s="1598"/>
      <c r="G100" s="1598"/>
      <c r="H100" s="1598"/>
      <c r="I100" s="1574"/>
      <c r="J100" s="1598"/>
      <c r="K100" s="1574"/>
    </row>
    <row r="101" spans="1:12" ht="12.75" customHeight="1" x14ac:dyDescent="0.2">
      <c r="A101" s="427" t="s">
        <v>244</v>
      </c>
      <c r="B101" s="429">
        <v>1970</v>
      </c>
      <c r="C101" s="1598">
        <v>17126</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136865</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17681</v>
      </c>
      <c r="D106" s="1598"/>
      <c r="E106" s="1574"/>
      <c r="F106" s="1574"/>
      <c r="G106" s="1574"/>
      <c r="H106" s="1574"/>
      <c r="I106" s="1617"/>
      <c r="J106" s="1574"/>
      <c r="K106" s="1574"/>
    </row>
    <row r="107" spans="1:12" ht="12.75" customHeight="1" x14ac:dyDescent="0.2">
      <c r="A107" s="427" t="s">
        <v>78</v>
      </c>
      <c r="B107" s="429">
        <v>1999</v>
      </c>
      <c r="C107" s="1632">
        <v>64526</v>
      </c>
      <c r="D107" s="1573">
        <v>12789</v>
      </c>
      <c r="E107" s="1573"/>
      <c r="F107" s="1573">
        <v>2580</v>
      </c>
      <c r="G107" s="1573"/>
      <c r="H107" s="1573"/>
      <c r="I107" s="1573"/>
      <c r="J107" s="1574"/>
      <c r="K107" s="1573"/>
    </row>
    <row r="108" spans="1:12" ht="12.75" customHeight="1" thickBot="1" x14ac:dyDescent="0.25">
      <c r="A108" s="1406" t="s">
        <v>484</v>
      </c>
      <c r="B108" s="1408"/>
      <c r="C108" s="1633">
        <f>SUM(C95:C107)</f>
        <v>1553823</v>
      </c>
      <c r="D108" s="1633">
        <f t="shared" ref="D108:K108" si="3">SUM(D95:D107)</f>
        <v>523248</v>
      </c>
      <c r="E108" s="1633">
        <f t="shared" si="3"/>
        <v>425000</v>
      </c>
      <c r="F108" s="1633">
        <f t="shared" si="3"/>
        <v>2580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6677065</v>
      </c>
      <c r="D109" s="1641">
        <f t="shared" si="4"/>
        <v>1961861</v>
      </c>
      <c r="E109" s="1641">
        <f t="shared" si="4"/>
        <v>2315270</v>
      </c>
      <c r="F109" s="1641">
        <f t="shared" si="4"/>
        <v>554818</v>
      </c>
      <c r="G109" s="1641">
        <f t="shared" si="4"/>
        <v>201316</v>
      </c>
      <c r="H109" s="1641">
        <f t="shared" si="4"/>
        <v>2314</v>
      </c>
      <c r="I109" s="1641">
        <f t="shared" si="4"/>
        <v>230122</v>
      </c>
      <c r="J109" s="1641">
        <f t="shared" si="4"/>
        <v>340369</v>
      </c>
      <c r="K109" s="1629">
        <f t="shared" si="4"/>
        <v>230126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2357264</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2357264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193187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193187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249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28064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5614</v>
      </c>
      <c r="G152" s="1574"/>
      <c r="H152" s="1575"/>
      <c r="I152" s="1575"/>
      <c r="J152" s="1575"/>
      <c r="K152" s="1575"/>
    </row>
    <row r="153" spans="1:11" ht="12.75" customHeight="1" x14ac:dyDescent="0.2">
      <c r="A153" s="427" t="s">
        <v>1048</v>
      </c>
      <c r="B153" s="478">
        <v>3510</v>
      </c>
      <c r="C153" s="1632"/>
      <c r="D153" s="1573"/>
      <c r="E153" s="1640"/>
      <c r="F153" s="1573">
        <v>270632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276246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222250</v>
      </c>
      <c r="D169" s="1658">
        <f t="shared" si="6"/>
        <v>0</v>
      </c>
      <c r="E169" s="1658">
        <f t="shared" si="6"/>
        <v>0</v>
      </c>
      <c r="F169" s="1658">
        <f t="shared" si="6"/>
        <v>276246</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2579514</v>
      </c>
      <c r="D170" s="1641">
        <f t="shared" si="7"/>
        <v>0</v>
      </c>
      <c r="E170" s="1641">
        <f t="shared" si="7"/>
        <v>0</v>
      </c>
      <c r="F170" s="1641">
        <f t="shared" si="7"/>
        <v>276246</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116763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116763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5589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5589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60470</v>
      </c>
      <c r="D213" s="1573"/>
      <c r="E213" s="1575"/>
      <c r="F213" s="1573"/>
      <c r="G213" s="1573"/>
      <c r="H213" s="1575"/>
      <c r="I213" s="1575"/>
      <c r="J213" s="1575"/>
      <c r="K213" s="1575"/>
    </row>
    <row r="214" spans="1:11" ht="12.75" customHeight="1" x14ac:dyDescent="0.2">
      <c r="A214" s="427" t="s">
        <v>1045</v>
      </c>
      <c r="B214" s="429">
        <v>4625</v>
      </c>
      <c r="C214" s="1632">
        <v>133830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194300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20731</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20731</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21746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4087</v>
      </c>
      <c r="D263" s="1651"/>
      <c r="E263" s="1575"/>
      <c r="F263" s="1651"/>
      <c r="G263" s="1651"/>
      <c r="H263" s="1575"/>
      <c r="I263" s="1575"/>
      <c r="J263" s="1575"/>
      <c r="K263" s="1575"/>
    </row>
    <row r="264" spans="1:11" ht="12.75" customHeight="1" thickTop="1" thickBot="1" x14ac:dyDescent="0.25">
      <c r="A264" s="427" t="s">
        <v>374</v>
      </c>
      <c r="B264" s="429">
        <v>4992</v>
      </c>
      <c r="C264" s="1650">
        <v>18931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382147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382147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9638726</v>
      </c>
      <c r="D268" s="1641">
        <f t="shared" si="12"/>
        <v>1961861</v>
      </c>
      <c r="E268" s="1641">
        <f t="shared" si="12"/>
        <v>2315270</v>
      </c>
      <c r="F268" s="1641">
        <f t="shared" si="12"/>
        <v>831064</v>
      </c>
      <c r="G268" s="1641">
        <f t="shared" si="12"/>
        <v>201316</v>
      </c>
      <c r="H268" s="1641">
        <f t="shared" si="12"/>
        <v>52314</v>
      </c>
      <c r="I268" s="1641">
        <f t="shared" si="12"/>
        <v>230122</v>
      </c>
      <c r="J268" s="1641">
        <f t="shared" si="12"/>
        <v>340369</v>
      </c>
      <c r="K268" s="1629">
        <f t="shared" si="12"/>
        <v>230126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85" activePane="bottomLeft" state="frozen"/>
      <selection activeCell="L179" sqref="L179"/>
      <selection pane="bottomLeft" activeCell="L350" sqref="L3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2476242</v>
      </c>
      <c r="D5" s="1573">
        <v>935106</v>
      </c>
      <c r="E5" s="1573">
        <v>180437</v>
      </c>
      <c r="F5" s="1573">
        <v>95133</v>
      </c>
      <c r="G5" s="1573">
        <v>35124</v>
      </c>
      <c r="H5" s="1573"/>
      <c r="I5" s="1574"/>
      <c r="J5" s="1574"/>
      <c r="K5" s="1672">
        <f>SUM(C5:J5)</f>
        <v>3722042</v>
      </c>
      <c r="L5" s="1573">
        <v>3827981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444277</v>
      </c>
      <c r="D8" s="1573">
        <v>187072</v>
      </c>
      <c r="E8" s="1573">
        <v>545547</v>
      </c>
      <c r="F8" s="1573">
        <v>10873</v>
      </c>
      <c r="G8" s="1573">
        <v>6798</v>
      </c>
      <c r="H8" s="1573"/>
      <c r="I8" s="1574"/>
      <c r="J8" s="1574"/>
      <c r="K8" s="1672">
        <f t="shared" si="0"/>
        <v>1194567</v>
      </c>
      <c r="L8" s="1573">
        <v>1311768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68544</v>
      </c>
      <c r="D10" s="1573">
        <v>19235</v>
      </c>
      <c r="E10" s="1573">
        <v>2645</v>
      </c>
      <c r="F10" s="1573">
        <v>15508</v>
      </c>
      <c r="G10" s="1573"/>
      <c r="H10" s="1573"/>
      <c r="I10" s="1574"/>
      <c r="J10" s="1574"/>
      <c r="K10" s="1672">
        <f t="shared" si="0"/>
        <v>105932</v>
      </c>
      <c r="L10" s="1573">
        <v>121626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208607</v>
      </c>
      <c r="D13" s="1573">
        <v>74490</v>
      </c>
      <c r="E13" s="1573">
        <v>584370</v>
      </c>
      <c r="F13" s="1573">
        <v>14133</v>
      </c>
      <c r="G13" s="1573">
        <v>787</v>
      </c>
      <c r="H13" s="1573"/>
      <c r="I13" s="1574"/>
      <c r="J13" s="1574"/>
      <c r="K13" s="1672">
        <f t="shared" si="0"/>
        <v>882387</v>
      </c>
      <c r="L13" s="1573">
        <v>1066131</v>
      </c>
    </row>
    <row r="14" spans="1:14" x14ac:dyDescent="0.2">
      <c r="A14" s="1274" t="s">
        <v>957</v>
      </c>
      <c r="B14" s="503">
        <v>1500</v>
      </c>
      <c r="C14" s="1573">
        <v>447483</v>
      </c>
      <c r="D14" s="1573">
        <v>68289</v>
      </c>
      <c r="E14" s="1573">
        <v>95742</v>
      </c>
      <c r="F14" s="1573">
        <v>36445</v>
      </c>
      <c r="G14" s="1573">
        <v>9502</v>
      </c>
      <c r="H14" s="1573"/>
      <c r="I14" s="1574"/>
      <c r="J14" s="1574"/>
      <c r="K14" s="1672">
        <f t="shared" si="0"/>
        <v>657461</v>
      </c>
      <c r="L14" s="1573">
        <v>727510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4309</v>
      </c>
      <c r="D17" s="1574"/>
      <c r="E17" s="1574"/>
      <c r="F17" s="1574"/>
      <c r="G17" s="1574"/>
      <c r="H17" s="1574"/>
      <c r="I17" s="1574"/>
      <c r="J17" s="1574"/>
      <c r="K17" s="1672">
        <f t="shared" si="0"/>
        <v>4309</v>
      </c>
      <c r="L17" s="1573">
        <v>4400</v>
      </c>
    </row>
    <row r="18" spans="1:12" x14ac:dyDescent="0.2">
      <c r="A18" s="1274" t="s">
        <v>1078</v>
      </c>
      <c r="B18" s="503">
        <v>1800</v>
      </c>
      <c r="C18" s="1573">
        <v>59315</v>
      </c>
      <c r="D18" s="1573">
        <v>22699</v>
      </c>
      <c r="E18" s="1573"/>
      <c r="F18" s="1573"/>
      <c r="G18" s="1573"/>
      <c r="H18" s="1573"/>
      <c r="I18" s="1574"/>
      <c r="J18" s="1574"/>
      <c r="K18" s="1672">
        <f t="shared" si="0"/>
        <v>82014</v>
      </c>
      <c r="L18" s="1573">
        <v>84600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3708777</v>
      </c>
      <c r="D33" s="1674">
        <f t="shared" ref="D33:L33" si="1">SUM(D5:D32)</f>
        <v>1306891</v>
      </c>
      <c r="E33" s="1674">
        <f t="shared" si="1"/>
        <v>1408741</v>
      </c>
      <c r="F33" s="1674">
        <f t="shared" si="1"/>
        <v>172092</v>
      </c>
      <c r="G33" s="1674">
        <f t="shared" si="1"/>
        <v>52211</v>
      </c>
      <c r="H33" s="1674">
        <f t="shared" si="1"/>
        <v>0</v>
      </c>
      <c r="I33" s="1674">
        <f t="shared" si="1"/>
        <v>0</v>
      </c>
      <c r="J33" s="1674">
        <f t="shared" si="1"/>
        <v>0</v>
      </c>
      <c r="K33" s="1674">
        <f t="shared" si="1"/>
        <v>6648712</v>
      </c>
      <c r="L33" s="1674">
        <f t="shared" si="1"/>
        <v>7144016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6660</v>
      </c>
      <c r="D36" s="1586"/>
      <c r="E36" s="1586"/>
      <c r="F36" s="1586"/>
      <c r="G36" s="1586"/>
      <c r="H36" s="1586"/>
      <c r="I36" s="1574"/>
      <c r="J36" s="1574"/>
      <c r="K36" s="1672">
        <f t="shared" ref="K36:K41" si="2">SUM(C36:J36)</f>
        <v>6660</v>
      </c>
      <c r="L36" s="1573"/>
    </row>
    <row r="37" spans="1:14" x14ac:dyDescent="0.2">
      <c r="A37" s="1274" t="s">
        <v>1081</v>
      </c>
      <c r="B37" s="503">
        <v>2120</v>
      </c>
      <c r="C37" s="1573">
        <v>497084</v>
      </c>
      <c r="D37" s="1573">
        <v>168995</v>
      </c>
      <c r="E37" s="1573">
        <v>12392</v>
      </c>
      <c r="F37" s="1573">
        <v>590</v>
      </c>
      <c r="G37" s="1573"/>
      <c r="H37" s="1573"/>
      <c r="I37" s="1574"/>
      <c r="J37" s="1574"/>
      <c r="K37" s="1672">
        <f t="shared" si="2"/>
        <v>679061</v>
      </c>
      <c r="L37" s="1573">
        <v>701320</v>
      </c>
    </row>
    <row r="38" spans="1:14" x14ac:dyDescent="0.2">
      <c r="A38" s="1274" t="s">
        <v>196</v>
      </c>
      <c r="B38" s="503">
        <v>2130</v>
      </c>
      <c r="C38" s="1573">
        <v>82948</v>
      </c>
      <c r="D38" s="1573">
        <v>26664</v>
      </c>
      <c r="E38" s="1573">
        <v>1170</v>
      </c>
      <c r="F38" s="1573">
        <v>2087</v>
      </c>
      <c r="G38" s="1573"/>
      <c r="H38" s="1573"/>
      <c r="I38" s="1574"/>
      <c r="J38" s="1574"/>
      <c r="K38" s="1672">
        <f t="shared" si="2"/>
        <v>112869</v>
      </c>
      <c r="L38" s="1573">
        <v>116300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17484</v>
      </c>
      <c r="D41" s="1573"/>
      <c r="E41" s="1573"/>
      <c r="F41" s="1573"/>
      <c r="G41" s="1573"/>
      <c r="H41" s="1573"/>
      <c r="I41" s="1574"/>
      <c r="J41" s="1574"/>
      <c r="K41" s="1672">
        <f t="shared" si="2"/>
        <v>17484</v>
      </c>
      <c r="L41" s="1573">
        <v>19000</v>
      </c>
    </row>
    <row r="42" spans="1:14" ht="12.75" customHeight="1" thickBot="1" x14ac:dyDescent="0.25">
      <c r="A42" s="1380" t="s">
        <v>556</v>
      </c>
      <c r="B42" s="1381" t="s">
        <v>711</v>
      </c>
      <c r="C42" s="1674">
        <f>SUM(C36:C41)</f>
        <v>604176</v>
      </c>
      <c r="D42" s="1674">
        <f t="shared" ref="D42:L42" si="3">SUM(D36:D41)</f>
        <v>195659</v>
      </c>
      <c r="E42" s="1674">
        <f t="shared" si="3"/>
        <v>13562</v>
      </c>
      <c r="F42" s="1674">
        <f t="shared" si="3"/>
        <v>2677</v>
      </c>
      <c r="G42" s="1674">
        <f t="shared" si="3"/>
        <v>0</v>
      </c>
      <c r="H42" s="1674">
        <f t="shared" si="3"/>
        <v>0</v>
      </c>
      <c r="I42" s="1674">
        <f t="shared" si="3"/>
        <v>0</v>
      </c>
      <c r="J42" s="1674">
        <f t="shared" si="3"/>
        <v>0</v>
      </c>
      <c r="K42" s="1674">
        <f t="shared" si="3"/>
        <v>816074</v>
      </c>
      <c r="L42" s="1674">
        <f t="shared" si="3"/>
        <v>836620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25156</v>
      </c>
      <c r="D44" s="1586">
        <v>2308</v>
      </c>
      <c r="E44" s="1586">
        <v>1467</v>
      </c>
      <c r="F44" s="1586"/>
      <c r="G44" s="1586"/>
      <c r="H44" s="1586"/>
      <c r="I44" s="1574"/>
      <c r="J44" s="1574"/>
      <c r="K44" s="1678">
        <f>SUM(C44:J44)</f>
        <v>28931</v>
      </c>
      <c r="L44" s="1586">
        <v>31928</v>
      </c>
    </row>
    <row r="45" spans="1:14" x14ac:dyDescent="0.2">
      <c r="A45" s="1274" t="s">
        <v>810</v>
      </c>
      <c r="B45" s="503">
        <v>2220</v>
      </c>
      <c r="C45" s="1573">
        <v>151541</v>
      </c>
      <c r="D45" s="1573">
        <v>38884</v>
      </c>
      <c r="E45" s="1573">
        <v>31576</v>
      </c>
      <c r="F45" s="1573">
        <v>2980</v>
      </c>
      <c r="G45" s="1573"/>
      <c r="H45" s="1573"/>
      <c r="I45" s="1574"/>
      <c r="J45" s="1574"/>
      <c r="K45" s="1678">
        <f>SUM(C45:J45)</f>
        <v>224981</v>
      </c>
      <c r="L45" s="1573">
        <v>248930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176697</v>
      </c>
      <c r="D47" s="1674">
        <f t="shared" ref="D47:K47" si="4">SUM(D44:D46)</f>
        <v>41192</v>
      </c>
      <c r="E47" s="1674">
        <f t="shared" si="4"/>
        <v>33043</v>
      </c>
      <c r="F47" s="1674">
        <f t="shared" si="4"/>
        <v>2980</v>
      </c>
      <c r="G47" s="1674">
        <f t="shared" si="4"/>
        <v>0</v>
      </c>
      <c r="H47" s="1674">
        <f t="shared" si="4"/>
        <v>0</v>
      </c>
      <c r="I47" s="1674">
        <f t="shared" si="4"/>
        <v>0</v>
      </c>
      <c r="J47" s="1674">
        <f t="shared" si="4"/>
        <v>0</v>
      </c>
      <c r="K47" s="1674">
        <f t="shared" si="4"/>
        <v>253912</v>
      </c>
      <c r="L47" s="1674">
        <f>SUM(L44:L46)</f>
        <v>280858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86894</v>
      </c>
      <c r="D49" s="1586">
        <v>24689</v>
      </c>
      <c r="E49" s="1586">
        <v>68725</v>
      </c>
      <c r="F49" s="1586">
        <v>2423</v>
      </c>
      <c r="G49" s="1586"/>
      <c r="H49" s="1586">
        <v>7222</v>
      </c>
      <c r="I49" s="1574"/>
      <c r="J49" s="1574"/>
      <c r="K49" s="1678">
        <f>SUM(C49:J49)</f>
        <v>189953</v>
      </c>
      <c r="L49" s="1586">
        <v>194201</v>
      </c>
    </row>
    <row r="50" spans="1:14" x14ac:dyDescent="0.2">
      <c r="A50" s="1274" t="s">
        <v>813</v>
      </c>
      <c r="B50" s="503">
        <v>2320</v>
      </c>
      <c r="C50" s="1573">
        <v>92725</v>
      </c>
      <c r="D50" s="1573">
        <v>27659</v>
      </c>
      <c r="E50" s="1573">
        <v>6799</v>
      </c>
      <c r="F50" s="1573">
        <v>1623</v>
      </c>
      <c r="G50" s="1573"/>
      <c r="H50" s="1573">
        <v>1337</v>
      </c>
      <c r="I50" s="1574"/>
      <c r="J50" s="1574"/>
      <c r="K50" s="1678">
        <f>SUM(C50:J50)</f>
        <v>130143</v>
      </c>
      <c r="L50" s="1573">
        <v>143100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179619</v>
      </c>
      <c r="D53" s="1674">
        <f t="shared" ref="D53:L53" si="5">SUM(D49:D52)</f>
        <v>52348</v>
      </c>
      <c r="E53" s="1674">
        <f t="shared" si="5"/>
        <v>75524</v>
      </c>
      <c r="F53" s="1674">
        <f t="shared" si="5"/>
        <v>4046</v>
      </c>
      <c r="G53" s="1674">
        <f t="shared" si="5"/>
        <v>0</v>
      </c>
      <c r="H53" s="1674">
        <f t="shared" si="5"/>
        <v>8559</v>
      </c>
      <c r="I53" s="1674">
        <f t="shared" si="5"/>
        <v>0</v>
      </c>
      <c r="J53" s="1674">
        <f t="shared" si="5"/>
        <v>0</v>
      </c>
      <c r="K53" s="1674">
        <f t="shared" si="5"/>
        <v>320096</v>
      </c>
      <c r="L53" s="1674">
        <f t="shared" si="5"/>
        <v>337301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210708</v>
      </c>
      <c r="D55" s="1586">
        <v>82708</v>
      </c>
      <c r="E55" s="1586">
        <v>16274</v>
      </c>
      <c r="F55" s="1586">
        <v>22121</v>
      </c>
      <c r="G55" s="1586"/>
      <c r="H55" s="1586">
        <v>6900</v>
      </c>
      <c r="I55" s="1574"/>
      <c r="J55" s="1574"/>
      <c r="K55" s="1678">
        <f>SUM(C55:J55)</f>
        <v>338711</v>
      </c>
      <c r="L55" s="1586">
        <v>357300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210708</v>
      </c>
      <c r="D57" s="1679">
        <f t="shared" ref="D57:K57" si="6">SUM(D55:D56)</f>
        <v>82708</v>
      </c>
      <c r="E57" s="1679">
        <f t="shared" si="6"/>
        <v>16274</v>
      </c>
      <c r="F57" s="1679">
        <f t="shared" si="6"/>
        <v>22121</v>
      </c>
      <c r="G57" s="1679">
        <f t="shared" si="6"/>
        <v>0</v>
      </c>
      <c r="H57" s="1679">
        <f t="shared" si="6"/>
        <v>6900</v>
      </c>
      <c r="I57" s="1679">
        <f t="shared" si="6"/>
        <v>0</v>
      </c>
      <c r="J57" s="1679">
        <f t="shared" si="6"/>
        <v>0</v>
      </c>
      <c r="K57" s="1679">
        <f t="shared" si="6"/>
        <v>338711</v>
      </c>
      <c r="L57" s="1674">
        <f>SUM(L55:L56)</f>
        <v>357300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52016</v>
      </c>
      <c r="D60" s="1573">
        <v>15275</v>
      </c>
      <c r="E60" s="1573">
        <v>5853</v>
      </c>
      <c r="F60" s="1573">
        <v>1186</v>
      </c>
      <c r="G60" s="1573"/>
      <c r="H60" s="1573"/>
      <c r="I60" s="1574"/>
      <c r="J60" s="1574"/>
      <c r="K60" s="1678">
        <f t="shared" si="7"/>
        <v>74330</v>
      </c>
      <c r="L60" s="1573">
        <v>79895</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9413</v>
      </c>
      <c r="D63" s="1573"/>
      <c r="E63" s="1573">
        <v>230240</v>
      </c>
      <c r="F63" s="1573">
        <v>104</v>
      </c>
      <c r="G63" s="1573"/>
      <c r="H63" s="1573"/>
      <c r="I63" s="1574"/>
      <c r="J63" s="1574"/>
      <c r="K63" s="1678">
        <f t="shared" si="7"/>
        <v>239757</v>
      </c>
      <c r="L63" s="1573">
        <v>258500</v>
      </c>
    </row>
    <row r="64" spans="1:14" s="501" customFormat="1" x14ac:dyDescent="0.2">
      <c r="A64" s="1279" t="s">
        <v>101</v>
      </c>
      <c r="B64" s="513">
        <v>2570</v>
      </c>
      <c r="C64" s="1586"/>
      <c r="D64" s="1586"/>
      <c r="E64" s="1586"/>
      <c r="F64" s="1586">
        <v>1376</v>
      </c>
      <c r="G64" s="1586"/>
      <c r="H64" s="1586"/>
      <c r="I64" s="1574"/>
      <c r="J64" s="1574"/>
      <c r="K64" s="1678">
        <f t="shared" si="7"/>
        <v>1376</v>
      </c>
      <c r="L64" s="1586">
        <v>1500</v>
      </c>
    </row>
    <row r="65" spans="1:14" s="321" customFormat="1" ht="12.75" customHeight="1" thickBot="1" x14ac:dyDescent="0.25">
      <c r="A65" s="1380" t="s">
        <v>714</v>
      </c>
      <c r="B65" s="1381" t="s">
        <v>35</v>
      </c>
      <c r="C65" s="1674">
        <f>SUM(C59:C64)</f>
        <v>61429</v>
      </c>
      <c r="D65" s="1674">
        <f t="shared" ref="D65:L65" si="8">SUM(D59:D64)</f>
        <v>15275</v>
      </c>
      <c r="E65" s="1674">
        <f t="shared" si="8"/>
        <v>236093</v>
      </c>
      <c r="F65" s="1674">
        <f t="shared" si="8"/>
        <v>2666</v>
      </c>
      <c r="G65" s="1674">
        <f t="shared" si="8"/>
        <v>0</v>
      </c>
      <c r="H65" s="1674">
        <f t="shared" si="8"/>
        <v>0</v>
      </c>
      <c r="I65" s="1674">
        <f t="shared" si="8"/>
        <v>0</v>
      </c>
      <c r="J65" s="1674">
        <f t="shared" si="8"/>
        <v>0</v>
      </c>
      <c r="K65" s="1674">
        <f t="shared" si="8"/>
        <v>315463</v>
      </c>
      <c r="L65" s="1674">
        <f t="shared" si="8"/>
        <v>339895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1232629</v>
      </c>
      <c r="D74" s="1681">
        <f t="shared" ref="D74:K74" si="10">SUM(D42,D47,D53,D57,D65,D72,D73)</f>
        <v>387182</v>
      </c>
      <c r="E74" s="1681">
        <f t="shared" si="10"/>
        <v>374496</v>
      </c>
      <c r="F74" s="1681">
        <f t="shared" si="10"/>
        <v>34490</v>
      </c>
      <c r="G74" s="1681">
        <f t="shared" si="10"/>
        <v>0</v>
      </c>
      <c r="H74" s="1681">
        <f t="shared" si="10"/>
        <v>15459</v>
      </c>
      <c r="I74" s="1681">
        <f t="shared" si="10"/>
        <v>0</v>
      </c>
      <c r="J74" s="1681">
        <f t="shared" si="10"/>
        <v>0</v>
      </c>
      <c r="K74" s="1681">
        <f t="shared" si="10"/>
        <v>2044256</v>
      </c>
      <c r="L74" s="1681">
        <f>SUM(L42,L47,L53,L57,L65,L72,L73)</f>
        <v>2151974</v>
      </c>
    </row>
    <row r="75" spans="1:14" s="254" customFormat="1" ht="15.75" customHeight="1" thickTop="1" thickBot="1" x14ac:dyDescent="0.25">
      <c r="A75" s="1348" t="s">
        <v>47</v>
      </c>
      <c r="B75" s="1349" t="s">
        <v>571</v>
      </c>
      <c r="C75" s="1649">
        <v>20409</v>
      </c>
      <c r="D75" s="1649">
        <v>5360</v>
      </c>
      <c r="E75" s="1649">
        <v>4500</v>
      </c>
      <c r="F75" s="1649">
        <v>232</v>
      </c>
      <c r="G75" s="1649"/>
      <c r="H75" s="1649">
        <v>1355</v>
      </c>
      <c r="I75" s="1627"/>
      <c r="J75" s="1627"/>
      <c r="K75" s="1674">
        <f>SUM(C75:J75)</f>
        <v>31856</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1217174</v>
      </c>
      <c r="F79" s="1673"/>
      <c r="G79" s="1673"/>
      <c r="H79" s="1573"/>
      <c r="I79" s="1582"/>
      <c r="J79" s="1582"/>
      <c r="K79" s="1672">
        <f t="shared" si="11"/>
        <v>1217174</v>
      </c>
      <c r="L79" s="1573">
        <v>1150000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1217174</v>
      </c>
      <c r="F84" s="1673"/>
      <c r="G84" s="1673"/>
      <c r="H84" s="1674">
        <f>SUM(H78:H83)</f>
        <v>0</v>
      </c>
      <c r="I84" s="1582"/>
      <c r="J84" s="1582"/>
      <c r="K84" s="1674">
        <f>SUM(K78:K83)</f>
        <v>1217174</v>
      </c>
      <c r="L84" s="1674">
        <f>SUM(L78:L83)</f>
        <v>1150000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v>1254875</v>
      </c>
      <c r="I91" s="1582"/>
      <c r="J91" s="1582"/>
      <c r="K91" s="1681">
        <f t="shared" si="12"/>
        <v>1254875</v>
      </c>
      <c r="L91" s="1626">
        <v>1254875</v>
      </c>
    </row>
    <row r="92" spans="1:12" ht="14.25" thickTop="1" thickBot="1" x14ac:dyDescent="0.25">
      <c r="A92" s="1386" t="s">
        <v>1543</v>
      </c>
      <c r="B92" s="1385">
        <v>4200</v>
      </c>
      <c r="C92" s="1673"/>
      <c r="D92" s="1673"/>
      <c r="E92" s="1684"/>
      <c r="F92" s="1673"/>
      <c r="G92" s="1673"/>
      <c r="H92" s="1674">
        <f>SUM(H85:H91)</f>
        <v>1254875</v>
      </c>
      <c r="I92" s="1582"/>
      <c r="J92" s="1582"/>
      <c r="K92" s="1681">
        <f t="shared" si="12"/>
        <v>1254875</v>
      </c>
      <c r="L92" s="1674">
        <f>SUM(L85:L91)</f>
        <v>1254875</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1217174</v>
      </c>
      <c r="F102" s="1673"/>
      <c r="G102" s="1673"/>
      <c r="H102" s="1681">
        <f>SUM(H84,H92,H100,H101)</f>
        <v>1254875</v>
      </c>
      <c r="I102" s="1582"/>
      <c r="J102" s="1582"/>
      <c r="K102" s="1681">
        <f>SUM(K84,K92,K100,K101)</f>
        <v>2472049</v>
      </c>
      <c r="L102" s="1681">
        <f>SUM(L84,L92,L100,L101)</f>
        <v>2404875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4961815</v>
      </c>
      <c r="D114" s="1674">
        <f t="shared" ref="D114:K114" si="13">SUM(D33,D74,D75,D102,D112,D113)</f>
        <v>1699433</v>
      </c>
      <c r="E114" s="1674">
        <f t="shared" si="13"/>
        <v>3004911</v>
      </c>
      <c r="F114" s="1674">
        <f t="shared" si="13"/>
        <v>206814</v>
      </c>
      <c r="G114" s="1674">
        <f t="shared" si="13"/>
        <v>52211</v>
      </c>
      <c r="H114" s="1674">
        <f>SUM(H33,H74,H75,H102,H112,H113)</f>
        <v>1271689</v>
      </c>
      <c r="I114" s="1674">
        <f t="shared" si="13"/>
        <v>0</v>
      </c>
      <c r="J114" s="1674">
        <f t="shared" si="13"/>
        <v>0</v>
      </c>
      <c r="K114" s="1674">
        <f t="shared" si="13"/>
        <v>11196873</v>
      </c>
      <c r="L114" s="1674">
        <f>SUM(L33,L74,L75,L102,L112,L113)</f>
        <v>11700865</v>
      </c>
    </row>
    <row r="115" spans="1:14" ht="13.5" thickTop="1" x14ac:dyDescent="0.2">
      <c r="A115" s="2286" t="s">
        <v>989</v>
      </c>
      <c r="B115" s="2287"/>
      <c r="C115" s="1675"/>
      <c r="D115" s="1675"/>
      <c r="E115" s="1675"/>
      <c r="F115" s="1675"/>
      <c r="G115" s="1675"/>
      <c r="H115" s="1675"/>
      <c r="I115" s="1675"/>
      <c r="J115" s="1675"/>
      <c r="K115" s="1689">
        <f>'Revenues 9-14'!C268-'Expenditures 15-22'!K114</f>
        <v>-1558147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53972</v>
      </c>
      <c r="F123" s="1573"/>
      <c r="G123" s="1573">
        <v>150514</v>
      </c>
      <c r="H123" s="1573"/>
      <c r="I123" s="1574"/>
      <c r="J123" s="1574"/>
      <c r="K123" s="1674">
        <f>SUM(C123:J123)</f>
        <v>204486</v>
      </c>
      <c r="L123" s="1573">
        <v>280000</v>
      </c>
    </row>
    <row r="124" spans="1:14" ht="14.25" thickTop="1" thickBot="1" x14ac:dyDescent="0.25">
      <c r="A124" s="1274" t="s">
        <v>195</v>
      </c>
      <c r="B124" s="503">
        <v>2540</v>
      </c>
      <c r="C124" s="1573">
        <v>437983</v>
      </c>
      <c r="D124" s="1573">
        <v>150707</v>
      </c>
      <c r="E124" s="1573">
        <v>213029</v>
      </c>
      <c r="F124" s="1573">
        <v>301830</v>
      </c>
      <c r="G124" s="1573">
        <v>43590</v>
      </c>
      <c r="H124" s="1573"/>
      <c r="I124" s="1574"/>
      <c r="J124" s="1574"/>
      <c r="K124" s="1674">
        <f>SUM(C124:J124)</f>
        <v>1147139</v>
      </c>
      <c r="L124" s="1573">
        <v>1245500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437983</v>
      </c>
      <c r="D127" s="1674">
        <f t="shared" ref="D127:L127" si="14">SUM(D122:D126)</f>
        <v>150707</v>
      </c>
      <c r="E127" s="1674">
        <f t="shared" si="14"/>
        <v>267001</v>
      </c>
      <c r="F127" s="1674">
        <f t="shared" si="14"/>
        <v>301830</v>
      </c>
      <c r="G127" s="1674">
        <f t="shared" si="14"/>
        <v>194104</v>
      </c>
      <c r="H127" s="1674">
        <f t="shared" si="14"/>
        <v>0</v>
      </c>
      <c r="I127" s="1674">
        <f t="shared" si="14"/>
        <v>0</v>
      </c>
      <c r="J127" s="1674">
        <f t="shared" si="14"/>
        <v>0</v>
      </c>
      <c r="K127" s="1674">
        <f t="shared" si="14"/>
        <v>1351625</v>
      </c>
      <c r="L127" s="1674">
        <f t="shared" si="14"/>
        <v>1525500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437983</v>
      </c>
      <c r="D129" s="1681">
        <f t="shared" ref="D129:L129" si="15">SUM(D120,D127,D128)</f>
        <v>150707</v>
      </c>
      <c r="E129" s="1681">
        <f t="shared" si="15"/>
        <v>267001</v>
      </c>
      <c r="F129" s="1681">
        <f t="shared" si="15"/>
        <v>301830</v>
      </c>
      <c r="G129" s="1681">
        <f t="shared" si="15"/>
        <v>194104</v>
      </c>
      <c r="H129" s="1681">
        <f t="shared" si="15"/>
        <v>0</v>
      </c>
      <c r="I129" s="1681">
        <f t="shared" si="15"/>
        <v>0</v>
      </c>
      <c r="J129" s="1681">
        <f t="shared" si="15"/>
        <v>0</v>
      </c>
      <c r="K129" s="1681">
        <f t="shared" si="15"/>
        <v>1351625</v>
      </c>
      <c r="L129" s="1681">
        <f t="shared" si="15"/>
        <v>1525500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v>139448</v>
      </c>
      <c r="F135" s="1673"/>
      <c r="G135" s="1673"/>
      <c r="H135" s="1573"/>
      <c r="I135" s="1582"/>
      <c r="J135" s="1673"/>
      <c r="K135" s="1678">
        <f>SUM(E135,H135)</f>
        <v>139448</v>
      </c>
      <c r="L135" s="1573">
        <v>130000</v>
      </c>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139448</v>
      </c>
      <c r="F137" s="1673"/>
      <c r="G137" s="1673"/>
      <c r="H137" s="1674">
        <f>SUM(H133:H136)</f>
        <v>0</v>
      </c>
      <c r="I137" s="1582"/>
      <c r="J137" s="1673"/>
      <c r="K137" s="1674">
        <f>SUM(K133:K136)</f>
        <v>139448</v>
      </c>
      <c r="L137" s="1674">
        <f>SUM(L133:L136)</f>
        <v>130000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139448</v>
      </c>
      <c r="F139" s="1673"/>
      <c r="G139" s="1673"/>
      <c r="H139" s="1687">
        <f>SUM(H137:H138)</f>
        <v>0</v>
      </c>
      <c r="I139" s="1582"/>
      <c r="J139" s="1673"/>
      <c r="K139" s="1678">
        <f>SUM(K137,K138)</f>
        <v>139448</v>
      </c>
      <c r="L139" s="1687">
        <f>SUM(L137,L138)</f>
        <v>130000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437983</v>
      </c>
      <c r="D151" s="1674">
        <f t="shared" ref="D151:K151" si="16">SUM(D129,D130,D139,D149,D150)</f>
        <v>150707</v>
      </c>
      <c r="E151" s="1674">
        <f t="shared" si="16"/>
        <v>406449</v>
      </c>
      <c r="F151" s="1674">
        <f t="shared" si="16"/>
        <v>301830</v>
      </c>
      <c r="G151" s="1674">
        <f t="shared" si="16"/>
        <v>194104</v>
      </c>
      <c r="H151" s="1674">
        <f t="shared" si="16"/>
        <v>0</v>
      </c>
      <c r="I151" s="1674">
        <f t="shared" si="16"/>
        <v>0</v>
      </c>
      <c r="J151" s="1674">
        <f t="shared" si="16"/>
        <v>0</v>
      </c>
      <c r="K151" s="1674">
        <f t="shared" si="16"/>
        <v>1491073</v>
      </c>
      <c r="L151" s="1674">
        <f>SUM(L129,L130,L139,L149,L150)</f>
        <v>1655500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470788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169946</v>
      </c>
      <c r="I169" s="1673"/>
      <c r="J169" s="1673"/>
      <c r="K169" s="1672">
        <f>SUM(C169:H169)</f>
        <v>169946</v>
      </c>
      <c r="L169" s="1695">
        <v>172000</v>
      </c>
    </row>
    <row r="170" spans="1:14" ht="33.75" customHeight="1" x14ac:dyDescent="0.2">
      <c r="A170" s="543" t="s">
        <v>1651</v>
      </c>
      <c r="B170" s="545" t="s">
        <v>31</v>
      </c>
      <c r="C170" s="1673"/>
      <c r="D170" s="1673"/>
      <c r="E170" s="1673"/>
      <c r="F170" s="1673"/>
      <c r="G170" s="1673"/>
      <c r="H170" s="1646">
        <v>2110000</v>
      </c>
      <c r="I170" s="1673"/>
      <c r="J170" s="1673"/>
      <c r="K170" s="1672">
        <f>SUM(C170:J170)</f>
        <v>2110000</v>
      </c>
      <c r="L170" s="1646">
        <v>2110000</v>
      </c>
    </row>
    <row r="171" spans="1:14" ht="15.75" customHeight="1" x14ac:dyDescent="0.2">
      <c r="A171" s="507" t="s">
        <v>761</v>
      </c>
      <c r="B171" s="546" t="s">
        <v>84</v>
      </c>
      <c r="C171" s="1673"/>
      <c r="D171" s="1673"/>
      <c r="E171" s="1573"/>
      <c r="F171" s="1673"/>
      <c r="G171" s="1673"/>
      <c r="H171" s="1646">
        <v>6750</v>
      </c>
      <c r="I171" s="1582"/>
      <c r="J171" s="1673"/>
      <c r="K171" s="1672">
        <f>SUM(C171:J171)</f>
        <v>6750</v>
      </c>
      <c r="L171" s="1646">
        <v>6275</v>
      </c>
    </row>
    <row r="172" spans="1:14" ht="12.75" customHeight="1" thickBot="1" x14ac:dyDescent="0.25">
      <c r="A172" s="1380" t="s">
        <v>633</v>
      </c>
      <c r="B172" s="1381" t="s">
        <v>489</v>
      </c>
      <c r="C172" s="1673"/>
      <c r="D172" s="1673"/>
      <c r="E172" s="1681">
        <f>SUM(E168,E169,E170,E171)</f>
        <v>0</v>
      </c>
      <c r="F172" s="1673"/>
      <c r="G172" s="1673"/>
      <c r="H172" s="1681">
        <f>SUM(H168,H169,H170,H171)</f>
        <v>2286696</v>
      </c>
      <c r="I172" s="1684"/>
      <c r="J172" s="1673"/>
      <c r="K172" s="1681">
        <f>SUM(K168,K169,K170,K171)</f>
        <v>2286696</v>
      </c>
      <c r="L172" s="1681">
        <f>SUM(L168,L169,L170,L171)</f>
        <v>2288275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2286696</v>
      </c>
      <c r="I174" s="1684"/>
      <c r="J174" s="1673"/>
      <c r="K174" s="1681">
        <f>SUM(K160,K172,K173)</f>
        <v>2286696</v>
      </c>
      <c r="L174" s="1681">
        <f>SUM(L160,L172,L173)</f>
        <v>2288275</v>
      </c>
    </row>
    <row r="175" spans="1:14" ht="13.5" thickTop="1" x14ac:dyDescent="0.2">
      <c r="A175" s="2286" t="s">
        <v>989</v>
      </c>
      <c r="B175" s="2287"/>
      <c r="C175" s="1673"/>
      <c r="D175" s="1673"/>
      <c r="E175" s="1673"/>
      <c r="F175" s="1673"/>
      <c r="G175" s="1673"/>
      <c r="H175" s="1675"/>
      <c r="I175" s="1673"/>
      <c r="J175" s="1673"/>
      <c r="K175" s="1689">
        <f>'Revenues 9-14'!E268-'Expenditures 15-22'!K174</f>
        <v>28574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1969</v>
      </c>
      <c r="D182" s="1573"/>
      <c r="E182" s="1573">
        <v>7400</v>
      </c>
      <c r="F182" s="1573">
        <v>6960</v>
      </c>
      <c r="G182" s="1573"/>
      <c r="H182" s="1573"/>
      <c r="I182" s="1574"/>
      <c r="J182" s="1574"/>
      <c r="K182" s="1672">
        <f>SUM(C182:J182)</f>
        <v>16329</v>
      </c>
      <c r="L182" s="1573">
        <v>31000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1969</v>
      </c>
      <c r="D184" s="1681">
        <f t="shared" ref="D184:J184" si="17">SUM(D180,D182,D183)</f>
        <v>0</v>
      </c>
      <c r="E184" s="1681">
        <f t="shared" si="17"/>
        <v>7400</v>
      </c>
      <c r="F184" s="1681">
        <f t="shared" si="17"/>
        <v>6960</v>
      </c>
      <c r="G184" s="1681">
        <f t="shared" si="17"/>
        <v>0</v>
      </c>
      <c r="H184" s="1681">
        <f t="shared" si="17"/>
        <v>0</v>
      </c>
      <c r="I184" s="1681">
        <f t="shared" si="17"/>
        <v>0</v>
      </c>
      <c r="J184" s="1681">
        <f t="shared" si="17"/>
        <v>0</v>
      </c>
      <c r="K184" s="1681">
        <f>SUM(K180,K182,K183)</f>
        <v>16329</v>
      </c>
      <c r="L184" s="1681">
        <f>SUM(L180, L182:L183)</f>
        <v>31000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242429</v>
      </c>
      <c r="F188" s="1673"/>
      <c r="G188" s="1673"/>
      <c r="H188" s="1573"/>
      <c r="I188" s="1582"/>
      <c r="J188" s="1673"/>
      <c r="K188" s="1672">
        <f t="shared" ref="K188:K193" si="18">SUM(E188,H188)</f>
        <v>242429</v>
      </c>
      <c r="L188" s="1573">
        <v>240000</v>
      </c>
    </row>
    <row r="189" spans="1:14" x14ac:dyDescent="0.2">
      <c r="A189" s="1274" t="s">
        <v>301</v>
      </c>
      <c r="B189" s="503">
        <v>4120</v>
      </c>
      <c r="C189" s="1673"/>
      <c r="D189" s="1673"/>
      <c r="E189" s="1573">
        <v>423035</v>
      </c>
      <c r="F189" s="1673"/>
      <c r="G189" s="1673"/>
      <c r="H189" s="1573"/>
      <c r="I189" s="1582"/>
      <c r="J189" s="1673"/>
      <c r="K189" s="1672">
        <f t="shared" si="18"/>
        <v>423035</v>
      </c>
      <c r="L189" s="1573">
        <v>400000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665464</v>
      </c>
      <c r="F194" s="1673"/>
      <c r="G194" s="1673"/>
      <c r="H194" s="1674">
        <f>SUM(H188:H193)</f>
        <v>0</v>
      </c>
      <c r="I194" s="1582"/>
      <c r="J194" s="1673"/>
      <c r="K194" s="1674">
        <f>SUM(K188:K193)</f>
        <v>665464</v>
      </c>
      <c r="L194" s="1674">
        <f>SUM(L188:L193)</f>
        <v>640000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665464</v>
      </c>
      <c r="F196" s="1673"/>
      <c r="G196" s="1673"/>
      <c r="H196" s="1681">
        <f>SUM(H194,H195)</f>
        <v>0</v>
      </c>
      <c r="I196" s="1582"/>
      <c r="J196" s="1673"/>
      <c r="K196" s="1681">
        <f>SUM(K194,K195)</f>
        <v>665464</v>
      </c>
      <c r="L196" s="1681">
        <f>SUM(L194,L195)</f>
        <v>640000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1000</v>
      </c>
    </row>
    <row r="210" spans="1:14" ht="12.75" customHeight="1" thickTop="1" thickBot="1" x14ac:dyDescent="0.25">
      <c r="A210" s="1394" t="s">
        <v>275</v>
      </c>
      <c r="B210" s="1395"/>
      <c r="C210" s="1674">
        <f>SUM(C184,C185)</f>
        <v>1969</v>
      </c>
      <c r="D210" s="1674">
        <f>SUM(D184,D185)</f>
        <v>0</v>
      </c>
      <c r="E210" s="1674">
        <f>SUM(E184,E185,E196)</f>
        <v>672864</v>
      </c>
      <c r="F210" s="1674">
        <f>SUM(F184,F185)</f>
        <v>6960</v>
      </c>
      <c r="G210" s="1674">
        <f>SUM(G184,G185)</f>
        <v>0</v>
      </c>
      <c r="H210" s="1674">
        <f>SUM(H184,H185,H196,H208,H209)</f>
        <v>0</v>
      </c>
      <c r="I210" s="1674">
        <f>SUM(I184,I185)</f>
        <v>0</v>
      </c>
      <c r="J210" s="1674">
        <f>SUM(J184,J185)</f>
        <v>0</v>
      </c>
      <c r="K210" s="1672">
        <f>SUM(K184,K185,K196,K208,K209)</f>
        <v>681793</v>
      </c>
      <c r="L210" s="1674">
        <f>SUM(L184,L185,L196,L208,L209)</f>
        <v>672000</v>
      </c>
    </row>
    <row r="211" spans="1:14" ht="13.5" thickTop="1" x14ac:dyDescent="0.2">
      <c r="A211" s="2286" t="s">
        <v>989</v>
      </c>
      <c r="B211" s="2287"/>
      <c r="C211" s="1675"/>
      <c r="D211" s="1675"/>
      <c r="E211" s="1675"/>
      <c r="F211" s="1675"/>
      <c r="G211" s="1675"/>
      <c r="H211" s="1675"/>
      <c r="I211" s="1673"/>
      <c r="J211" s="1673"/>
      <c r="K211" s="1689">
        <f>'Revenues 9-14'!F268-'Expenditures 15-22'!K210</f>
        <v>149271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78652</v>
      </c>
      <c r="E215" s="1673"/>
      <c r="F215" s="1673"/>
      <c r="G215" s="1673"/>
      <c r="H215" s="1673"/>
      <c r="I215" s="1673"/>
      <c r="J215" s="1673"/>
      <c r="K215" s="1672">
        <f>D215</f>
        <v>78652</v>
      </c>
      <c r="L215" s="1573">
        <v>2610</v>
      </c>
    </row>
    <row r="216" spans="1:14" x14ac:dyDescent="0.2">
      <c r="A216" s="1274" t="s">
        <v>162</v>
      </c>
      <c r="B216" s="503" t="s">
        <v>961</v>
      </c>
      <c r="C216" s="1673"/>
      <c r="D216" s="1574"/>
      <c r="E216" s="1673"/>
      <c r="F216" s="1673"/>
      <c r="G216" s="1673"/>
      <c r="H216" s="1673"/>
      <c r="I216" s="1673"/>
      <c r="J216" s="1673"/>
      <c r="K216" s="1672">
        <f t="shared" ref="K216:K228" si="19">D216</f>
        <v>0</v>
      </c>
      <c r="L216" s="1573">
        <v>76000</v>
      </c>
    </row>
    <row r="217" spans="1:14" x14ac:dyDescent="0.2">
      <c r="A217" s="1274" t="s">
        <v>163</v>
      </c>
      <c r="B217" s="503">
        <v>1200</v>
      </c>
      <c r="C217" s="1673"/>
      <c r="D217" s="1573">
        <v>4572</v>
      </c>
      <c r="E217" s="1673"/>
      <c r="F217" s="1673"/>
      <c r="G217" s="1673"/>
      <c r="H217" s="1673"/>
      <c r="I217" s="1673"/>
      <c r="J217" s="1673"/>
      <c r="K217" s="1672">
        <f t="shared" si="19"/>
        <v>4572</v>
      </c>
      <c r="L217" s="1573">
        <v>5500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18915</v>
      </c>
      <c r="E223" s="1673"/>
      <c r="F223" s="1673"/>
      <c r="G223" s="1673"/>
      <c r="H223" s="1673"/>
      <c r="I223" s="1673"/>
      <c r="J223" s="1673"/>
      <c r="K223" s="1672">
        <f t="shared" si="19"/>
        <v>18915</v>
      </c>
      <c r="L223" s="1573">
        <v>19000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102139</v>
      </c>
      <c r="E229" s="1673"/>
      <c r="F229" s="1673"/>
      <c r="G229" s="1673"/>
      <c r="H229" s="1673"/>
      <c r="I229" s="1673"/>
      <c r="J229" s="1673"/>
      <c r="K229" s="1674">
        <f>SUM(K215:K228)</f>
        <v>102139</v>
      </c>
      <c r="L229" s="1674">
        <f>SUM(L215:L228)</f>
        <v>103110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563</v>
      </c>
      <c r="E232" s="1673"/>
      <c r="F232" s="1673"/>
      <c r="G232" s="1673"/>
      <c r="H232" s="1673"/>
      <c r="I232" s="1673"/>
      <c r="J232" s="1673"/>
      <c r="K232" s="1672">
        <f t="shared" ref="K232:K237" si="20">D232</f>
        <v>563</v>
      </c>
      <c r="L232" s="1573">
        <v>509</v>
      </c>
    </row>
    <row r="233" spans="1:12" x14ac:dyDescent="0.2">
      <c r="A233" s="1274" t="s">
        <v>1081</v>
      </c>
      <c r="B233" s="503">
        <v>2120</v>
      </c>
      <c r="C233" s="1673"/>
      <c r="D233" s="1573">
        <v>18170</v>
      </c>
      <c r="E233" s="1673"/>
      <c r="F233" s="1673"/>
      <c r="G233" s="1673"/>
      <c r="H233" s="1673"/>
      <c r="I233" s="1673"/>
      <c r="J233" s="1673"/>
      <c r="K233" s="1672">
        <f t="shared" si="20"/>
        <v>18170</v>
      </c>
      <c r="L233" s="1573">
        <v>19900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1285</v>
      </c>
      <c r="E237" s="1673"/>
      <c r="F237" s="1673"/>
      <c r="G237" s="1673"/>
      <c r="H237" s="1673"/>
      <c r="I237" s="1673"/>
      <c r="J237" s="1673"/>
      <c r="K237" s="1672">
        <f t="shared" si="20"/>
        <v>1285</v>
      </c>
      <c r="L237" s="1573">
        <v>1500</v>
      </c>
    </row>
    <row r="238" spans="1:12" ht="12.75" customHeight="1" thickBot="1" x14ac:dyDescent="0.25">
      <c r="A238" s="1380" t="s">
        <v>556</v>
      </c>
      <c r="B238" s="1383" t="s">
        <v>711</v>
      </c>
      <c r="C238" s="1673"/>
      <c r="D238" s="1674">
        <f>SUM(D232:D237)</f>
        <v>20018</v>
      </c>
      <c r="E238" s="1673"/>
      <c r="F238" s="1673"/>
      <c r="G238" s="1673"/>
      <c r="H238" s="1673"/>
      <c r="I238" s="1673"/>
      <c r="J238" s="1673"/>
      <c r="K238" s="1674">
        <f>SUM(K232:K237)</f>
        <v>20018</v>
      </c>
      <c r="L238" s="1674">
        <f>SUM(L232:L237)</f>
        <v>21909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30751</v>
      </c>
      <c r="E241" s="1673"/>
      <c r="F241" s="1673"/>
      <c r="G241" s="1673"/>
      <c r="H241" s="1673"/>
      <c r="I241" s="1673"/>
      <c r="J241" s="1673"/>
      <c r="K241" s="1678">
        <f>D241</f>
        <v>30751</v>
      </c>
      <c r="L241" s="1573">
        <v>33610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30751</v>
      </c>
      <c r="E243" s="1673"/>
      <c r="F243" s="1673"/>
      <c r="G243" s="1673"/>
      <c r="H243" s="1673"/>
      <c r="I243" s="1673"/>
      <c r="J243" s="1673"/>
      <c r="K243" s="1674">
        <f>SUM(K240:K242)</f>
        <v>30751</v>
      </c>
      <c r="L243" s="1674">
        <f>SUM(L240:L242)</f>
        <v>33610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18367</v>
      </c>
      <c r="E245" s="1673"/>
      <c r="F245" s="1673"/>
      <c r="G245" s="1673"/>
      <c r="H245" s="1673"/>
      <c r="I245" s="1673"/>
      <c r="J245" s="1673"/>
      <c r="K245" s="1678">
        <f>D245</f>
        <v>18367</v>
      </c>
      <c r="L245" s="1586">
        <v>19700</v>
      </c>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1781</v>
      </c>
      <c r="E254" s="1673"/>
      <c r="F254" s="1673"/>
      <c r="G254" s="1673"/>
      <c r="H254" s="1673"/>
      <c r="I254" s="1673"/>
      <c r="J254" s="1673"/>
      <c r="K254" s="1678">
        <f t="shared" si="21"/>
        <v>1781</v>
      </c>
      <c r="L254" s="1573">
        <v>1800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20148</v>
      </c>
      <c r="E257" s="1673"/>
      <c r="F257" s="1673"/>
      <c r="G257" s="1673"/>
      <c r="H257" s="1673"/>
      <c r="I257" s="1673"/>
      <c r="J257" s="1673"/>
      <c r="K257" s="1674">
        <f>SUM(K245:K256)</f>
        <v>20148</v>
      </c>
      <c r="L257" s="1674">
        <f>SUM(L245:L256)</f>
        <v>21500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15490</v>
      </c>
      <c r="E259" s="1673"/>
      <c r="F259" s="1673"/>
      <c r="G259" s="1673"/>
      <c r="H259" s="1673"/>
      <c r="I259" s="1673"/>
      <c r="J259" s="1673"/>
      <c r="K259" s="1678">
        <f>D259</f>
        <v>15490</v>
      </c>
      <c r="L259" s="1586">
        <v>15800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15490</v>
      </c>
      <c r="E261" s="1673"/>
      <c r="F261" s="1673"/>
      <c r="G261" s="1673"/>
      <c r="H261" s="1673"/>
      <c r="I261" s="1673"/>
      <c r="J261" s="1673"/>
      <c r="K261" s="1674">
        <f>SUM(K259:K260)</f>
        <v>15490</v>
      </c>
      <c r="L261" s="1674">
        <f>SUM(L259:L260)</f>
        <v>15800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11913</v>
      </c>
      <c r="E264" s="1673"/>
      <c r="F264" s="1673"/>
      <c r="G264" s="1673"/>
      <c r="H264" s="1673"/>
      <c r="I264" s="1673"/>
      <c r="J264" s="1673"/>
      <c r="K264" s="1678">
        <f t="shared" ref="K264:K269" si="22">D264</f>
        <v>11913</v>
      </c>
      <c r="L264" s="1573">
        <v>13000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93916</v>
      </c>
      <c r="E266" s="1673"/>
      <c r="F266" s="1673"/>
      <c r="G266" s="1673"/>
      <c r="H266" s="1673"/>
      <c r="I266" s="1673"/>
      <c r="J266" s="1673"/>
      <c r="K266" s="1678">
        <f t="shared" si="22"/>
        <v>93916</v>
      </c>
      <c r="L266" s="1573">
        <v>96000</v>
      </c>
    </row>
    <row r="267" spans="1:14" x14ac:dyDescent="0.2">
      <c r="A267" s="1274" t="s">
        <v>947</v>
      </c>
      <c r="B267" s="503">
        <v>2550</v>
      </c>
      <c r="C267" s="1673"/>
      <c r="D267" s="1573">
        <v>170</v>
      </c>
      <c r="E267" s="1673"/>
      <c r="F267" s="1673"/>
      <c r="G267" s="1673"/>
      <c r="H267" s="1673"/>
      <c r="I267" s="1673"/>
      <c r="J267" s="1673"/>
      <c r="K267" s="1678">
        <f t="shared" si="22"/>
        <v>170</v>
      </c>
      <c r="L267" s="1573">
        <v>300</v>
      </c>
    </row>
    <row r="268" spans="1:14" x14ac:dyDescent="0.2">
      <c r="A268" s="1274" t="s">
        <v>100</v>
      </c>
      <c r="B268" s="503">
        <v>2560</v>
      </c>
      <c r="C268" s="1673"/>
      <c r="D268" s="1573">
        <v>1312</v>
      </c>
      <c r="E268" s="1673"/>
      <c r="F268" s="1673"/>
      <c r="G268" s="1673"/>
      <c r="H268" s="1673"/>
      <c r="I268" s="1673"/>
      <c r="J268" s="1673"/>
      <c r="K268" s="1678">
        <f t="shared" si="22"/>
        <v>1312</v>
      </c>
      <c r="L268" s="1573">
        <v>2700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107311</v>
      </c>
      <c r="E270" s="1673"/>
      <c r="F270" s="1673"/>
      <c r="G270" s="1673"/>
      <c r="H270" s="1673"/>
      <c r="I270" s="1673"/>
      <c r="J270" s="1673"/>
      <c r="K270" s="1674">
        <f>SUM(K263:K269)</f>
        <v>107311</v>
      </c>
      <c r="L270" s="1674">
        <f>SUM(L263:L269)</f>
        <v>112000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193718</v>
      </c>
      <c r="E279" s="1673"/>
      <c r="F279" s="1673"/>
      <c r="G279" s="1673"/>
      <c r="H279" s="1673"/>
      <c r="I279" s="1673"/>
      <c r="J279" s="1673"/>
      <c r="K279" s="1681">
        <f>SUM(K238,K243,K257,K261,K270,K277,K278)</f>
        <v>193718</v>
      </c>
      <c r="L279" s="1681">
        <f>SUM(L238,L243,L257,L261,L270,L277,L278)</f>
        <v>204819</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295857</v>
      </c>
      <c r="E295" s="1673"/>
      <c r="F295" s="1673"/>
      <c r="G295" s="1673"/>
      <c r="H295" s="1674">
        <f>H293</f>
        <v>0</v>
      </c>
      <c r="I295" s="1673"/>
      <c r="J295" s="1673"/>
      <c r="K295" s="1674">
        <f>SUM(K229,K279,K280,K285,K293,K294)</f>
        <v>295857</v>
      </c>
      <c r="L295" s="1674">
        <f>SUM(L229,L279,L280,L285,L293,L294)</f>
        <v>307929</v>
      </c>
    </row>
    <row r="296" spans="1:14" ht="13.5" thickTop="1" x14ac:dyDescent="0.2">
      <c r="A296" s="2286" t="s">
        <v>989</v>
      </c>
      <c r="B296" s="2287"/>
      <c r="C296" s="1673"/>
      <c r="D296" s="1675"/>
      <c r="E296" s="1673"/>
      <c r="F296" s="1673"/>
      <c r="G296" s="1673"/>
      <c r="H296" s="1707"/>
      <c r="I296" s="1673"/>
      <c r="J296" s="1673"/>
      <c r="K296" s="1689">
        <f>'Revenues 9-14'!G268-'Expenditures 15-22'!K295</f>
        <v>-94541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473925</v>
      </c>
      <c r="H301" s="1573"/>
      <c r="I301" s="1574"/>
      <c r="J301" s="1574"/>
      <c r="K301" s="1672">
        <f>SUM(C301:J301)</f>
        <v>473925</v>
      </c>
      <c r="L301" s="1574">
        <v>1650000</v>
      </c>
    </row>
    <row r="302" spans="1:14" ht="13.5" customHeight="1" x14ac:dyDescent="0.2">
      <c r="A302" s="1287" t="s">
        <v>973</v>
      </c>
      <c r="B302" s="503" t="s">
        <v>570</v>
      </c>
      <c r="C302" s="1573"/>
      <c r="D302" s="1573"/>
      <c r="E302" s="1573"/>
      <c r="F302" s="1573"/>
      <c r="G302" s="1573"/>
      <c r="H302" s="1573">
        <v>76545</v>
      </c>
      <c r="I302" s="1574"/>
      <c r="J302" s="1574"/>
      <c r="K302" s="1672">
        <f>SUM(C302:J302)</f>
        <v>76545</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473925</v>
      </c>
      <c r="H303" s="1681">
        <f t="shared" si="23"/>
        <v>76545</v>
      </c>
      <c r="I303" s="1681">
        <f t="shared" si="23"/>
        <v>0</v>
      </c>
      <c r="J303" s="1681">
        <f t="shared" si="23"/>
        <v>0</v>
      </c>
      <c r="K303" s="1681">
        <f t="shared" si="23"/>
        <v>550470</v>
      </c>
      <c r="L303" s="1681">
        <f t="shared" si="23"/>
        <v>1650000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473925</v>
      </c>
      <c r="H312" s="1674">
        <f>SUM(H303,H310)</f>
        <v>76545</v>
      </c>
      <c r="I312" s="1674">
        <f>SUM(I303)</f>
        <v>0</v>
      </c>
      <c r="J312" s="1674">
        <f>SUM(J303)</f>
        <v>0</v>
      </c>
      <c r="K312" s="1674">
        <f>SUM(K303,K310,K311)</f>
        <v>550470</v>
      </c>
      <c r="L312" s="1674">
        <f>SUM(L303,L310,L311)</f>
        <v>1650000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-498156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v>600</v>
      </c>
      <c r="F321" s="1574"/>
      <c r="G321" s="1574"/>
      <c r="H321" s="1574"/>
      <c r="I321" s="1574"/>
      <c r="J321" s="1574"/>
      <c r="K321" s="1672">
        <f t="shared" si="24"/>
        <v>600</v>
      </c>
      <c r="L321" s="1574">
        <v>1000</v>
      </c>
      <c r="M321" s="539"/>
      <c r="N321" s="539"/>
    </row>
    <row r="322" spans="1:14" s="548" customFormat="1" x14ac:dyDescent="0.2">
      <c r="A322" s="1289" t="s">
        <v>236</v>
      </c>
      <c r="B322" s="567" t="s">
        <v>282</v>
      </c>
      <c r="C322" s="1574"/>
      <c r="D322" s="1574"/>
      <c r="E322" s="1574">
        <v>112226</v>
      </c>
      <c r="F322" s="1574"/>
      <c r="G322" s="1574"/>
      <c r="H322" s="1574"/>
      <c r="I322" s="1574"/>
      <c r="J322" s="1574"/>
      <c r="K322" s="1672">
        <f t="shared" si="24"/>
        <v>112226</v>
      </c>
      <c r="L322" s="1574">
        <v>115000</v>
      </c>
      <c r="M322" s="539"/>
      <c r="N322" s="539"/>
    </row>
    <row r="323" spans="1:14" s="548" customFormat="1" x14ac:dyDescent="0.2">
      <c r="A323" s="1289" t="s">
        <v>697</v>
      </c>
      <c r="B323" s="567" t="s">
        <v>283</v>
      </c>
      <c r="C323" s="1574"/>
      <c r="D323" s="1574"/>
      <c r="E323" s="1574">
        <v>12889</v>
      </c>
      <c r="F323" s="1574"/>
      <c r="G323" s="1574"/>
      <c r="H323" s="1574"/>
      <c r="I323" s="1574"/>
      <c r="J323" s="1574"/>
      <c r="K323" s="1672">
        <f t="shared" si="24"/>
        <v>12889</v>
      </c>
      <c r="L323" s="1574">
        <v>17750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135767</v>
      </c>
      <c r="D325" s="1574">
        <v>6322</v>
      </c>
      <c r="E325" s="1574">
        <f>50877+2707</f>
        <v>53584</v>
      </c>
      <c r="F325" s="1574"/>
      <c r="G325" s="1574"/>
      <c r="H325" s="1574"/>
      <c r="I325" s="1574"/>
      <c r="J325" s="1574"/>
      <c r="K325" s="1672">
        <f t="shared" si="24"/>
        <v>195673</v>
      </c>
      <c r="L325" s="1574">
        <v>200000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135767</v>
      </c>
      <c r="D330" s="1674">
        <f t="shared" ref="D330:J330" si="25">SUM(D319:D329)</f>
        <v>6322</v>
      </c>
      <c r="E330" s="1674">
        <f t="shared" si="25"/>
        <v>179299</v>
      </c>
      <c r="F330" s="1674">
        <f t="shared" si="25"/>
        <v>0</v>
      </c>
      <c r="G330" s="1674">
        <f t="shared" si="25"/>
        <v>0</v>
      </c>
      <c r="H330" s="1674">
        <f t="shared" si="25"/>
        <v>0</v>
      </c>
      <c r="I330" s="1674">
        <f t="shared" si="25"/>
        <v>0</v>
      </c>
      <c r="J330" s="1674">
        <f t="shared" si="25"/>
        <v>0</v>
      </c>
      <c r="K330" s="1674">
        <f>SUM(K319:K329)</f>
        <v>321388</v>
      </c>
      <c r="L330" s="1674">
        <f>SUM(L319:L329)</f>
        <v>333750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135767</v>
      </c>
      <c r="D342" s="1674">
        <f>SUM(D330)</f>
        <v>6322</v>
      </c>
      <c r="E342" s="1674">
        <f>SUM(E330)</f>
        <v>179299</v>
      </c>
      <c r="F342" s="1674">
        <f>SUM(F330)</f>
        <v>0</v>
      </c>
      <c r="G342" s="1674">
        <f>SUM(G330)</f>
        <v>0</v>
      </c>
      <c r="H342" s="1674">
        <f>SUM(H330,H334,H340)</f>
        <v>0</v>
      </c>
      <c r="I342" s="1674">
        <f>SUM(I330)</f>
        <v>0</v>
      </c>
      <c r="J342" s="1674">
        <f>SUM(J330)</f>
        <v>0</v>
      </c>
      <c r="K342" s="1674">
        <f>SUM(K330,K334,K340)</f>
        <v>321388</v>
      </c>
      <c r="L342" s="1681">
        <f>SUM(L330,L334,L340,L341)</f>
        <v>333750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18981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189290</v>
      </c>
      <c r="H348" s="1573"/>
      <c r="I348" s="1574"/>
      <c r="J348" s="1574"/>
      <c r="K348" s="1672">
        <f>SUM(C348:J348)</f>
        <v>189290</v>
      </c>
      <c r="L348" s="1573">
        <v>200000</v>
      </c>
    </row>
    <row r="349" spans="1:14" x14ac:dyDescent="0.2">
      <c r="A349" s="1274" t="s">
        <v>195</v>
      </c>
      <c r="B349" s="503">
        <v>2540</v>
      </c>
      <c r="C349" s="1573"/>
      <c r="D349" s="1573"/>
      <c r="E349" s="1573"/>
      <c r="F349" s="1573"/>
      <c r="G349" s="1573">
        <v>25304</v>
      </c>
      <c r="H349" s="1573"/>
      <c r="I349" s="1574"/>
      <c r="J349" s="1574"/>
      <c r="K349" s="1672">
        <f>SUM(C349:J349)</f>
        <v>25304</v>
      </c>
      <c r="L349" s="1573">
        <v>28000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214594</v>
      </c>
      <c r="H350" s="1674">
        <f t="shared" si="26"/>
        <v>0</v>
      </c>
      <c r="I350" s="1674">
        <f t="shared" si="26"/>
        <v>0</v>
      </c>
      <c r="J350" s="1674">
        <f t="shared" si="26"/>
        <v>0</v>
      </c>
      <c r="K350" s="1674">
        <f t="shared" si="26"/>
        <v>214594</v>
      </c>
      <c r="L350" s="1674">
        <f t="shared" si="26"/>
        <v>228000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214594</v>
      </c>
      <c r="H352" s="1674">
        <f t="shared" si="27"/>
        <v>0</v>
      </c>
      <c r="I352" s="1674">
        <f t="shared" si="27"/>
        <v>0</v>
      </c>
      <c r="J352" s="1674">
        <f t="shared" si="27"/>
        <v>0</v>
      </c>
      <c r="K352" s="1674">
        <f t="shared" si="27"/>
        <v>214594</v>
      </c>
      <c r="L352" s="1674">
        <f t="shared" si="27"/>
        <v>228000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214594</v>
      </c>
      <c r="H367" s="1674">
        <f t="shared" si="28"/>
        <v>0</v>
      </c>
      <c r="I367" s="1674">
        <f t="shared" si="28"/>
        <v>0</v>
      </c>
      <c r="J367" s="1674">
        <f t="shared" si="28"/>
        <v>0</v>
      </c>
      <c r="K367" s="1674">
        <f t="shared" si="28"/>
        <v>214594</v>
      </c>
      <c r="L367" s="1674">
        <f t="shared" si="28"/>
        <v>228000</v>
      </c>
    </row>
    <row r="368" spans="1:14" ht="13.5" thickTop="1" x14ac:dyDescent="0.2">
      <c r="A368" s="2286" t="s">
        <v>989</v>
      </c>
      <c r="B368" s="2287"/>
      <c r="C368" s="1694"/>
      <c r="D368" s="1694"/>
      <c r="E368" s="1677"/>
      <c r="F368" s="1677"/>
      <c r="G368" s="1677"/>
      <c r="H368" s="1677"/>
      <c r="I368" s="1677"/>
      <c r="J368" s="1676"/>
      <c r="K368" s="1672">
        <f>'Revenues 9-14'!K268-'Expenditures 15-22'!K367</f>
        <v>15532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infopath/2007/PartnerControls"/>
    <ds:schemaRef ds:uri="http://purl.org/dc/terms/"/>
    <ds:schemaRef ds:uri="http://schemas.microsoft.com/sharepoint/v3"/>
    <ds:schemaRef ds:uri="http://schemas.microsoft.com/office/2006/documentManagement/types"/>
    <ds:schemaRef ds:uri="http://purl.org/dc/dcmitype/"/>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2020-10-14T17:37:43Z</cp:lastPrinted>
  <dcterms:created xsi:type="dcterms:W3CDTF">2003-10-29T19:06:34Z</dcterms:created>
  <dcterms:modified xsi:type="dcterms:W3CDTF">2020-10-21T21:58:13Z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