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F99A9A6-E564-4906-9333-4C5AF9074F3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7" i="184" l="1"/>
  <c r="N67" i="184"/>
  <c r="N66" i="184"/>
  <c r="N64" i="184"/>
  <c r="N62" i="184"/>
  <c r="N61" i="184"/>
  <c r="E67" i="184" l="1"/>
  <c r="E66" i="184"/>
  <c r="E64" i="184"/>
  <c r="E62" i="184"/>
  <c r="E61" i="184"/>
  <c r="E57" i="184"/>
  <c r="F15" i="184" l="1"/>
  <c r="F19" i="184" s="1"/>
  <c r="E17" i="184"/>
  <c r="E16" i="184"/>
  <c r="E15" i="184"/>
  <c r="E14"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5" i="184"/>
  <c r="H14"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D7887" i="106" l="1"/>
  <c r="D7886" i="106"/>
  <c r="B7887" i="106"/>
  <c r="B7886" i="106"/>
  <c r="F80" i="34"/>
  <c r="F76" i="34"/>
  <c r="F75" i="34"/>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80" i="106" l="1"/>
  <c r="D7180" i="106" s="1"/>
  <c r="E63" i="184"/>
  <c r="N63" i="184" s="1"/>
  <c r="C342" i="29"/>
  <c r="B7216" i="106" s="1"/>
  <c r="D7216" i="106" s="1"/>
  <c r="B7198" i="106"/>
  <c r="D7198" i="106" s="1"/>
  <c r="E65" i="184"/>
  <c r="N65" i="184" s="1"/>
  <c r="B7153" i="106"/>
  <c r="D7153" i="106" s="1"/>
  <c r="E60" i="184"/>
  <c r="N60" i="184" s="1"/>
  <c r="B7135" i="106"/>
  <c r="D7135" i="106" s="1"/>
  <c r="E58" i="184"/>
  <c r="H12" i="184"/>
  <c r="H19" i="184" s="1"/>
  <c r="L20" i="184" s="1"/>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E367" i="29"/>
  <c r="B3635" i="106"/>
  <c r="D3635" i="106" s="1"/>
  <c r="K342" i="29"/>
  <c r="F13" i="34" s="1"/>
  <c r="N58" i="184"/>
  <c r="N68" i="184" s="1"/>
  <c r="E68" i="184"/>
  <c r="B1381" i="106"/>
  <c r="D1381" i="106" s="1"/>
  <c r="F41" i="108"/>
  <c r="G43" i="108" s="1"/>
  <c r="L114" i="29"/>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B6230" i="106" s="1"/>
  <c r="D6230" i="106" s="1"/>
  <c r="B6223" i="106"/>
  <c r="D6223" i="106" s="1"/>
  <c r="J10" i="4"/>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J78" i="4"/>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c r="B6263" i="106" l="1"/>
  <c r="D6263"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<sst xmlns="http://schemas.openxmlformats.org/spreadsheetml/2006/main" count="5147" uniqueCount="2082">
  <si>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</si>
  <si>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</si>
  <si>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</si>
  <si>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</si>
  <si>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</si>
  <si>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</si>
  <si>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</si>
  <si>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</si>
  <si>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</si>
  <si>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</si>
  <si>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</si>
  <si>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</si>
  <si>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</si>
  <si>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</si>
  <si>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</si>
  <si>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</si>
  <si>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</si>
  <si>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</si>
  <si>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</si>
  <si>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</si>
  <si>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</si>
  <si>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</si>
  <si>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</si>
  <si>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</si>
  <si>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</si>
  <si>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</si>
  <si>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</si>
  <si>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</si>
  <si>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</si>
  <si>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</si>
  <si>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</si>
  <si>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</si>
  <si>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</si>
  <si>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</si>
  <si>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</si>
  <si>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</si>
  <si>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</si>
  <si>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</si>
  <si>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</si>
  <si>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</si>
  <si>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</si>
  <si>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</si>
  <si>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</si>
  <si>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</si>
  <si>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</si>
  <si>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</si>
  <si>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</si>
  <si>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</si>
  <si>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</si>
  <si>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</si>
  <si>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</si>
  <si>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</si>
  <si>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</si>
  <si>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</si>
  <si>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</si>
  <si>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</si>
  <si>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</si>
  <si>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</si>
  <si>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</si>
  <si>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</si>
  <si>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</si>
  <si>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</si>
  <si>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</si>
  <si>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</si>
  <si>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</si>
  <si>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</si>
  <si>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</si>
  <si>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</si>
  <si>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</si>
  <si>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</si>
  <si>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</si>
  <si>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</si>
  <si>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</si>
  <si>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</si>
  <si>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</si>
  <si>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</si>
  <si>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</si>
  <si>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</si>
  <si>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</si>
  <si>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</si>
  <si>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</si>
  <si>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</si>
  <si>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</si>
  <si>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</si>
  <si>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</si>
  <si>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</si>
  <si>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</si>
  <si>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</si>
  <si>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</si>
  <si>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</si>
  <si>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</si>
  <si>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</si>
  <si>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</si>
  <si>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</si>
  <si>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</si>
  <si>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</si>
  <si>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</si>
  <si>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</si>
  <si>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</si>
  <si>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</si>
  <si>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</si>
  <si>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</si>
  <si>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</si>
  <si>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</si>
  <si>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</si>
  <si>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</si>
  <si>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</si>
  <si>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</si>
  <si>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</si>
  <si>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</si>
  <si>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</si>
  <si>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</si>
  <si>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</si>
  <si>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</si>
  <si>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</si>
  <si>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</si>
  <si>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</si>
  <si>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</si>
  <si>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</si>
  <si>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</si>
  <si>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</si>
  <si>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</si>
  <si>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</si>
  <si>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</si>
  <si>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</si>
  <si>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</si>
  <si>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</si>
  <si>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</si>
  <si>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</si>
  <si>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</si>
  <si>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</si>
  <si>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</si>
  <si>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</si>
  <si>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</si>
  <si>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</si>
  <si>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</si>
  <si>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</si>
  <si>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</si>
  <si>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</si>
  <si>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</si>
  <si>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</si>
  <si>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</si>
  <si>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</si>
  <si>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</si>
  <si>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</si>
  <si>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</si>
  <si>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</si>
  <si>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</si>
  <si>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</si>
  <si>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</si>
  <si>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</si>
  <si>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</si>
  <si>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</si>
  <si>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</si>
  <si>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</si>
  <si>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</si>
  <si>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</si>
  <si>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</si>
  <si>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</si>
  <si>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</si>
  <si>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</si>
  <si>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</si>
  <si>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</si>
  <si>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</si>
  <si>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</si>
  <si>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</si>
  <si>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</si>
  <si>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</si>
  <si>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</si>
  <si>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</si>
  <si>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</si>
  <si>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</si>
  <si>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</si>
  <si>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</si>
  <si>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</si>
  <si>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</si>
  <si>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</si>
  <si>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</si>
  <si>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</si>
  <si>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</si>
  <si>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</si>
  <si>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</si>
  <si>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</si>
  <si>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</si>
  <si>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</si>
  <si>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</si>
  <si>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</si>
  <si>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</si>
  <si>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</si>
  <si>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</si>
  <si>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</si>
  <si>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</si>
  <si>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</si>
  <si>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</si>
  <si>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</si>
  <si>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</si>
  <si>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</si>
  <si>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</si>
  <si>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</si>
  <si>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</si>
  <si>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</si>
  <si>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</si>
  <si>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</si>
  <si>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</si>
  <si>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</si>
  <si>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</si>
  <si>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</si>
  <si>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</si>
  <si>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</si>
  <si>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</si>
  <si>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</si>
  <si>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</si>
  <si>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</si>
  <si>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</si>
  <si>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</si>
  <si>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</si>
  <si>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</si>
  <si>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</si>
  <si>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</si>
  <si>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</si>
  <si>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</si>
  <si>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</si>
  <si>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</si>
  <si>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</si>
  <si>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</si>
  <si>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</si>
  <si>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</si>
  <si>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</si>
  <si>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</si>
  <si>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</si>
  <si>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</si>
  <si>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</si>
  <si>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</si>
  <si>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</si>
  <si>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</si>
  <si>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</si>
  <si>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</si>
  <si>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</si>
  <si>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</si>
  <si>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</si>
  <si>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</si>
  <si>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</si>
  <si>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</si>
  <si>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</si>
  <si>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</si>
  <si>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</si>
  <si>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</si>
  <si>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</si>
  <si>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</si>
  <si>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</si>
  <si>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</si>
  <si>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</si>
  <si>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</si>
  <si>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</si>
  <si>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</si>
  <si>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</si>
  <si>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</si>
  <si>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</si>
  <si>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</si>
  <si>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</si>
  <si>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</si>
  <si>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</si>
  <si>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</si>
  <si>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</si>
  <si>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</si>
  <si>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</si>
  <si>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</si>
  <si>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</si>
  <si>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</si>
  <si>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</si>
  <si>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</si>
  <si>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</si>
  <si>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</si>
  <si>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</si>
  <si>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</si>
  <si>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</si>
  <si>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</si>
  <si>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</si>
  <si>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</si>
  <si>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</si>
  <si>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</si>
  <si>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</si>
  <si>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</si>
  <si>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</si>
  <si>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</si>
  <si>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</si>
  <si>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</si>
  <si>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</si>
  <si>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</si>
  <si>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</si>
  <si>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</si>
  <si>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</si>
  <si>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</si>
  <si>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</si>
  <si>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</si>
  <si>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</si>
  <si>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</si>
  <si>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</si>
  <si>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</si>
  <si>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</si>
  <si>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</si>
  <si>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</si>
  <si>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</si>
  <si>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</si>
  <si>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</si>
  <si>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</si>
  <si>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</si>
  <si>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</si>
  <si>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</si>
  <si>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</si>
  <si>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</si>
  <si>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</si>
  <si>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</si>
  <si>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</si>
  <si>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</si>
  <si>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</si>
  <si>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</si>
  <si>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</si>
  <si>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</si>
  <si>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</si>
  <si>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</si>
  <si>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</si>
  <si>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</si>
  <si>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</si>
  <si>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</si>
  <si>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</si>
  <si>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</si>
  <si>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</si>
  <si>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</si>
  <si>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</si>
  <si>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</si>
  <si>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</si>
  <si>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</si>
  <si>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</si>
  <si>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</si>
  <si>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</si>
  <si>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</si>
  <si>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</si>
  <si>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</si>
  <si>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</si>
  <si>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</si>
  <si>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</si>
  <si>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</si>
  <si>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</si>
  <si>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</si>
  <si>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</si>
  <si>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</si>
  <si>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</si>
  <si>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</si>
  <si>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</si>
  <si>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</si>
  <si>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</si>
  <si>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</si>
  <si>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</si>
  <si>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</si>
  <si>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</si>
  <si>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</si>
  <si>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</si>
  <si>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</si>
  <si>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</si>
  <si>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</si>
  <si>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</si>
  <si>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</si>
  <si>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</si>
  <si>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</si>
  <si>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</si>
  <si>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</si>
  <si>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</si>
  <si>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</si>
  <si>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</si>
  <si>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</si>
  <si>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</si>
  <si>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</si>
  <si>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</si>
  <si>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</si>
  <si>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</si>
  <si>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</si>
  <si>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</si>
  <si>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</si>
  <si>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</si>
  <si>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</si>
  <si>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</si>
  <si>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</si>
  <si>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</si>
  <si>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</si>
  <si>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</si>
  <si>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</si>
  <si>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</si>
  <si>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</si>
  <si>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</si>
  <si>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</si>
  <si>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</si>
  <si>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</si>
  <si>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</si>
  <si>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</si>
  <si>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</si>
  <si>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</si>
  <si>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</si>
  <si>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</si>
  <si>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</si>
  <si>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</si>
  <si>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</si>
  <si>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</si>
  <si>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</si>
  <si>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</si>
  <si>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</si>
  <si>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</si>
  <si>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</si>
  <si>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</si>
  <si>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</si>
  <si>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</si>
  <si>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</si>
  <si>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</si>
  <si>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</si>
  <si>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</si>
  <si>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</si>
  <si>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</si>
  <si>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</si>
  <si>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</si>
  <si>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</si>
  <si>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</si>
  <si>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</si>
  <si>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</si>
  <si>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</si>
  <si>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</si>
  <si>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</si>
  <si>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</si>
  <si>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</si>
  <si>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</si>
  <si>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</si>
  <si>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</si>
  <si>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</si>
  <si>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</si>
  <si>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</si>
  <si>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</si>
  <si>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</si>
  <si>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</si>
  <si>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</si>
  <si>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</si>
  <si>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</si>
  <si>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</si>
  <si>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</si>
  <si>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</si>
  <si>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</si>
  <si>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</si>
  <si>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</si>
  <si>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</si>
  <si>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</si>
  <si>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</si>
  <si>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</si>
  <si>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</si>
  <si>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</si>
  <si>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</si>
  <si>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</si>
  <si>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</si>
  <si>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</si>
  <si>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</si>
  <si>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</si>
  <si>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</si>
  <si>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</si>
  <si>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</si>
  <si>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</si>
  <si>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</si>
  <si>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</si>
  <si>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</si>
  <si>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</si>
  <si>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</si>
  <si>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</si>
  <si>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</si>
  <si>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</si>
  <si>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</si>
  <si>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</si>
  <si>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</si>
  <si>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</si>
  <si>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</si>
  <si>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</si>
  <si>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</si>
  <si>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</si>
  <si>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</si>
  <si>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</si>
  <si>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</si>
  <si>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</si>
  <si>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</si>
  <si>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</si>
  <si>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</si>
  <si>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</si>
  <si>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</si>
  <si>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</si>
  <si>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</si>
  <si>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</si>
  <si>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</si>
  <si>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</si>
  <si>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</si>
  <si>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</si>
  <si>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</si>
  <si>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</si>
  <si>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</si>
  <si>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</si>
  <si>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</si>
  <si>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</si>
  <si>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</si>
  <si>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</si>
  <si>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</si>
  <si>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</si>
  <si>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</si>
  <si>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</si>
  <si>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</si>
  <si>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</si>
  <si>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</si>
  <si>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</si>
  <si>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</si>
  <si>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</si>
  <si>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</si>
  <si>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</si>
  <si>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</si>
  <si>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</si>
  <si>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</si>
  <si>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</si>
  <si>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</si>
  <si>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</si>
  <si>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</si>
  <si>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</si>
  <si>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</si>
  <si>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</si>
  <si>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</si>
  <si>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</si>
  <si>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</si>
  <si>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</si>
  <si>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</si>
  <si>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</si>
  <si>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</si>
  <si>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</si>
  <si>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</si>
  <si>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</si>
  <si>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</si>
  <si>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</si>
  <si>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</si>
  <si>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</si>
  <si>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</si>
  <si>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</si>
  <si>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</si>
  <si>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</si>
  <si>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</si>
  <si>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</si>
  <si>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</si>
  <si>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</si>
  <si>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</si>
  <si>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</si>
  <si>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</si>
  <si>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</si>
  <si>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</si>
  <si>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</si>
  <si>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</si>
  <si>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</si>
  <si>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</si>
  <si>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</si>
  <si>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</si>
  <si>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</si>
  <si>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</si>
  <si>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</si>
  <si>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</si>
  <si>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</si>
  <si>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</si>
  <si>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</si>
  <si>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</si>
  <si>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</si>
  <si>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</si>
  <si>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</si>
  <si>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</si>
  <si>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</si>
  <si>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</si>
  <si>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</si>
  <si>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</si>
  <si>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</si>
  <si>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</si>
  <si>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</si>
  <si>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</si>
  <si>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</si>
  <si>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</si>
  <si>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</si>
  <si>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</si>
  <si>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</si>
  <si>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</si>
  <si>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</si>
  <si>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</si>
  <si>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</si>
  <si>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</si>
  <si>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</si>
  <si>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</si>
  <si>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</si>
  <si>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</si>
  <si>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</si>
  <si>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</si>
  <si>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</si>
  <si>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</si>
  <si>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</si>
  <si>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</si>
  <si>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</si>
  <si>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</si>
  <si>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</si>
  <si>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</si>
  <si>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</si>
  <si>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</si>
  <si>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</si>
  <si>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</si>
  <si>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</si>
  <si>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</si>
  <si>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</si>
  <si>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</si>
  <si>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</si>
  <si>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</si>
  <si>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</si>
  <si>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</si>
  <si>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</si>
  <si>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</si>
  <si>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</si>
  <si>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</si>
  <si>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</si>
  <si>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</si>
  <si>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</si>
  <si>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</si>
  <si>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</si>
  <si>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</si>
  <si>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</si>
  <si>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</si>
  <si>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</si>
  <si>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</si>
  <si>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</si>
  <si>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</si>
  <si>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</si>
  <si>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</si>
  <si>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</si>
  <si>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</si>
  <si>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</si>
  <si>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</si>
  <si>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</si>
  <si>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</si>
  <si>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</si>
  <si>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</si>
  <si>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</si>
  <si>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</si>
  <si>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</si>
  <si>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</si>
  <si>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</si>
  <si>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</si>
  <si>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</si>
  <si>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</si>
  <si>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</si>
  <si>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</si>
  <si>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</si>
  <si>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</si>
  <si>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</si>
  <si>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</si>
  <si>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</si>
  <si>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</si>
  <si>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</si>
  <si>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</si>
  <si>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</si>
  <si>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</si>
  <si>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</si>
  <si>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</si>
  <si>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</si>
  <si>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</si>
  <si>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</si>
  <si>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</si>
  <si>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</si>
  <si>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</si>
  <si>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</si>
  <si>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</si>
  <si>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</si>
  <si>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</si>
  <si>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</si>
  <si>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</si>
  <si>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</si>
  <si>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</si>
  <si>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</si>
  <si>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</si>
  <si>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</si>
  <si>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</si>
  <si>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</si>
  <si>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</si>
  <si>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</si>
  <si>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</si>
  <si>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</si>
  <si>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</si>
  <si>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</si>
  <si>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</si>
  <si>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</si>
  <si>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</si>
  <si>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</si>
  <si>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</si>
  <si>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</si>
  <si>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</si>
  <si>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</si>
  <si>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</si>
  <si>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</si>
  <si>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</si>
  <si>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</si>
  <si>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</si>
  <si>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</si>
  <si>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</si>
  <si>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</si>
  <si>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</si>
  <si>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</si>
  <si>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</si>
  <si>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</si>
  <si>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</si>
  <si>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</si>
  <si>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</si>
  <si>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</si>
  <si>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</si>
  <si>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</si>
  <si>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</si>
  <si>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</si>
  <si>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</si>
  <si>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</si>
  <si>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</si>
  <si>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</si>
  <si>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</si>
  <si>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</si>
  <si>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</si>
  <si>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</si>
  <si>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</si>
  <si>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</si>
  <si>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</si>
  <si>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</si>
  <si>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</si>
  <si>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</si>
  <si>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</si>
  <si>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</si>
  <si>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</si>
  <si>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</si>
  <si>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</si>
  <si>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</si>
  <si>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</si>
  <si>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</si>
  <si>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</si>
  <si>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</si>
  <si>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</si>
  <si>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</si>
  <si>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</si>
  <si>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</si>
  <si>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</si>
  <si>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</si>
  <si>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</si>
  <si>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</si>
  <si>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</si>
  <si>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</si>
  <si>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</si>
  <si>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</si>
  <si>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</si>
  <si>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</si>
  <si>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</si>
  <si>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</si>
  <si>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</si>
  <si>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</si>
  <si>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</si>
  <si>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</si>
  <si>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</si>
  <si>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</si>
  <si>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</si>
  <si>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</si>
  <si>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</si>
  <si>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</si>
  <si>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</si>
  <si>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</si>
  <si>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</si>
  <si>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</si>
  <si>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</si>
  <si>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</si>
  <si>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</si>
  <si>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</si>
  <si>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</si>
  <si>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</si>
  <si>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</si>
  <si>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</si>
  <si>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</si>
  <si>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</si>
  <si>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</si>
  <si>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</si>
  <si>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</si>
  <si>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</si>
  <si>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</si>
  <si>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</si>
  <si>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</si>
  <si>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</si>
  <si>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</si>
  <si>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</si>
  <si>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</si>
  <si>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</si>
  <si>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</si>
  <si>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</si>
  <si>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</si>
  <si>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</si>
  <si>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</si>
  <si>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</si>
  <si>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</si>
  <si>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</si>
  <si>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</si>
  <si>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</si>
  <si>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</si>
  <si>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</si>
  <si>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</si>
  <si>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</si>
  <si>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</si>
  <si>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</si>
  <si>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</si>
  <si>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</si>
  <si>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</si>
  <si>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</si>
  <si>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</si>
  <si>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</si>
  <si>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</si>
  <si>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</si>
  <si>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</si>
  <si>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</si>
  <si>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</si>
  <si>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</si>
  <si>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</si>
  <si>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</si>
  <si>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</si>
  <si>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</si>
  <si>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</si>
  <si>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</si>
  <si>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</si>
  <si>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</si>
  <si>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</si>
  <si>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</si>
  <si>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</si>
  <si>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</si>
  <si>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</si>
  <si>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</si>
  <si>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</si>
  <si>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</si>
  <si>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</si>
  <si>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</si>
  <si>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</si>
  <si>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</si>
  <si>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</si>
  <si>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</si>
  <si>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</si>
  <si>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</si>
  <si>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</si>
  <si>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</si>
  <si>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</si>
  <si>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</si>
  <si>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</si>
  <si>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</si>
  <si>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</si>
  <si>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</si>
  <si>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</si>
  <si>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</si>
  <si>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</si>
  <si>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</si>
  <si>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</si>
  <si>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</si>
  <si>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</si>
  <si>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</si>
  <si>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</si>
  <si>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</si>
  <si>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</si>
  <si>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</si>
  <si>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</si>
  <si>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</si>
  <si>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</si>
  <si>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</si>
  <si>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</si>
  <si>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</si>
  <si>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</si>
  <si>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</si>
  <si>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</si>
  <si>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</si>
  <si>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</si>
  <si>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</si>
  <si>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</si>
  <si>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</si>
  <si>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</si>
  <si>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</si>
  <si>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</si>
  <si>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</si>
  <si>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</si>
  <si>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</si>
  <si>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</si>
  <si>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</si>
  <si>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</si>
  <si>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</si>
  <si>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</si>
  <si>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</si>
  <si>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</si>
  <si>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</si>
  <si>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</si>
  <si>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</si>
  <si>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</si>
  <si>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</si>
  <si>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</si>
  <si>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</si>
  <si>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</si>
  <si>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</si>
  <si>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</si>
  <si>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</si>
  <si>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</si>
  <si>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</si>
  <si>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</si>
  <si>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</si>
  <si>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</si>
  <si>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</si>
  <si>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</si>
  <si>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</si>
  <si>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</si>
  <si>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</si>
  <si>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</si>
  <si>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</si>
  <si>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</si>
  <si>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</si>
  <si>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</si>
  <si>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</si>
  <si>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</si>
  <si>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</si>
  <si>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</si>
  <si>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</si>
  <si>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</si>
  <si>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</si>
  <si>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</si>
  <si>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</si>
  <si>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</si>
  <si>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</si>
  <si>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</si>
  <si>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</si>
  <si>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</si>
  <si>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</si>
  <si>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</si>
  <si>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</si>
  <si>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</si>
  <si>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</si>
  <si>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</si>
  <si>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</si>
  <si>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</si>
  <si>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</si>
  <si>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</si>
  <si>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</si>
  <si>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</si>
  <si>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</si>
  <si>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</si>
  <si>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</si>
  <si>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</si>
  <si>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</si>
  <si>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</si>
  <si>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</si>
  <si>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</si>
  <si>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</si>
  <si>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</si>
  <si>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</si>
  <si>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</si>
  <si>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</si>
  <si>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</si>
  <si>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</si>
  <si>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</si>
  <si>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</si>
  <si>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</si>
  <si>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</si>
  <si>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</si>
  <si>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</si>
  <si>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</si>
  <si>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</si>
  <si>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</si>
  <si>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</si>
  <si>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</si>
  <si>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</si>
  <si>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</si>
  <si>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</si>
  <si>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</si>
  <si>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</si>
  <si>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</si>
  <si>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</si>
  <si>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</si>
  <si>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</si>
  <si>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</si>
  <si>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</si>
  <si>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</si>
  <si>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</si>
  <si>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</si>
  <si>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</si>
  <si>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</si>
  <si>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</si>
  <si>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</si>
  <si>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</si>
  <si>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</si>
  <si>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</si>
  <si>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</si>
  <si>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</si>
  <si>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</si>
  <si>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</si>
  <si>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</si>
  <si>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</si>
  <si>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</si>
  <si>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</si>
  <si>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</si>
  <si>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</si>
  <si>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</si>
  <si>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</si>
  <si>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</si>
  <si>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</si>
  <si>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</si>
  <si>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</si>
  <si>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</si>
  <si>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</si>
  <si>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</si>
  <si>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</si>
  <si>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</si>
  <si>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</si>
  <si>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</si>
  <si>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</si>
  <si>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</si>
  <si>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</si>
  <si>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</si>
  <si>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</si>
  <si>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</si>
  <si>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</si>
  <si>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</si>
  <si>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</si>
  <si>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</si>
  <si>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</si>
  <si>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</si>
  <si>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</si>
  <si>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</si>
  <si>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</si>
  <si>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</si>
  <si>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</si>
  <si>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</si>
  <si>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</si>
  <si>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</si>
  <si>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</si>
  <si>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</si>
  <si>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</si>
  <si>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</si>
  <si>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</si>
  <si>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</si>
  <si>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</si>
  <si>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</si>
  <si>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</si>
  <si>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</si>
  <si>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</si>
  <si>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</si>
  <si>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</si>
  <si>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</si>
  <si>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</si>
  <si>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</si>
  <si>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</si>
  <si>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</si>
  <si>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</si>
  <si>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</si>
  <si>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</si>
  <si>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</si>
  <si>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</si>
  <si>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</si>
  <si>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</si>
  <si>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</si>
  <si>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</si>
  <si>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</si>
  <si>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</si>
  <si>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</si>
  <si>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</si>
  <si>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</si>
  <si>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</si>
  <si>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</si>
  <si>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</si>
  <si>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</si>
  <si>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</si>
  <si>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</si>
  <si>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</si>
  <si>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</si>
  <si>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</si>
  <si>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</si>
  <si>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</si>
  <si>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</si>
  <si>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</si>
  <si>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</si>
  <si>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</si>
  <si>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</si>
  <si>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</si>
  <si>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</si>
  <si>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</si>
  <si>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</si>
  <si>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</si>
  <si>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</si>
  <si>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</si>
  <si>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</si>
  <si>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</si>
  <si>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</si>
  <si>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</si>
  <si>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</si>
  <si>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</si>
  <si>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</si>
  <si>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</si>
  <si>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</si>
  <si>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</si>
  <si>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</si>
  <si>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</si>
  <si>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</si>
  <si>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</si>
  <si>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</si>
  <si>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</si>
  <si>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</si>
  <si>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</si>
  <si>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</si>
  <si>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</si>
  <si>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</si>
  <si>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</si>
  <si>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</si>
  <si>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</si>
  <si>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</si>
  <si>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</si>
  <si>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</si>
  <si>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</si>
  <si>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</si>
  <si>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</si>
  <si>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</si>
  <si>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</si>
  <si>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</si>
  <si>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</si>
  <si>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</si>
  <si>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</si>
  <si>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</si>
  <si>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</si>
  <si>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</si>
  <si>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</si>
  <si>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</si>
  <si>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</si>
  <si>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</si>
  <si>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</si>
  <si>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</si>
  <si>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</si>
  <si>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</si>
  <si>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</si>
  <si>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</si>
  <si>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</si>
  <si>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</si>
  <si>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</si>
  <si>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</si>
  <si>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</si>
  <si>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</si>
  <si>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</si>
  <si>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</si>
  <si>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</si>
  <si>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</si>
  <si>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</si>
  <si>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</si>
  <si>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</si>
  <si>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</si>
  <si>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</si>
  <si>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</si>
  <si>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</si>
  <si>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</si>
  <si>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</si>
  <si>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</si>
  <si>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</si>
  <si>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</si>
  <si>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</si>
  <si>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</si>
  <si>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</si>
  <si>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</si>
  <si>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</si>
  <si>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</si>
  <si>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</si>
  <si>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</si>
  <si>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</si>
  <si>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</si>
  <si>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</si>
  <si>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</si>
  <si>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</si>
  <si>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</si>
  <si>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</si>
  <si>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</si>
  <si>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</si>
  <si>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</si>
  <si>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</si>
  <si>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</si>
  <si>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</si>
  <si>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</si>
  <si>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</si>
  <si>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</si>
  <si>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</si>
  <si>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</si>
  <si>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</si>
  <si>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</si>
  <si>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</si>
  <si>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</si>
  <si>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</si>
  <si>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</si>
  <si>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</si>
  <si>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</si>
  <si>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</si>
  <si>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</si>
  <si>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</si>
  <si>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</si>
  <si>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</si>
  <si>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</si>
  <si>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</si>
  <si>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</si>
  <si>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</si>
  <si>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</si>
  <si>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</si>
  <si>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</si>
  <si>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</si>
  <si>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</si>
  <si>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</si>
  <si>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</si>
  <si>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</si>
  <si>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</si>
  <si>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</si>
  <si>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</si>
  <si>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</si>
  <si>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</si>
  <si>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</si>
  <si>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</si>
  <si>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</si>
  <si>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</si>
  <si>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</si>
  <si>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</si>
  <si>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</si>
  <si>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</si>
  <si>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</si>
  <si>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</si>
  <si>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</si>
  <si>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</si>
  <si>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</si>
  <si>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</si>
  <si>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</si>
  <si>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</si>
  <si>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</si>
  <si>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</si>
  <si>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</si>
  <si>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</si>
  <si>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</si>
  <si>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</si>
  <si>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</si>
  <si>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</si>
  <si>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</si>
  <si>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</si>
  <si>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</si>
  <si>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</si>
  <si>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</si>
  <si>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</si>
  <si>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</si>
  <si>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</si>
  <si>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</si>
  <si>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</si>
  <si>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</si>
  <si>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</si>
  <si>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</si>
  <si>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</si>
  <si>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</si>
  <si>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</si>
  <si>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</si>
  <si>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</si>
  <si>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</si>
  <si>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</si>
  <si>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</si>
  <si>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</si>
  <si>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</si>
  <si>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</si>
  <si>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</si>
  <si>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</si>
  <si>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</si>
  <si>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</si>
  <si>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</si>
  <si>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</si>
  <si>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</si>
  <si>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</si>
  <si>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</si>
  <si>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</si>
  <si>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</si>
  <si>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</si>
  <si>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</si>
  <si>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</si>
  <si>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</si>
  <si>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</si>
  <si>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</si>
  <si>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</si>
  <si>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</si>
  <si>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</si>
  <si>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</si>
  <si>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</si>
  <si>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</si>
  <si>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</si>
  <si>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</si>
  <si>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</si>
  <si>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</si>
  <si>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</si>
  <si>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</si>
  <si>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</si>
  <si>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</si>
  <si>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</si>
  <si>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</si>
  <si>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</si>
  <si>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</si>
  <si>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</si>
  <si>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</si>
  <si>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</si>
  <si>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</si>
  <si>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</si>
  <si>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</si>
  <si>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</si>
  <si>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</si>
  <si>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</si>
  <si>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</si>
  <si>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</si>
  <si>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</si>
  <si>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</si>
  <si>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</si>
  <si>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</si>
  <si>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</si>
  <si>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</si>
  <si>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</si>
  <si>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</si>
  <si>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</si>
  <si>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</si>
  <si>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</si>
  <si>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</si>
  <si>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</si>
  <si>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</si>
  <si>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</si>
  <si>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</si>
  <si>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</si>
  <si>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</si>
  <si>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</si>
  <si>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</si>
  <si>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</si>
  <si>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</si>
  <si>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</si>
  <si>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</si>
  <si>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</si>
  <si>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</si>
  <si>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</si>
  <si>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</si>
  <si>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</si>
  <si>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</si>
  <si>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</si>
  <si>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</si>
  <si>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</si>
  <si>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</si>
  <si>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</si>
  <si>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</si>
  <si>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</si>
  <si>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</si>
  <si>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</si>
  <si>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</si>
  <si>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</si>
  <si>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</si>
  <si>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</si>
  <si>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</si>
  <si>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</si>
  <si>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</si>
  <si>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</si>
  <si>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</si>
  <si>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</si>
  <si>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</si>
  <si>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</si>
  <si>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</si>
  <si>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</si>
  <si>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</si>
  <si>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</si>
  <si>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</si>
  <si>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</si>
  <si>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</si>
  <si>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</si>
  <si>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</si>
  <si>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</si>
  <si>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</si>
  <si>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</si>
  <si>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</si>
  <si>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</si>
  <si>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</si>
  <si>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</si>
  <si>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</si>
  <si>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</si>
  <si>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</si>
  <si>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</si>
  <si>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</si>
  <si>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</si>
  <si>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</si>
  <si>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</si>
  <si>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</si>
  <si>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</si>
  <si>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</si>
  <si>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</si>
  <si>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</si>
  <si>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</si>
  <si>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</si>
  <si>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</si>
  <si>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</si>
  <si>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</si>
  <si>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</si>
  <si>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</si>
  <si>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</si>
  <si>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</si>
  <si>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</si>
  <si>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</si>
  <si>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</si>
  <si>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</si>
  <si>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</si>
  <si>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</si>
  <si>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</si>
  <si>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</si>
  <si>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</si>
  <si>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</si>
  <si>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</si>
  <si>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</si>
  <si>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</si>
  <si>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</si>
  <si>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</si>
  <si>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</si>
  <si>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</si>
  <si>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</si>
  <si>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</si>
  <si>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</si>
  <si>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</si>
  <si>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</si>
  <si>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</si>
  <si>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</si>
  <si>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</si>
  <si>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</si>
  <si>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</si>
  <si>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</si>
  <si>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</si>
  <si>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</si>
  <si>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</si>
  <si>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</si>
  <si>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</si>
  <si>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</si>
  <si>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</si>
  <si>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</si>
  <si>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</si>
  <si>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</si>
  <si>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</si>
  <si>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</si>
  <si>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</si>
  <si>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</si>
  <si>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</si>
  <si>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</si>
  <si>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</si>
  <si>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</si>
  <si>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</si>
  <si>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</si>
  <si>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</si>
  <si>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</si>
  <si>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</si>
  <si>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</si>
  <si>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</si>
  <si>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</si>
  <si>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</si>
  <si>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</si>
  <si>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</si>
  <si>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</si>
  <si>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</si>
  <si>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</si>
  <si>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</si>
  <si>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</si>
  <si>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</si>
  <si>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</si>
  <si>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</si>
  <si>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</si>
  <si>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</si>
  <si>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</si>
  <si>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</si>
  <si>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</si>
  <si>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</si>
  <si>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</si>
  <si>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</si>
  <si>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</si>
  <si>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</si>
  <si>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</si>
  <si>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</si>
  <si>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</si>
  <si>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</si>
  <si>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</si>
  <si>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</si>
  <si>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</si>
  <si>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</si>
  <si>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</si>
  <si>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</si>
  <si>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</si>
  <si>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</si>
  <si>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</si>
  <si>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</si>
  <si>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</si>
  <si>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</si>
  <si>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</si>
  <si>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</si>
  <si>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</si>
  <si>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</si>
  <si>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</si>
  <si>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</si>
  <si>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</si>
  <si>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</si>
  <si>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</si>
  <si>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</si>
  <si>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</si>
  <si>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</si>
  <si>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</si>
  <si>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</si>
  <si>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</si>
  <si>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</si>
  <si>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</si>
  <si>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</si>
  <si>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</si>
  <si>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</si>
  <si>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</si>
  <si>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</si>
  <si>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</si>
  <si>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</si>
  <si>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</si>
  <si>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</si>
  <si>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</si>
  <si>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</si>
  <si>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</si>
  <si>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</si>
  <si>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</si>
  <si>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</si>
  <si>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</si>
  <si>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</si>
  <si>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</si>
  <si>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</si>
  <si>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</si>
  <si>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</si>
  <si>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</si>
  <si>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</si>
  <si>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</si>
  <si>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</si>
  <si>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</si>
  <si>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</si>
  <si>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</si>
  <si>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</si>
  <si>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</si>
  <si>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</si>
  <si>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</si>
  <si>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</si>
  <si>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</si>
  <si>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</si>
  <si>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</si>
  <si>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</si>
  <si>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</si>
  <si>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</si>
  <si>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</si>
  <si>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</si>
  <si>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</si>
  <si>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</si>
  <si>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</si>
  <si>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</si>
  <si>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</si>
  <si>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</si>
  <si>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</si>
  <si>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</si>
  <si>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</si>
  <si>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</si>
  <si>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</si>
  <si>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</si>
  <si>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</si>
  <si>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</si>
  <si>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</si>
  <si>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</si>
  <si>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</si>
  <si>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</si>
  <si>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</si>
  <si>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</si>
  <si>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</si>
  <si>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</si>
  <si>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</si>
  <si>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</si>
  <si>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</si>
  <si>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</si>
  <si>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</si>
  <si>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</si>
  <si>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</si>
  <si>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</si>
  <si>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</si>
  <si>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</si>
  <si>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</si>
  <si>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</si>
  <si>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</si>
  <si>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</si>
  <si>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</si>
  <si>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</si>
  <si>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</si>
  <si>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</si>
  <si>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</si>
  <si>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</si>
  <si>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</si>
  <si>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</si>
  <si>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</si>
  <si>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</si>
  <si>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</si>
  <si>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</si>
  <si>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</si>
  <si>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</si>
  <si>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</si>
  <si>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</si>
  <si>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</si>
  <si>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</si>
  <si>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</si>
  <si>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</si>
  <si>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</si>
  <si>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</si>
  <si>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</si>
  <si>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</si>
  <si>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</si>
  <si>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</si>
  <si>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</si>
  <si>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</si>
  <si>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</si>
  <si>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</si>
  <si>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</si>
  <si>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</si>
  <si>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</si>
  <si>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</si>
  <si>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</si>
  <si>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</si>
  <si>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</si>
  <si>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</si>
  <si>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</si>
  <si>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</si>
  <si>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</si>
  <si>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</si>
  <si>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</si>
  <si>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</si>
  <si>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</si>
  <si>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</si>
  <si>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</si>
  <si>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</si>
  <si>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</si>
  <si>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</si>
  <si>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</si>
  <si>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</si>
  <si>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</si>
  <si>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</si>
  <si>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</si>
  <si>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</si>
  <si>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</si>
  <si>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</si>
  <si>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</si>
  <si>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</si>
  <si>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</si>
  <si>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</si>
  <si>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</si>
  <si>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</si>
  <si>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</si>
  <si>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</si>
  <si>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</si>
  <si>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</si>
  <si>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</si>
  <si>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</si>
  <si>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</si>
  <si>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</si>
  <si>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</si>
  <si>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</si>
  <si>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</si>
  <si>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</si>
  <si>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</si>
  <si>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</si>
  <si>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</si>
  <si>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</si>
  <si>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</si>
  <si>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</si>
  <si>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</si>
  <si>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</si>
  <si>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</si>
  <si>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</si>
  <si>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</si>
  <si>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</si>
  <si>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</si>
  <si>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</si>
  <si>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</si>
  <si>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</si>
  <si>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</si>
  <si>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</si>
  <si>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</si>
  <si>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</si>
  <si>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</si>
  <si>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</si>
  <si>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</si>
  <si>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</si>
  <si>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</si>
  <si>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</si>
  <si>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</si>
  <si>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</si>
  <si>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</si>
  <si>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</si>
  <si>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</si>
  <si>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</si>
  <si>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</si>
  <si>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</si>
  <si>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</si>
  <si>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</si>
  <si>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</si>
  <si>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</si>
  <si>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</si>
  <si>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</si>
  <si>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</si>
  <si>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</si>
  <si>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</si>
  <si>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</si>
  <si>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</si>
  <si>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</si>
  <si>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</si>
  <si>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</si>
  <si>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</si>
  <si>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</si>
  <si>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</si>
  <si>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</si>
  <si>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</si>
  <si>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</si>
  <si>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</si>
  <si>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</si>
  <si>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</si>
  <si>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</si>
  <si>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</si>
  <si>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</si>
  <si>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</si>
  <si>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</si>
  <si>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</si>
  <si>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</si>
  <si>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</si>
  <si>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</si>
  <si>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</si>
  <si>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</si>
  <si>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</si>
  <si>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</si>
  <si>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</si>
  <si>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</si>
  <si>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</si>
  <si>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</si>
  <si>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</si>
  <si>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</si>
  <si>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</si>
  <si>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</si>
  <si>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</si>
  <si>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</si>
  <si>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</si>
  <si>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</si>
  <si>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</si>
  <si>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</si>
  <si>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</si>
  <si>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</si>
  <si>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</si>
  <si>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</si>
  <si>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</si>
  <si>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</si>
  <si>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</si>
  <si>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</si>
  <si>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</si>
  <si>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</si>
  <si>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</si>
  <si>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</si>
  <si>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</si>
  <si>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</si>
  <si>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</si>
  <si>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</si>
  <si>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</si>
  <si>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</si>
  <si>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</si>
  <si>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</si>
  <si>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</si>
  <si>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</si>
  <si>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</si>
  <si>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</si>
  <si>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</si>
  <si>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</si>
  <si>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</si>
  <si>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</si>
  <si>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</si>
  <si>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</si>
  <si>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</si>
  <si>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</si>
  <si>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</si>
  <si>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</si>
  <si>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</si>
  <si>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</si>
  <si>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</si>
  <si>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</si>
  <si>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</si>
  <si>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</si>
  <si>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</si>
  <si>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</si>
  <si>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</si>
  <si>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</si>
  <si>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</si>
  <si>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</si>
  <si>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</si>
  <si>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</si>
  <si>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</si>
  <si>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</si>
  <si>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</si>
  <si>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</si>
  <si>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</si>
  <si>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</si>
  <si>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</si>
  <si>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</si>
  <si>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</si>
  <si>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</si>
  <si>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</si>
  <si>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</si>
  <si>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</si>
  <si>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</si>
  <si>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</si>
  <si>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</si>
  <si>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</si>
  <si>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</si>
  <si>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</si>
  <si>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</si>
  <si>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</si>
  <si>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</si>
  <si>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</si>
  <si>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</si>
  <si>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</si>
  <si>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</si>
  <si>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</si>
  <si>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</si>
  <si>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</si>
  <si>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</si>
  <si>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</si>
  <si>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</si>
  <si>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</si>
  <si>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</si>
  <si>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</si>
  <si>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</si>
  <si>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</si>
  <si>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</si>
  <si>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</si>
  <si>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</si>
  <si>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</si>
  <si>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</si>
  <si>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</si>
  <si>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</si>
  <si>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</si>
  <si>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</si>
  <si>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</si>
  <si>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</si>
  <si>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</si>
  <si>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</si>
  <si>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</si>
  <si>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</si>
  <si>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</si>
  <si>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</si>
  <si>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</si>
  <si>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</si>
  <si>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</si>
  <si>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</si>
  <si>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</si>
  <si>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</si>
  <si>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</si>
  <si>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</si>
  <si>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</si>
  <si>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</si>
  <si>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</si>
  <si>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</si>
  <si>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</si>
  <si>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</si>
  <si>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</si>
  <si>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</si>
  <si>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</si>
  <si>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</si>
  <si>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</si>
  <si>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</si>
  <si>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</si>
  <si>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</si>
  <si>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</si>
  <si>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</si>
  <si>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</si>
  <si>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</si>
  <si>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</si>
  <si>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</si>
  <si>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</si>
  <si>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</si>
  <si>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</si>
  <si>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</si>
  <si>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</si>
  <si>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</si>
  <si>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</si>
  <si>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</si>
  <si>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</si>
  <si>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</si>
  <si>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</si>
  <si>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</si>
  <si>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</si>
  <si>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</si>
  <si>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</si>
  <si>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</si>
  <si>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</si>
  <si>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</si>
  <si>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</si>
  <si>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</si>
  <si>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</si>
  <si>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</si>
  <si>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</si>
  <si>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</si>
  <si>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</si>
  <si>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</si>
  <si>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</si>
  <si>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</si>
  <si>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</si>
  <si>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</si>
  <si>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</si>
  <si>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</si>
  <si>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</si>
  <si>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</si>
  <si>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</si>
  <si>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</si>
  <si>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</si>
  <si>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</si>
  <si>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</si>
  <si>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</si>
  <si>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</si>
  <si>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</si>
  <si>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</si>
  <si>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</si>
  <si>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</si>
  <si>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</si>
  <si>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</si>
  <si>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</si>
  <si>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</si>
  <si>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</si>
  <si>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</si>
  <si>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</si>
  <si>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</si>
  <si>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</si>
  <si>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</si>
  <si>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</si>
  <si>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</si>
  <si>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</si>
  <si>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</si>
  <si>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</si>
  <si>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</si>
  <si>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</si>
  <si>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</si>
  <si>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</si>
  <si>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</si>
  <si>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</si>
  <si>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</si>
  <si>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</si>
  <si>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</si>
  <si>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</si>
  <si>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</si>
  <si>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</si>
  <si>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</si>
  <si>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</si>
  <si>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</si>
  <si>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</si>
  <si>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</si>
  <si>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</si>
  <si>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</si>
  <si>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</si>
  <si>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</si>
  <si>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</si>
  <si>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</si>
  <si>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</si>
  <si>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</si>
  <si>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</si>
  <si>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</si>
  <si>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</si>
  <si>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</si>
  <si>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</si>
  <si>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</si>
  <si>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</si>
  <si>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</si>
  <si>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</si>
  <si>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</si>
  <si>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</si>
  <si>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</si>
  <si>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</si>
  <si>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</si>
  <si>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</si>
  <si>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</si>
  <si>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</si>
  <si>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</si>
  <si>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</si>
  <si>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</si>
  <si>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</si>
  <si>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</si>
  <si>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</si>
  <si>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</si>
  <si>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</si>
  <si>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</si>
  <si>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</si>
  <si>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</si>
  <si>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</si>
  <si>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</si>
  <si>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</si>
  <si>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</si>
  <si>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</si>
  <si>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</si>
  <si>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</si>
  <si>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</si>
  <si>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</si>
  <si>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</si>
  <si>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</si>
  <si>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</si>
  <si>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</si>
  <si>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</si>
  <si>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</si>
  <si>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</si>
  <si>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</si>
  <si>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</si>
  <si>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</si>
  <si>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</si>
  <si>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</si>
  <si>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</si>
  <si>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</si>
  <si>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</si>
  <si>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</si>
  <si>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</si>
  <si>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</si>
  <si>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</si>
  <si>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</si>
  <si>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</si>
  <si>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</si>
  <si>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</si>
  <si>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</si>
  <si>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</si>
  <si>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</si>
  <si>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</si>
  <si>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</si>
  <si>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</si>
  <si>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</si>
  <si>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</si>
  <si>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</si>
  <si>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</si>
  <si>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</si>
  <si>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</si>
  <si>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</si>
  <si>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</si>
  <si>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</si>
  <si>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</si>
  <si>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</si>
  <si>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</si>
  <si>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</si>
  <si>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</si>
  <si>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</si>
  <si>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</si>
  <si>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</si>
  <si>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</si>
  <si>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</si>
  <si>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</si>
  <si>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</si>
  <si>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</si>
  <si>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</si>
  <si>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</si>
  <si>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</si>
  <si>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</si>
  <si>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</si>
  <si>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</si>
  <si>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</si>
  <si>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</si>
  <si>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Mack &amp; Associates, P.C.</t>
  </si>
  <si>
    <t>Tawnya Mack, CPA</t>
  </si>
  <si>
    <t>116 E. Washington St., Suite One</t>
  </si>
  <si>
    <t>Morris</t>
  </si>
  <si>
    <t>IL</t>
  </si>
  <si>
    <t>815-942-3306</t>
  </si>
  <si>
    <t>tmack@mackcpas.com</t>
  </si>
  <si>
    <t>See PDF in Opinion Page with signature</t>
  </si>
  <si>
    <t>Braceville</t>
  </si>
  <si>
    <t>d</t>
  </si>
  <si>
    <t>2017 Working Cash Bonds</t>
  </si>
  <si>
    <t>2020 Working Cash Bonds</t>
  </si>
  <si>
    <t>Grundy</t>
  </si>
  <si>
    <t>209 Mitchell Street</t>
  </si>
  <si>
    <t>Josh DeLong</t>
  </si>
  <si>
    <t>Gardner Grade School #72C</t>
  </si>
  <si>
    <t>Gardner-South Wilmington High School District 73</t>
  </si>
  <si>
    <t>Grundy County Special Education</t>
  </si>
  <si>
    <t>(815) 237-8040</t>
  </si>
  <si>
    <t>(815) 237-8044</t>
  </si>
  <si>
    <t>Page 10, Acct #1790 - Educational - PE Uniform Sales</t>
  </si>
  <si>
    <t>Page 11, Acct. #1999 - Educational - Miscellaneous receipts and reimb.</t>
  </si>
  <si>
    <t>Page 11, Acct. #3199 - Educational - Special Ed Medicare contribution</t>
  </si>
  <si>
    <t>Page 18, Acct. #5400 - Bond &amp; Interest - Bond paying agent fee</t>
  </si>
  <si>
    <t>Page 10, Acct #1690 - Educational - Miscellaneous reimbursements and receipts</t>
  </si>
  <si>
    <t>sgarret@gswhs73.org</t>
  </si>
  <si>
    <t>jdelong@gswhs73.org</t>
  </si>
  <si>
    <t>815-942-9430</t>
  </si>
  <si>
    <t>066-005100</t>
  </si>
  <si>
    <t xml:space="preserve"> Braceville SD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</si>
</sst>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24032075002</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2064</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2081</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2065</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60450</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2060</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2079</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2077</v>
      </c>
      <c r="B23" s="2091"/>
      <c r="C23" s="2091"/>
      <c r="D23" s="2091"/>
      <c r="E23" s="2091"/>
      <c r="F23" s="2091"/>
      <c r="G23" s="2091"/>
      <c r="H23" s="2092"/>
      <c r="T23" s="2073" t="s">
        <v>2080</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60407</v>
      </c>
      <c r="B25" s="2038"/>
      <c r="C25" s="2038"/>
      <c r="D25" s="2038"/>
      <c r="E25" s="2038"/>
      <c r="F25" s="2038"/>
      <c r="G25" s="2038"/>
      <c r="H25" s="2039"/>
      <c r="I25" s="110"/>
      <c r="J25" s="2062"/>
      <c r="K25" s="2062"/>
      <c r="L25" s="2062"/>
      <c r="M25" s="2062"/>
      <c r="N25" s="2062"/>
      <c r="O25" s="2062"/>
      <c r="P25" s="2062"/>
      <c r="Q25" s="2062"/>
      <c r="R25" s="2062"/>
      <c r="S25" s="2063"/>
      <c r="T25" s="2124" t="s">
        <v>2058</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2066</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2078</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2070</v>
      </c>
      <c r="B42" s="2057"/>
      <c r="C42" s="2058"/>
      <c r="D42" s="2056" t="s">
        <v>2071</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C350" sqref="C35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3"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2059</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18763801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1.61E-2</v>
      </c>
      <c r="E10" s="333" t="s">
        <v>998</v>
      </c>
      <c r="F10" s="332">
        <v>2.5000000000000001E-3</v>
      </c>
      <c r="G10" s="333" t="s">
        <v>998</v>
      </c>
      <c r="H10" s="332">
        <v>1.1999999999999999E-3</v>
      </c>
      <c r="I10" s="333" t="s">
        <v>999</v>
      </c>
      <c r="J10" s="1424">
        <f>ROUND(D10+F10+H10,5)</f>
        <v>1.9800000000000002E-2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1509573</v>
      </c>
      <c r="E16" s="1547"/>
      <c r="F16" s="1546">
        <f>SUM('Acct Summary 7-8'!C17,'Acct Summary 7-8'!D17,'Acct Summary 7-8'!F17)</f>
        <v>1493858</v>
      </c>
      <c r="G16" s="1547"/>
      <c r="H16" s="1546">
        <f>SUM(D16-F16)</f>
        <v>15715</v>
      </c>
      <c r="I16" s="1548"/>
      <c r="J16" s="1546">
        <f>SUM('Acct Summary 7-8'!C81,'Acct Summary 7-8'!D81,'Acct Summary 7-8'!F81,'Acct Summary 7-8'!I81)</f>
        <v>880527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1294702.2690000001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568000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0" zoomScale="110" zoomScaleNormal="110" workbookViewId="0">
      <selection activeCell="C350" sqref="C35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Braceville SD 75</v>
      </c>
      <c r="E7" s="368"/>
      <c r="G7" s="247"/>
      <c r="H7" s="364"/>
      <c r="I7" s="364"/>
      <c r="J7" s="364"/>
      <c r="K7" s="364"/>
      <c r="L7" s="307"/>
      <c r="M7" s="307"/>
      <c r="N7" s="307"/>
      <c r="O7" s="307"/>
      <c r="P7" s="307"/>
    </row>
    <row r="8" spans="1:18" ht="12.75" x14ac:dyDescent="0.2">
      <c r="A8" s="307"/>
      <c r="B8" s="307"/>
      <c r="C8" s="366" t="s">
        <v>1115</v>
      </c>
      <c r="D8" s="369">
        <f>COVER!A13</f>
        <v>24032075002</v>
      </c>
      <c r="E8" s="370"/>
      <c r="G8" s="307"/>
      <c r="H8" s="307"/>
      <c r="I8" s="307"/>
      <c r="J8" s="307"/>
      <c r="K8" s="307"/>
      <c r="L8" s="307"/>
      <c r="M8" s="307"/>
      <c r="N8" s="307"/>
      <c r="O8" s="307"/>
      <c r="P8" s="307"/>
    </row>
    <row r="9" spans="1:18" ht="12.75" x14ac:dyDescent="0.2">
      <c r="A9" s="307"/>
      <c r="B9" s="307"/>
      <c r="C9" s="366" t="s">
        <v>708</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880527</v>
      </c>
      <c r="I12" s="380"/>
      <c r="J12" s="380"/>
      <c r="K12" s="1559">
        <f>TRUNC((H12/H13*100000),5)/100000</f>
        <v>0.58329540869999996</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1509573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1493858</v>
      </c>
      <c r="I17" s="380"/>
      <c r="J17" s="389"/>
      <c r="K17" s="1559">
        <f>TRUNC((H17/H18*100000),5)/100000</f>
        <v>0.98958977140000004</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1509573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880527</v>
      </c>
      <c r="I24" s="394"/>
      <c r="J24" s="394"/>
      <c r="K24" s="1555">
        <f>TRUNC(((H24/H25*100000)/100000),2)</f>
        <v>212.19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4149.60556</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315794.77082999999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568000</v>
      </c>
      <c r="I32" s="392"/>
      <c r="J32" s="392"/>
      <c r="K32" s="1555">
        <f>TRUNC(100-((((H32/H33*100))*100)/100),2)</f>
        <v>56.12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1294702.2690000001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4" activePane="bottomLeft" state="frozen"/>
      <selection activeCell="C350" sqref="C350"/>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269798</v>
      </c>
      <c r="D4" s="1573">
        <v>65580</v>
      </c>
      <c r="E4" s="1573">
        <v>2596</v>
      </c>
      <c r="F4" s="1573">
        <v>31304</v>
      </c>
      <c r="G4" s="1573">
        <v>56336</v>
      </c>
      <c r="H4" s="1573">
        <v>100</v>
      </c>
      <c r="I4" s="1573">
        <v>513845</v>
      </c>
      <c r="J4" s="1574">
        <v>1052</v>
      </c>
      <c r="K4" s="1573">
        <v>68955</v>
      </c>
      <c r="L4" s="1573">
        <v>9988</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269798</v>
      </c>
      <c r="D13" s="1587">
        <f t="shared" ref="D13:L13" si="0">SUM(D4:D12)</f>
        <v>65580</v>
      </c>
      <c r="E13" s="1587">
        <f t="shared" si="0"/>
        <v>2596</v>
      </c>
      <c r="F13" s="1587">
        <f t="shared" si="0"/>
        <v>31304</v>
      </c>
      <c r="G13" s="1587">
        <f t="shared" si="0"/>
        <v>56336</v>
      </c>
      <c r="H13" s="1587">
        <f t="shared" si="0"/>
        <v>100</v>
      </c>
      <c r="I13" s="1587">
        <f t="shared" si="0"/>
        <v>513845</v>
      </c>
      <c r="J13" s="1587">
        <f t="shared" si="0"/>
        <v>1052</v>
      </c>
      <c r="K13" s="1587">
        <f t="shared" si="0"/>
        <v>68955</v>
      </c>
      <c r="L13" s="1587">
        <f t="shared" si="0"/>
        <v>9988</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16260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356417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20606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2596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565404</v>
      </c>
    </row>
    <row r="23" spans="1:14" ht="13.5" customHeight="1" thickBot="1" x14ac:dyDescent="0.25">
      <c r="A23" s="1426" t="s">
        <v>638</v>
      </c>
      <c r="B23" s="1429"/>
      <c r="C23" s="1575"/>
      <c r="D23" s="1575"/>
      <c r="E23" s="1575"/>
      <c r="F23" s="1575"/>
      <c r="G23" s="1575"/>
      <c r="H23" s="1575"/>
      <c r="I23" s="1575"/>
      <c r="J23" s="1575"/>
      <c r="K23" s="1575"/>
      <c r="L23" s="1575"/>
      <c r="M23" s="1594">
        <f>SUM(M15:M22)</f>
        <v>393283</v>
      </c>
      <c r="N23" s="1594">
        <f>SUM(N21:N22)</f>
        <v>568000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9988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9988</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568000</v>
      </c>
    </row>
    <row r="37" spans="1:14" ht="13.5" thickBot="1" x14ac:dyDescent="0.25">
      <c r="A37" s="1426" t="s">
        <v>648</v>
      </c>
      <c r="B37" s="1429"/>
      <c r="C37" s="1582"/>
      <c r="D37" s="1582"/>
      <c r="E37" s="1582"/>
      <c r="F37" s="1582"/>
      <c r="G37" s="1582"/>
      <c r="H37" s="1582"/>
      <c r="I37" s="1582"/>
      <c r="J37" s="1582"/>
      <c r="K37" s="1582"/>
      <c r="L37" s="1585"/>
      <c r="M37" s="1575"/>
      <c r="N37" s="1594">
        <f>SUM(N36:N36)</f>
        <v>568000</v>
      </c>
    </row>
    <row r="38" spans="1:14" s="307" customFormat="1" ht="13.5" customHeight="1" thickTop="1" x14ac:dyDescent="0.2">
      <c r="A38" s="438" t="s">
        <v>417</v>
      </c>
      <c r="B38" s="432">
        <v>714</v>
      </c>
      <c r="C38" s="1573">
        <v>81554</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v>188244</v>
      </c>
      <c r="D39" s="1573">
        <v>65580</v>
      </c>
      <c r="E39" s="1573">
        <v>2596</v>
      </c>
      <c r="F39" s="1573">
        <v>31304</v>
      </c>
      <c r="G39" s="1573">
        <v>56336</v>
      </c>
      <c r="H39" s="1573">
        <v>100</v>
      </c>
      <c r="I39" s="1573">
        <v>513845</v>
      </c>
      <c r="J39" s="1574">
        <v>1052</v>
      </c>
      <c r="K39" s="1573">
        <v>68955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393283</v>
      </c>
      <c r="N40" s="1604"/>
    </row>
    <row r="41" spans="1:14" ht="13.5" customHeight="1" thickBot="1" x14ac:dyDescent="0.25">
      <c r="A41" s="1426" t="s">
        <v>650</v>
      </c>
      <c r="B41" s="1405"/>
      <c r="C41" s="1594">
        <f>(SUM(C34,C37,C38,C39))</f>
        <v>269798</v>
      </c>
      <c r="D41" s="1594">
        <f t="shared" ref="D41:L41" si="2">SUM(D34,D37,D38:D39)</f>
        <v>65580</v>
      </c>
      <c r="E41" s="1594">
        <f t="shared" si="2"/>
        <v>2596</v>
      </c>
      <c r="F41" s="1594">
        <f t="shared" si="2"/>
        <v>31304</v>
      </c>
      <c r="G41" s="1594">
        <f t="shared" si="2"/>
        <v>56336</v>
      </c>
      <c r="H41" s="1594">
        <f t="shared" si="2"/>
        <v>100</v>
      </c>
      <c r="I41" s="1594">
        <f t="shared" si="2"/>
        <v>513845</v>
      </c>
      <c r="J41" s="1594">
        <f t="shared" si="2"/>
        <v>1052</v>
      </c>
      <c r="K41" s="1594">
        <f t="shared" si="2"/>
        <v>68955</v>
      </c>
      <c r="L41" s="1594">
        <f t="shared" si="2"/>
        <v>9988</v>
      </c>
      <c r="M41" s="1594">
        <f>SUM(M40)</f>
        <v>393283</v>
      </c>
      <c r="N41" s="1594">
        <f>SUM(N37)</f>
        <v>568000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activeCell="C350" sqref="C350"/>
      <selection pane="bottomLeft" activeCell="C350" sqref="C35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363367</v>
      </c>
      <c r="D4" s="1606">
        <f>'Revenues 9-14'!D109</f>
        <v>45109</v>
      </c>
      <c r="E4" s="1606">
        <f>'Revenues 9-14'!E109</f>
        <v>93343</v>
      </c>
      <c r="F4" s="1606">
        <f>'Revenues 9-14'!F109</f>
        <v>21651</v>
      </c>
      <c r="G4" s="1606">
        <f>'Revenues 9-14'!G109</f>
        <v>10012</v>
      </c>
      <c r="H4" s="1606">
        <f>'Revenues 9-14'!H109</f>
        <v>0</v>
      </c>
      <c r="I4" s="1606">
        <f>'Revenues 9-14'!I109</f>
        <v>9021</v>
      </c>
      <c r="J4" s="1606">
        <f>'Revenues 9-14'!J109</f>
        <v>60015</v>
      </c>
      <c r="K4" s="1606">
        <f>'Revenues 9-14'!K109</f>
        <v>9022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865703</v>
      </c>
      <c r="D6" s="1607">
        <f>'Revenues 9-14'!D170</f>
        <v>39100</v>
      </c>
      <c r="E6" s="1607">
        <f>'Revenues 9-14'!E170</f>
        <v>0</v>
      </c>
      <c r="F6" s="1607">
        <f>'Revenues 9-14'!F170</f>
        <v>65850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99772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1328842</v>
      </c>
      <c r="D8" s="1594">
        <f t="shared" ref="D8:K8" si="0">SUM(D4:D7)</f>
        <v>84209</v>
      </c>
      <c r="E8" s="1594">
        <f t="shared" si="0"/>
        <v>93343</v>
      </c>
      <c r="F8" s="1594">
        <f t="shared" si="0"/>
        <v>87501</v>
      </c>
      <c r="G8" s="1594">
        <f t="shared" si="0"/>
        <v>10012</v>
      </c>
      <c r="H8" s="1594">
        <f t="shared" si="0"/>
        <v>0</v>
      </c>
      <c r="I8" s="1594">
        <f t="shared" si="0"/>
        <v>9021</v>
      </c>
      <c r="J8" s="1594">
        <f t="shared" si="0"/>
        <v>60015</v>
      </c>
      <c r="K8" s="1594">
        <f t="shared" si="0"/>
        <v>9022</v>
      </c>
      <c r="L8" s="325"/>
    </row>
    <row r="9" spans="1:13" ht="15.75" thickTop="1" x14ac:dyDescent="0.2">
      <c r="A9" s="449" t="s">
        <v>1634</v>
      </c>
      <c r="B9" s="450">
        <v>3998</v>
      </c>
      <c r="C9" s="1586">
        <v>79495</v>
      </c>
      <c r="D9" s="1613"/>
      <c r="E9" s="1586"/>
      <c r="F9" s="1586"/>
      <c r="G9" s="1614"/>
      <c r="H9" s="1586"/>
      <c r="I9" s="1609" t="s">
        <v>1159</v>
      </c>
      <c r="J9" s="1583"/>
      <c r="K9" s="1586"/>
      <c r="L9" s="325"/>
    </row>
    <row r="10" spans="1:13" s="452" customFormat="1" ht="13.5" thickBot="1" x14ac:dyDescent="0.25">
      <c r="A10" s="1426" t="s">
        <v>1163</v>
      </c>
      <c r="B10" s="1407"/>
      <c r="C10" s="1594">
        <f>SUM(C8:C9)</f>
        <v>1408337</v>
      </c>
      <c r="D10" s="1594">
        <f t="shared" ref="D10:K10" si="1">SUM(D8:D9)</f>
        <v>84209</v>
      </c>
      <c r="E10" s="1594">
        <f t="shared" si="1"/>
        <v>93343</v>
      </c>
      <c r="F10" s="1594">
        <f t="shared" si="1"/>
        <v>87501</v>
      </c>
      <c r="G10" s="1594">
        <f t="shared" si="1"/>
        <v>10012</v>
      </c>
      <c r="H10" s="1594">
        <f t="shared" si="1"/>
        <v>0</v>
      </c>
      <c r="I10" s="1594">
        <f t="shared" si="1"/>
        <v>9021</v>
      </c>
      <c r="J10" s="1594">
        <f t="shared" si="1"/>
        <v>60015</v>
      </c>
      <c r="K10" s="1594">
        <f t="shared" si="1"/>
        <v>9022</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623249</v>
      </c>
      <c r="D12" s="1616" t="s">
        <v>1159</v>
      </c>
      <c r="E12" s="1575" t="s">
        <v>1159</v>
      </c>
      <c r="F12" s="1575" t="s">
        <v>1159</v>
      </c>
      <c r="G12" s="1606">
        <f>'Expenditures 15-22'!K229</f>
        <v>9313</v>
      </c>
      <c r="H12" s="1617"/>
      <c r="I12" s="1575" t="s">
        <v>1159</v>
      </c>
      <c r="J12" s="1575" t="s">
        <v>1159</v>
      </c>
      <c r="K12" s="1617" t="s">
        <v>1159</v>
      </c>
      <c r="L12" s="325"/>
    </row>
    <row r="13" spans="1:13" ht="15.75" customHeight="1" x14ac:dyDescent="0.2">
      <c r="A13" s="1314" t="s">
        <v>454</v>
      </c>
      <c r="B13" s="1316">
        <v>2000</v>
      </c>
      <c r="C13" s="1607">
        <f>'Expenditures 15-22'!K74</f>
        <v>295341</v>
      </c>
      <c r="D13" s="1607">
        <f>'Expenditures 15-22'!K129</f>
        <v>54883</v>
      </c>
      <c r="E13" s="1576" t="s">
        <v>1159</v>
      </c>
      <c r="F13" s="1607">
        <f>'Expenditures 15-22'!K184</f>
        <v>3907</v>
      </c>
      <c r="G13" s="1607">
        <f>'Expenditures 15-22'!K279</f>
        <v>9501</v>
      </c>
      <c r="H13" s="1607">
        <f>'Expenditures 15-22'!K303</f>
        <v>0</v>
      </c>
      <c r="I13" s="1575" t="s">
        <v>1159</v>
      </c>
      <c r="J13" s="1607">
        <f>'Expenditures 15-22'!K330</f>
        <v>67635</v>
      </c>
      <c r="K13" s="1618">
        <f>'Expenditures 15-22'!K352</f>
        <v>2306</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362580</v>
      </c>
      <c r="D15" s="1607">
        <f>'Expenditures 15-22'!K139</f>
        <v>0</v>
      </c>
      <c r="E15" s="1607">
        <f>'Expenditures 15-22'!K160</f>
        <v>0</v>
      </c>
      <c r="F15" s="1607">
        <f>'Expenditures 15-22'!K196</f>
        <v>153898</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93800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1281170</v>
      </c>
      <c r="D17" s="1594">
        <f t="shared" si="2"/>
        <v>54883</v>
      </c>
      <c r="E17" s="1594">
        <f t="shared" si="2"/>
        <v>93800</v>
      </c>
      <c r="F17" s="1594">
        <f t="shared" si="2"/>
        <v>157805</v>
      </c>
      <c r="G17" s="1594">
        <f t="shared" si="2"/>
        <v>18814</v>
      </c>
      <c r="H17" s="1594">
        <f t="shared" si="2"/>
        <v>0</v>
      </c>
      <c r="I17" s="1575"/>
      <c r="J17" s="1594">
        <f>SUM(J12:J16)</f>
        <v>67635</v>
      </c>
      <c r="K17" s="1594">
        <f>SUM(K12:K16)</f>
        <v>2306</v>
      </c>
      <c r="L17" s="325"/>
    </row>
    <row r="18" spans="1:12" ht="15" customHeight="1" thickTop="1" x14ac:dyDescent="0.2">
      <c r="A18" s="1430" t="s">
        <v>1635</v>
      </c>
      <c r="B18" s="1431">
        <v>4180</v>
      </c>
      <c r="C18" s="1606">
        <f t="shared" ref="C18:H18" si="3">C9</f>
        <v>79495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1360665</v>
      </c>
      <c r="D19" s="1594">
        <f t="shared" si="4"/>
        <v>54883</v>
      </c>
      <c r="E19" s="1594">
        <f t="shared" si="4"/>
        <v>93800</v>
      </c>
      <c r="F19" s="1594">
        <f t="shared" si="4"/>
        <v>157805</v>
      </c>
      <c r="G19" s="1594">
        <f t="shared" si="4"/>
        <v>18814</v>
      </c>
      <c r="H19" s="1594">
        <f t="shared" si="4"/>
        <v>0</v>
      </c>
      <c r="I19" s="1575"/>
      <c r="J19" s="1594">
        <f>SUM(J17:J18)</f>
        <v>67635</v>
      </c>
      <c r="K19" s="1594">
        <f>SUM(K17:K18)</f>
        <v>2306</v>
      </c>
      <c r="L19" s="325"/>
    </row>
    <row r="20" spans="1:12" ht="16.5" thickTop="1" thickBot="1" x14ac:dyDescent="0.25">
      <c r="A20" s="2231" t="s">
        <v>1636</v>
      </c>
      <c r="B20" s="2232"/>
      <c r="C20" s="1622">
        <f>C8-C17</f>
        <v>47672</v>
      </c>
      <c r="D20" s="1622">
        <f t="shared" ref="D20:K20" si="5">D8-D17</f>
        <v>29326</v>
      </c>
      <c r="E20" s="1622">
        <f t="shared" si="5"/>
        <v>-457</v>
      </c>
      <c r="F20" s="1622">
        <f t="shared" si="5"/>
        <v>-70304</v>
      </c>
      <c r="G20" s="1622">
        <f t="shared" si="5"/>
        <v>-8802</v>
      </c>
      <c r="H20" s="1622">
        <f t="shared" si="5"/>
        <v>0</v>
      </c>
      <c r="I20" s="1622">
        <f t="shared" si="5"/>
        <v>9021</v>
      </c>
      <c r="J20" s="1622">
        <f t="shared" si="5"/>
        <v>-7620</v>
      </c>
      <c r="K20" s="1622">
        <f t="shared" si="5"/>
        <v>6716</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v>20000</v>
      </c>
      <c r="E25" s="1574"/>
      <c r="F25" s="1574">
        <v>80000</v>
      </c>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500000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20000</v>
      </c>
      <c r="E44" s="1624">
        <f t="shared" si="6"/>
        <v>0</v>
      </c>
      <c r="F44" s="1624">
        <f t="shared" si="6"/>
        <v>80000</v>
      </c>
      <c r="G44" s="1624">
        <f t="shared" si="6"/>
        <v>0</v>
      </c>
      <c r="H44" s="1624">
        <f t="shared" si="6"/>
        <v>0</v>
      </c>
      <c r="I44" s="1624">
        <f t="shared" si="6"/>
        <v>500000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100000</v>
      </c>
      <c r="J76" s="1624">
        <f t="shared" si="7"/>
        <v>0</v>
      </c>
      <c r="K76" s="1624">
        <f t="shared" si="7"/>
        <v>0</v>
      </c>
      <c r="L76" s="453"/>
    </row>
    <row r="77" spans="1:12" ht="14.25" thickTop="1" thickBot="1" x14ac:dyDescent="0.25">
      <c r="A77" s="2223" t="s">
        <v>1167</v>
      </c>
      <c r="B77" s="2224"/>
      <c r="C77" s="1624">
        <f t="shared" ref="C77:K77" si="8">C44-C76</f>
        <v>0</v>
      </c>
      <c r="D77" s="1624">
        <f t="shared" si="8"/>
        <v>20000</v>
      </c>
      <c r="E77" s="1624">
        <f t="shared" si="8"/>
        <v>0</v>
      </c>
      <c r="F77" s="1624">
        <f t="shared" si="8"/>
        <v>80000</v>
      </c>
      <c r="G77" s="1624">
        <f t="shared" si="8"/>
        <v>0</v>
      </c>
      <c r="H77" s="1624">
        <f t="shared" si="8"/>
        <v>0</v>
      </c>
      <c r="I77" s="1624">
        <f t="shared" si="8"/>
        <v>400000</v>
      </c>
      <c r="J77" s="1624">
        <f t="shared" si="8"/>
        <v>0</v>
      </c>
      <c r="K77" s="1624">
        <f t="shared" si="8"/>
        <v>0</v>
      </c>
      <c r="L77" s="325"/>
    </row>
    <row r="78" spans="1:12" ht="21.75" customHeight="1" thickTop="1" thickBot="1" x14ac:dyDescent="0.25">
      <c r="A78" s="2227" t="s">
        <v>593</v>
      </c>
      <c r="B78" s="2228"/>
      <c r="C78" s="1629">
        <f t="shared" ref="C78:K78" si="9">C20+C77</f>
        <v>47672</v>
      </c>
      <c r="D78" s="1629">
        <f t="shared" si="9"/>
        <v>49326</v>
      </c>
      <c r="E78" s="1629">
        <f t="shared" si="9"/>
        <v>-457</v>
      </c>
      <c r="F78" s="1629">
        <f t="shared" si="9"/>
        <v>9696</v>
      </c>
      <c r="G78" s="1629">
        <f t="shared" si="9"/>
        <v>-8802</v>
      </c>
      <c r="H78" s="1629">
        <f t="shared" si="9"/>
        <v>0</v>
      </c>
      <c r="I78" s="1629">
        <f t="shared" si="9"/>
        <v>409021</v>
      </c>
      <c r="J78" s="1629">
        <f t="shared" si="9"/>
        <v>-7620</v>
      </c>
      <c r="K78" s="1629">
        <f t="shared" si="9"/>
        <v>6716</v>
      </c>
      <c r="L78" s="457"/>
    </row>
    <row r="79" spans="1:12" ht="13.5" thickTop="1" x14ac:dyDescent="0.2">
      <c r="A79" s="1844" t="str">
        <f>"Fund Balances - July 1, "&amp;'AFR20'!E2-1</f>
        <v>Fund Balances - July 1, 2019</v>
      </c>
      <c r="B79" s="458"/>
      <c r="C79" s="1583">
        <v>222126</v>
      </c>
      <c r="D79" s="1630">
        <v>16254</v>
      </c>
      <c r="E79" s="1630">
        <v>3053</v>
      </c>
      <c r="F79" s="1630">
        <v>21608</v>
      </c>
      <c r="G79" s="1630">
        <v>65138</v>
      </c>
      <c r="H79" s="1630">
        <v>100</v>
      </c>
      <c r="I79" s="1630">
        <v>104824</v>
      </c>
      <c r="J79" s="1630">
        <v>8672</v>
      </c>
      <c r="K79" s="1630">
        <v>62239</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269798</v>
      </c>
      <c r="D81" s="1594">
        <f>SUM(D78:D80)</f>
        <v>65580</v>
      </c>
      <c r="E81" s="1594">
        <f t="shared" ref="E81:K81" si="10">SUM(E78:E80)</f>
        <v>2596</v>
      </c>
      <c r="F81" s="1594">
        <f t="shared" si="10"/>
        <v>31304</v>
      </c>
      <c r="G81" s="1594">
        <f t="shared" si="10"/>
        <v>56336</v>
      </c>
      <c r="H81" s="1594">
        <f t="shared" si="10"/>
        <v>100</v>
      </c>
      <c r="I81" s="1594">
        <f t="shared" si="10"/>
        <v>513845</v>
      </c>
      <c r="J81" s="1594">
        <f t="shared" si="10"/>
        <v>1052</v>
      </c>
      <c r="K81" s="1594">
        <f t="shared" si="10"/>
        <v>68955</v>
      </c>
      <c r="L81" s="325"/>
    </row>
    <row r="82" spans="1:12" ht="0.75" customHeight="1" thickTop="1" thickBot="1" x14ac:dyDescent="0.25">
      <c r="A82" s="459" t="s">
        <v>340</v>
      </c>
      <c r="B82" s="460"/>
      <c r="C82" s="461">
        <f>(C81-C79)</f>
        <v>47672</v>
      </c>
      <c r="D82" s="461">
        <f t="shared" ref="D82:K82" si="11">(D81-D79)</f>
        <v>49326</v>
      </c>
      <c r="E82" s="461">
        <f t="shared" si="11"/>
        <v>-457</v>
      </c>
      <c r="F82" s="461">
        <f t="shared" si="11"/>
        <v>9696</v>
      </c>
      <c r="G82" s="461">
        <f t="shared" si="11"/>
        <v>-8802</v>
      </c>
      <c r="H82" s="461">
        <f t="shared" si="11"/>
        <v>0</v>
      </c>
      <c r="I82" s="461">
        <f t="shared" si="11"/>
        <v>409021</v>
      </c>
      <c r="J82" s="461">
        <f t="shared" si="11"/>
        <v>-7620</v>
      </c>
      <c r="K82" s="461">
        <f t="shared" si="11"/>
        <v>6716</v>
      </c>
    </row>
    <row r="83" spans="1:12" ht="14.25" hidden="1" thickTop="1" thickBot="1" x14ac:dyDescent="0.25">
      <c r="A83" s="462" t="s">
        <v>341</v>
      </c>
      <c r="B83" s="428"/>
      <c r="C83" s="463">
        <f>C82/C81</f>
        <v>0.17669515711754721</v>
      </c>
      <c r="D83" s="463">
        <f t="shared" ref="D83:K83" si="12">D82/D81</f>
        <v>0.75215004574565414</v>
      </c>
      <c r="E83" s="463">
        <f t="shared" si="12"/>
        <v>-0.17604006163328198</v>
      </c>
      <c r="F83" s="463">
        <f t="shared" si="12"/>
        <v>0.3097367748530539</v>
      </c>
      <c r="G83" s="463">
        <f t="shared" si="12"/>
        <v>-0.15624112468048851</v>
      </c>
      <c r="H83" s="463">
        <f t="shared" si="12"/>
        <v>0</v>
      </c>
      <c r="I83" s="463">
        <f t="shared" si="12"/>
        <v>0.79600073952261874</v>
      </c>
      <c r="J83" s="463">
        <f t="shared" si="12"/>
        <v>-7.243346007604563</v>
      </c>
      <c r="K83" s="463">
        <f t="shared" si="12"/>
        <v>9.7396853020085564E-2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80" activePane="bottomLeft" state="frozen"/>
      <selection activeCell="C350" sqref="C350"/>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290496</v>
      </c>
      <c r="D5" s="1586">
        <v>45109</v>
      </c>
      <c r="E5" s="1573">
        <v>93343</v>
      </c>
      <c r="F5" s="1631">
        <v>21651</v>
      </c>
      <c r="G5" s="1573">
        <v>5006</v>
      </c>
      <c r="H5" s="1573"/>
      <c r="I5" s="1573">
        <v>9021</v>
      </c>
      <c r="J5" s="1574">
        <v>60015</v>
      </c>
      <c r="K5" s="1573">
        <v>9022</v>
      </c>
    </row>
    <row r="6" spans="1:12" ht="15" x14ac:dyDescent="0.2">
      <c r="A6" s="427" t="s">
        <v>1643</v>
      </c>
      <c r="B6" s="429">
        <v>1130</v>
      </c>
      <c r="C6" s="1573">
        <v>9022</v>
      </c>
      <c r="D6" s="1573"/>
      <c r="E6" s="1580"/>
      <c r="F6" s="1580"/>
      <c r="G6" s="1575"/>
      <c r="H6" s="1575"/>
      <c r="I6" s="1575"/>
      <c r="J6" s="1575"/>
      <c r="K6" s="1575"/>
    </row>
    <row r="7" spans="1:12" x14ac:dyDescent="0.2">
      <c r="A7" s="427" t="s">
        <v>110</v>
      </c>
      <c r="B7" s="471">
        <v>1140</v>
      </c>
      <c r="C7" s="1573">
        <v>3609</v>
      </c>
      <c r="D7" s="1573"/>
      <c r="E7" s="1575"/>
      <c r="F7" s="1574"/>
      <c r="G7" s="1574"/>
      <c r="H7" s="1574"/>
      <c r="I7" s="1575"/>
      <c r="J7" s="1575"/>
      <c r="K7" s="1575"/>
    </row>
    <row r="8" spans="1:12" x14ac:dyDescent="0.2">
      <c r="A8" s="427" t="s">
        <v>410</v>
      </c>
      <c r="B8" s="429">
        <v>1150</v>
      </c>
      <c r="C8" s="1580"/>
      <c r="D8" s="1580"/>
      <c r="E8" s="1582"/>
      <c r="F8" s="1582"/>
      <c r="G8" s="1586">
        <v>5006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303127</v>
      </c>
      <c r="D12" s="1633">
        <f t="shared" si="0"/>
        <v>45109</v>
      </c>
      <c r="E12" s="1633">
        <f t="shared" si="0"/>
        <v>93343</v>
      </c>
      <c r="F12" s="1633">
        <f t="shared" si="0"/>
        <v>21651</v>
      </c>
      <c r="G12" s="1633">
        <f t="shared" si="0"/>
        <v>10012</v>
      </c>
      <c r="H12" s="1633">
        <f t="shared" si="0"/>
        <v>0</v>
      </c>
      <c r="I12" s="1633">
        <f t="shared" si="0"/>
        <v>9021</v>
      </c>
      <c r="J12" s="1633">
        <f t="shared" si="0"/>
        <v>60015</v>
      </c>
      <c r="K12" s="1594">
        <f t="shared" si="0"/>
        <v>9022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14247</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14247</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7130</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7130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203</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203</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3374</v>
      </c>
      <c r="D69" s="1575"/>
      <c r="E69" s="1575"/>
      <c r="F69" s="1575"/>
      <c r="G69" s="1575"/>
      <c r="H69" s="1575"/>
      <c r="I69" s="1575"/>
      <c r="J69" s="1575"/>
      <c r="K69" s="1575"/>
    </row>
    <row r="70" spans="1:11" ht="12.75" customHeight="1" x14ac:dyDescent="0.2">
      <c r="A70" s="427" t="s">
        <v>990</v>
      </c>
      <c r="B70" s="429">
        <v>1612</v>
      </c>
      <c r="C70" s="1632">
        <v>2439</v>
      </c>
      <c r="D70" s="1575"/>
      <c r="E70" s="1575"/>
      <c r="F70" s="1575"/>
      <c r="G70" s="1575"/>
      <c r="H70" s="1575"/>
      <c r="I70" s="1575"/>
      <c r="J70" s="1575"/>
      <c r="K70" s="1575"/>
    </row>
    <row r="71" spans="1:11" ht="12.75" customHeight="1" x14ac:dyDescent="0.2">
      <c r="A71" s="427" t="s">
        <v>271</v>
      </c>
      <c r="B71" s="429">
        <v>1613</v>
      </c>
      <c r="C71" s="1632">
        <v>2526</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90</v>
      </c>
      <c r="D73" s="1575"/>
      <c r="E73" s="1575"/>
      <c r="F73" s="1575"/>
      <c r="G73" s="1575"/>
      <c r="H73" s="1575"/>
      <c r="I73" s="1575"/>
      <c r="J73" s="1575"/>
      <c r="K73" s="1575"/>
    </row>
    <row r="74" spans="1:11" ht="12.75" customHeight="1" x14ac:dyDescent="0.2">
      <c r="A74" s="427" t="s">
        <v>25</v>
      </c>
      <c r="B74" s="429">
        <v>1690</v>
      </c>
      <c r="C74" s="1632">
        <v>1120</v>
      </c>
      <c r="D74" s="1575"/>
      <c r="E74" s="1575"/>
      <c r="F74" s="1575"/>
      <c r="G74" s="1575"/>
      <c r="H74" s="1575"/>
      <c r="I74" s="1575"/>
      <c r="J74" s="1575"/>
      <c r="K74" s="1575"/>
    </row>
    <row r="75" spans="1:11" ht="12.75" customHeight="1" thickBot="1" x14ac:dyDescent="0.25">
      <c r="A75" s="1406" t="s">
        <v>544</v>
      </c>
      <c r="B75" s="1407"/>
      <c r="C75" s="1594">
        <f>SUM(C69:C74)</f>
        <v>9549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220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159</v>
      </c>
      <c r="D81" s="1573"/>
      <c r="E81" s="1575"/>
      <c r="F81" s="1575"/>
      <c r="G81" s="1575"/>
      <c r="H81" s="1575"/>
      <c r="I81" s="1575"/>
      <c r="J81" s="1575"/>
      <c r="K81" s="1575"/>
    </row>
    <row r="82" spans="1:11" ht="12.75" customHeight="1" thickBot="1" x14ac:dyDescent="0.25">
      <c r="A82" s="1406" t="s">
        <v>239</v>
      </c>
      <c r="B82" s="1407"/>
      <c r="C82" s="1633">
        <f>SUM(C77:C81)</f>
        <v>379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4380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4380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9300</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15052</v>
      </c>
      <c r="D107" s="1573"/>
      <c r="E107" s="1573"/>
      <c r="F107" s="1573"/>
      <c r="G107" s="1573"/>
      <c r="H107" s="1573"/>
      <c r="I107" s="1573"/>
      <c r="J107" s="1574"/>
      <c r="K107" s="1573"/>
    </row>
    <row r="108" spans="1:12" ht="12.75" customHeight="1" thickBot="1" x14ac:dyDescent="0.25">
      <c r="A108" s="1406" t="s">
        <v>484</v>
      </c>
      <c r="B108" s="1408"/>
      <c r="C108" s="1633">
        <f>SUM(C95:C107)</f>
        <v>24352</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363367</v>
      </c>
      <c r="D109" s="1641">
        <f t="shared" si="4"/>
        <v>45109</v>
      </c>
      <c r="E109" s="1641">
        <f t="shared" si="4"/>
        <v>93343</v>
      </c>
      <c r="F109" s="1641">
        <f t="shared" si="4"/>
        <v>21651</v>
      </c>
      <c r="G109" s="1641">
        <f t="shared" si="4"/>
        <v>10012</v>
      </c>
      <c r="H109" s="1641">
        <f t="shared" si="4"/>
        <v>0</v>
      </c>
      <c r="I109" s="1641">
        <f t="shared" si="4"/>
        <v>9021</v>
      </c>
      <c r="J109" s="1641">
        <f t="shared" si="4"/>
        <v>60015</v>
      </c>
      <c r="K109" s="1629">
        <f t="shared" si="4"/>
        <v>9022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810482</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810482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51208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v>2891</v>
      </c>
      <c r="D131" s="1574"/>
      <c r="E131" s="1575"/>
      <c r="F131" s="1573"/>
      <c r="G131" s="1575"/>
      <c r="H131" s="1575"/>
      <c r="I131" s="1575"/>
      <c r="J131" s="1575"/>
      <c r="K131" s="1575"/>
    </row>
    <row r="132" spans="1:11" ht="12.75" customHeight="1" thickBot="1" x14ac:dyDescent="0.25">
      <c r="A132" s="1406" t="s">
        <v>1025</v>
      </c>
      <c r="B132" s="1414"/>
      <c r="C132" s="1633">
        <f>SUM(C125:C131)</f>
        <v>54099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372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22968</v>
      </c>
      <c r="G152" s="1574"/>
      <c r="H152" s="1575"/>
      <c r="I152" s="1575"/>
      <c r="J152" s="1575"/>
      <c r="K152" s="1575"/>
    </row>
    <row r="153" spans="1:11" ht="12.75" customHeight="1" x14ac:dyDescent="0.2">
      <c r="A153" s="427" t="s">
        <v>1048</v>
      </c>
      <c r="B153" s="478">
        <v>3510</v>
      </c>
      <c r="C153" s="1632"/>
      <c r="D153" s="1573"/>
      <c r="E153" s="1640"/>
      <c r="F153" s="1573">
        <v>42882</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65850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t="s">
        <v>2061</v>
      </c>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39100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55221</v>
      </c>
      <c r="D169" s="1658">
        <f t="shared" si="6"/>
        <v>39100</v>
      </c>
      <c r="E169" s="1658">
        <f t="shared" si="6"/>
        <v>0</v>
      </c>
      <c r="F169" s="1658">
        <f t="shared" si="6"/>
        <v>65850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865703</v>
      </c>
      <c r="D170" s="1641">
        <f t="shared" si="7"/>
        <v>39100</v>
      </c>
      <c r="E170" s="1641">
        <f t="shared" si="7"/>
        <v>0</v>
      </c>
      <c r="F170" s="1641">
        <f t="shared" si="7"/>
        <v>65850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18223</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6920</v>
      </c>
      <c r="D193" s="1575"/>
      <c r="E193" s="1640"/>
      <c r="F193" s="1575"/>
      <c r="G193" s="1664"/>
      <c r="H193" s="1575"/>
      <c r="I193" s="1575"/>
      <c r="J193" s="1575"/>
      <c r="K193" s="1575"/>
    </row>
    <row r="194" spans="1:11" ht="12.75" customHeight="1" x14ac:dyDescent="0.2">
      <c r="A194" s="427" t="s">
        <v>1434</v>
      </c>
      <c r="B194" s="429">
        <v>4225</v>
      </c>
      <c r="C194" s="1632">
        <v>7721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32864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44802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44802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v>840</v>
      </c>
      <c r="D208" s="1573"/>
      <c r="E208" s="1575"/>
      <c r="F208" s="1573"/>
      <c r="G208" s="1573"/>
      <c r="H208" s="1575"/>
      <c r="I208" s="1575"/>
      <c r="J208" s="1575"/>
      <c r="K208" s="1575"/>
    </row>
    <row r="209" spans="1:11" ht="12.75" customHeight="1" thickBot="1" x14ac:dyDescent="0.25">
      <c r="A209" s="1406" t="s">
        <v>883</v>
      </c>
      <c r="B209" s="1407"/>
      <c r="C209" s="1633">
        <f>SUM(C206:C208)</f>
        <v>840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15154</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15154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6112</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99772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99772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1328842</v>
      </c>
      <c r="D268" s="1641">
        <f t="shared" si="12"/>
        <v>84209</v>
      </c>
      <c r="E268" s="1641">
        <f t="shared" si="12"/>
        <v>93343</v>
      </c>
      <c r="F268" s="1641">
        <f t="shared" si="12"/>
        <v>87501</v>
      </c>
      <c r="G268" s="1641">
        <f t="shared" si="12"/>
        <v>10012</v>
      </c>
      <c r="H268" s="1641">
        <f t="shared" si="12"/>
        <v>0</v>
      </c>
      <c r="I268" s="1641">
        <f t="shared" si="12"/>
        <v>9021</v>
      </c>
      <c r="J268" s="1641">
        <f t="shared" si="12"/>
        <v>60015</v>
      </c>
      <c r="K268" s="1629">
        <f t="shared" si="12"/>
        <v>9022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60" activePane="bottomLeft" state="frozen"/>
      <selection activeCell="C350" sqref="C350"/>
      <selection pane="bottomLeft" activeCell="E276" sqref="E27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407104</v>
      </c>
      <c r="D5" s="1573">
        <v>65940</v>
      </c>
      <c r="E5" s="1573">
        <v>1732</v>
      </c>
      <c r="F5" s="1573">
        <v>11261</v>
      </c>
      <c r="G5" s="1573"/>
      <c r="H5" s="1573">
        <v>253</v>
      </c>
      <c r="I5" s="1574"/>
      <c r="J5" s="1574"/>
      <c r="K5" s="1672">
        <f>SUM(C5:J5)</f>
        <v>486290</v>
      </c>
      <c r="L5" s="1573">
        <v>495469</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89568</v>
      </c>
      <c r="D8" s="1573">
        <v>8044</v>
      </c>
      <c r="E8" s="1573"/>
      <c r="F8" s="1573"/>
      <c r="G8" s="1573"/>
      <c r="H8" s="1573"/>
      <c r="I8" s="1574"/>
      <c r="J8" s="1574"/>
      <c r="K8" s="1672">
        <f t="shared" si="0"/>
        <v>97612</v>
      </c>
      <c r="L8" s="1573">
        <v>102043</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16036</v>
      </c>
      <c r="D10" s="1573">
        <v>2209</v>
      </c>
      <c r="E10" s="1573">
        <v>688</v>
      </c>
      <c r="F10" s="1573">
        <v>11917</v>
      </c>
      <c r="G10" s="1573">
        <v>952</v>
      </c>
      <c r="H10" s="1573"/>
      <c r="I10" s="1574"/>
      <c r="J10" s="1574"/>
      <c r="K10" s="1672">
        <f t="shared" si="0"/>
        <v>31802</v>
      </c>
      <c r="L10" s="1573">
        <v>32568</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5197</v>
      </c>
      <c r="D14" s="1573">
        <v>662</v>
      </c>
      <c r="E14" s="1573">
        <v>263</v>
      </c>
      <c r="F14" s="1573">
        <v>198</v>
      </c>
      <c r="G14" s="1573"/>
      <c r="H14" s="1573">
        <v>1225</v>
      </c>
      <c r="I14" s="1574"/>
      <c r="J14" s="1574"/>
      <c r="K14" s="1672">
        <f t="shared" si="0"/>
        <v>7545</v>
      </c>
      <c r="L14" s="1573">
        <v>7673</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517905</v>
      </c>
      <c r="D33" s="1674">
        <f t="shared" ref="D33:L33" si="1">SUM(D5:D32)</f>
        <v>76855</v>
      </c>
      <c r="E33" s="1674">
        <f t="shared" si="1"/>
        <v>2683</v>
      </c>
      <c r="F33" s="1674">
        <f t="shared" si="1"/>
        <v>23376</v>
      </c>
      <c r="G33" s="1674">
        <f t="shared" si="1"/>
        <v>952</v>
      </c>
      <c r="H33" s="1674">
        <f t="shared" si="1"/>
        <v>1478</v>
      </c>
      <c r="I33" s="1674">
        <f t="shared" si="1"/>
        <v>0</v>
      </c>
      <c r="J33" s="1674">
        <f t="shared" si="1"/>
        <v>0</v>
      </c>
      <c r="K33" s="1674">
        <f t="shared" si="1"/>
        <v>623249</v>
      </c>
      <c r="L33" s="1674">
        <f t="shared" si="1"/>
        <v>637753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v>2048</v>
      </c>
      <c r="F38" s="1573"/>
      <c r="G38" s="1573"/>
      <c r="H38" s="1573"/>
      <c r="I38" s="1574"/>
      <c r="J38" s="1574"/>
      <c r="K38" s="1672">
        <f t="shared" si="2"/>
        <v>2048</v>
      </c>
      <c r="L38" s="1573">
        <v>1890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v>1000</v>
      </c>
    </row>
    <row r="42" spans="1:14" ht="12.75" customHeight="1" thickBot="1" x14ac:dyDescent="0.25">
      <c r="A42" s="1380" t="s">
        <v>556</v>
      </c>
      <c r="B42" s="1381" t="s">
        <v>711</v>
      </c>
      <c r="C42" s="1674">
        <f>SUM(C36:C41)</f>
        <v>0</v>
      </c>
      <c r="D42" s="1674">
        <f t="shared" ref="D42:L42" si="3">SUM(D36:D41)</f>
        <v>0</v>
      </c>
      <c r="E42" s="1674">
        <f t="shared" si="3"/>
        <v>2048</v>
      </c>
      <c r="F42" s="1674">
        <f t="shared" si="3"/>
        <v>0</v>
      </c>
      <c r="G42" s="1674">
        <f t="shared" si="3"/>
        <v>0</v>
      </c>
      <c r="H42" s="1674">
        <f t="shared" si="3"/>
        <v>0</v>
      </c>
      <c r="I42" s="1674">
        <f t="shared" si="3"/>
        <v>0</v>
      </c>
      <c r="J42" s="1674">
        <f t="shared" si="3"/>
        <v>0</v>
      </c>
      <c r="K42" s="1674">
        <f t="shared" si="3"/>
        <v>2048</v>
      </c>
      <c r="L42" s="1674">
        <f t="shared" si="3"/>
        <v>2890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6400</v>
      </c>
      <c r="E44" s="1586">
        <v>7960</v>
      </c>
      <c r="F44" s="1586">
        <v>204</v>
      </c>
      <c r="G44" s="1586"/>
      <c r="H44" s="1586"/>
      <c r="I44" s="1574"/>
      <c r="J44" s="1574"/>
      <c r="K44" s="1678">
        <f>SUM(C44:J44)</f>
        <v>14564</v>
      </c>
      <c r="L44" s="1586">
        <v>12260</v>
      </c>
    </row>
    <row r="45" spans="1:14" x14ac:dyDescent="0.2">
      <c r="A45" s="1274" t="s">
        <v>810</v>
      </c>
      <c r="B45" s="503">
        <v>2220</v>
      </c>
      <c r="C45" s="1573"/>
      <c r="D45" s="1573"/>
      <c r="E45" s="1573"/>
      <c r="F45" s="1573">
        <v>523</v>
      </c>
      <c r="G45" s="1573">
        <v>13781</v>
      </c>
      <c r="H45" s="1573"/>
      <c r="I45" s="1574"/>
      <c r="J45" s="1574"/>
      <c r="K45" s="1678">
        <f>SUM(C45:J45)</f>
        <v>14304</v>
      </c>
      <c r="L45" s="1573">
        <v>19000</v>
      </c>
    </row>
    <row r="46" spans="1:14" x14ac:dyDescent="0.2">
      <c r="A46" s="1274" t="s">
        <v>811</v>
      </c>
      <c r="B46" s="503">
        <v>2230</v>
      </c>
      <c r="C46" s="1573"/>
      <c r="D46" s="1573"/>
      <c r="E46" s="1573"/>
      <c r="F46" s="1573">
        <v>16010</v>
      </c>
      <c r="G46" s="1573"/>
      <c r="H46" s="1573"/>
      <c r="I46" s="1574"/>
      <c r="J46" s="1574"/>
      <c r="K46" s="1678">
        <f>SUM(C46:J46)</f>
        <v>16010</v>
      </c>
      <c r="L46" s="1573">
        <v>15541</v>
      </c>
    </row>
    <row r="47" spans="1:14" ht="12.75" customHeight="1" thickBot="1" x14ac:dyDescent="0.25">
      <c r="A47" s="1380" t="s">
        <v>557</v>
      </c>
      <c r="B47" s="1381" t="s">
        <v>32</v>
      </c>
      <c r="C47" s="1674">
        <f>SUM(C44:C46)</f>
        <v>0</v>
      </c>
      <c r="D47" s="1674">
        <f t="shared" ref="D47:K47" si="4">SUM(D44:D46)</f>
        <v>6400</v>
      </c>
      <c r="E47" s="1674">
        <f t="shared" si="4"/>
        <v>7960</v>
      </c>
      <c r="F47" s="1674">
        <f t="shared" si="4"/>
        <v>16737</v>
      </c>
      <c r="G47" s="1674">
        <f t="shared" si="4"/>
        <v>13781</v>
      </c>
      <c r="H47" s="1674">
        <f t="shared" si="4"/>
        <v>0</v>
      </c>
      <c r="I47" s="1674">
        <f t="shared" si="4"/>
        <v>0</v>
      </c>
      <c r="J47" s="1674">
        <f t="shared" si="4"/>
        <v>0</v>
      </c>
      <c r="K47" s="1674">
        <f t="shared" si="4"/>
        <v>44878</v>
      </c>
      <c r="L47" s="1674">
        <f>SUM(L44:L46)</f>
        <v>46801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13379</v>
      </c>
      <c r="F49" s="1586">
        <v>397</v>
      </c>
      <c r="G49" s="1586"/>
      <c r="H49" s="1586">
        <v>5522</v>
      </c>
      <c r="I49" s="1574"/>
      <c r="J49" s="1574"/>
      <c r="K49" s="1678">
        <f>SUM(C49:J49)</f>
        <v>19298</v>
      </c>
      <c r="L49" s="1586">
        <v>14100</v>
      </c>
    </row>
    <row r="50" spans="1:14" x14ac:dyDescent="0.2">
      <c r="A50" s="1274" t="s">
        <v>813</v>
      </c>
      <c r="B50" s="503">
        <v>2320</v>
      </c>
      <c r="C50" s="1573">
        <v>13700</v>
      </c>
      <c r="D50" s="1573">
        <v>1633</v>
      </c>
      <c r="E50" s="1573">
        <v>22098</v>
      </c>
      <c r="F50" s="1573">
        <v>1036</v>
      </c>
      <c r="G50" s="1573"/>
      <c r="H50" s="1573">
        <v>1444</v>
      </c>
      <c r="I50" s="1574"/>
      <c r="J50" s="1574"/>
      <c r="K50" s="1678">
        <f>SUM(C50:J50)</f>
        <v>39911</v>
      </c>
      <c r="L50" s="1573">
        <v>22435</v>
      </c>
    </row>
    <row r="51" spans="1:14" x14ac:dyDescent="0.2">
      <c r="A51" s="1274" t="s">
        <v>42</v>
      </c>
      <c r="B51" s="503">
        <v>2330</v>
      </c>
      <c r="C51" s="1573">
        <v>4000</v>
      </c>
      <c r="D51" s="1573">
        <v>547</v>
      </c>
      <c r="E51" s="1573">
        <v>550</v>
      </c>
      <c r="F51" s="1573"/>
      <c r="G51" s="1573"/>
      <c r="H51" s="1573"/>
      <c r="I51" s="1574"/>
      <c r="J51" s="1574"/>
      <c r="K51" s="1678">
        <f>SUM(C51:J51)</f>
        <v>5097</v>
      </c>
      <c r="L51" s="1573">
        <v>3430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17700</v>
      </c>
      <c r="D53" s="1674">
        <f t="shared" ref="D53:L53" si="5">SUM(D49:D52)</f>
        <v>2180</v>
      </c>
      <c r="E53" s="1674">
        <f t="shared" si="5"/>
        <v>36027</v>
      </c>
      <c r="F53" s="1674">
        <f t="shared" si="5"/>
        <v>1433</v>
      </c>
      <c r="G53" s="1674">
        <f t="shared" si="5"/>
        <v>0</v>
      </c>
      <c r="H53" s="1674">
        <f t="shared" si="5"/>
        <v>6966</v>
      </c>
      <c r="I53" s="1674">
        <f t="shared" si="5"/>
        <v>0</v>
      </c>
      <c r="J53" s="1674">
        <f t="shared" si="5"/>
        <v>0</v>
      </c>
      <c r="K53" s="1674">
        <f t="shared" si="5"/>
        <v>64306</v>
      </c>
      <c r="L53" s="1674">
        <f t="shared" si="5"/>
        <v>39965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91222</v>
      </c>
      <c r="D55" s="1586">
        <v>8235</v>
      </c>
      <c r="E55" s="1586"/>
      <c r="F55" s="1586"/>
      <c r="G55" s="1586"/>
      <c r="H55" s="1586"/>
      <c r="I55" s="1574"/>
      <c r="J55" s="1574"/>
      <c r="K55" s="1678">
        <f>SUM(C55:J55)</f>
        <v>99457</v>
      </c>
      <c r="L55" s="1586">
        <v>99907</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91222</v>
      </c>
      <c r="D57" s="1679">
        <f t="shared" ref="D57:K57" si="6">SUM(D55:D56)</f>
        <v>8235</v>
      </c>
      <c r="E57" s="1679">
        <f t="shared" si="6"/>
        <v>0</v>
      </c>
      <c r="F57" s="1679">
        <f t="shared" si="6"/>
        <v>0</v>
      </c>
      <c r="G57" s="1679">
        <f t="shared" si="6"/>
        <v>0</v>
      </c>
      <c r="H57" s="1679">
        <f t="shared" si="6"/>
        <v>0</v>
      </c>
      <c r="I57" s="1679">
        <f t="shared" si="6"/>
        <v>0</v>
      </c>
      <c r="J57" s="1679">
        <f t="shared" si="6"/>
        <v>0</v>
      </c>
      <c r="K57" s="1679">
        <f t="shared" si="6"/>
        <v>99457</v>
      </c>
      <c r="L57" s="1674">
        <f>SUM(L55:L56)</f>
        <v>99907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4822</v>
      </c>
      <c r="D60" s="1573"/>
      <c r="E60" s="1573"/>
      <c r="F60" s="1573">
        <v>2764</v>
      </c>
      <c r="G60" s="1573"/>
      <c r="H60" s="1573"/>
      <c r="I60" s="1574"/>
      <c r="J60" s="1574"/>
      <c r="K60" s="1678">
        <f t="shared" si="7"/>
        <v>7586</v>
      </c>
      <c r="L60" s="1573">
        <v>22414</v>
      </c>
      <c r="M60" s="501"/>
      <c r="N60" s="501"/>
    </row>
    <row r="61" spans="1:14" s="321" customFormat="1" x14ac:dyDescent="0.2">
      <c r="A61" s="1274" t="s">
        <v>195</v>
      </c>
      <c r="B61" s="503">
        <v>2540</v>
      </c>
      <c r="C61" s="1573">
        <v>10980</v>
      </c>
      <c r="D61" s="1573"/>
      <c r="E61" s="1573">
        <v>379</v>
      </c>
      <c r="F61" s="1573">
        <v>16568</v>
      </c>
      <c r="G61" s="1573"/>
      <c r="H61" s="1573"/>
      <c r="I61" s="1574"/>
      <c r="J61" s="1574"/>
      <c r="K61" s="1678">
        <f t="shared" si="7"/>
        <v>27927</v>
      </c>
      <c r="L61" s="1573">
        <v>40550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23699</v>
      </c>
      <c r="D63" s="1573"/>
      <c r="E63" s="1573">
        <v>562</v>
      </c>
      <c r="F63" s="1573">
        <v>24878</v>
      </c>
      <c r="G63" s="1573"/>
      <c r="H63" s="1573"/>
      <c r="I63" s="1574"/>
      <c r="J63" s="1574"/>
      <c r="K63" s="1678">
        <f t="shared" si="7"/>
        <v>49139</v>
      </c>
      <c r="L63" s="1573">
        <v>54618</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39501</v>
      </c>
      <c r="D65" s="1674">
        <f t="shared" ref="D65:L65" si="8">SUM(D59:D64)</f>
        <v>0</v>
      </c>
      <c r="E65" s="1674">
        <f t="shared" si="8"/>
        <v>941</v>
      </c>
      <c r="F65" s="1674">
        <f t="shared" si="8"/>
        <v>44210</v>
      </c>
      <c r="G65" s="1674">
        <f t="shared" si="8"/>
        <v>0</v>
      </c>
      <c r="H65" s="1674">
        <f t="shared" si="8"/>
        <v>0</v>
      </c>
      <c r="I65" s="1674">
        <f t="shared" si="8"/>
        <v>0</v>
      </c>
      <c r="J65" s="1674">
        <f t="shared" si="8"/>
        <v>0</v>
      </c>
      <c r="K65" s="1674">
        <f t="shared" si="8"/>
        <v>84652</v>
      </c>
      <c r="L65" s="1674">
        <f t="shared" si="8"/>
        <v>117582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148423</v>
      </c>
      <c r="D74" s="1681">
        <f t="shared" ref="D74:K74" si="10">SUM(D42,D47,D53,D57,D65,D72,D73)</f>
        <v>16815</v>
      </c>
      <c r="E74" s="1681">
        <f t="shared" si="10"/>
        <v>46976</v>
      </c>
      <c r="F74" s="1681">
        <f t="shared" si="10"/>
        <v>62380</v>
      </c>
      <c r="G74" s="1681">
        <f t="shared" si="10"/>
        <v>13781</v>
      </c>
      <c r="H74" s="1681">
        <f t="shared" si="10"/>
        <v>6966</v>
      </c>
      <c r="I74" s="1681">
        <f t="shared" si="10"/>
        <v>0</v>
      </c>
      <c r="J74" s="1681">
        <f t="shared" si="10"/>
        <v>0</v>
      </c>
      <c r="K74" s="1681">
        <f t="shared" si="10"/>
        <v>295341</v>
      </c>
      <c r="L74" s="1681">
        <f>SUM(L42,L47,L53,L57,L65,L72,L73)</f>
        <v>307145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35051</v>
      </c>
      <c r="F78" s="1673"/>
      <c r="G78" s="1673"/>
      <c r="H78" s="1682"/>
      <c r="I78" s="1582"/>
      <c r="J78" s="1582"/>
      <c r="K78" s="1672">
        <f t="shared" ref="K78:K83" si="11">SUM(C78:J78)</f>
        <v>35051</v>
      </c>
      <c r="L78" s="1586">
        <v>37004</v>
      </c>
    </row>
    <row r="79" spans="1:14" x14ac:dyDescent="0.2">
      <c r="A79" s="1274" t="s">
        <v>301</v>
      </c>
      <c r="B79" s="503">
        <v>4120</v>
      </c>
      <c r="C79" s="1673"/>
      <c r="D79" s="1673"/>
      <c r="E79" s="1573">
        <v>291609</v>
      </c>
      <c r="F79" s="1673"/>
      <c r="G79" s="1673"/>
      <c r="H79" s="1573"/>
      <c r="I79" s="1582"/>
      <c r="J79" s="1582"/>
      <c r="K79" s="1672">
        <f t="shared" si="11"/>
        <v>291609</v>
      </c>
      <c r="L79" s="1573">
        <v>302175</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35920</v>
      </c>
      <c r="F83" s="1673"/>
      <c r="G83" s="1673"/>
      <c r="H83" s="1573"/>
      <c r="I83" s="1582"/>
      <c r="J83" s="1582"/>
      <c r="K83" s="1672">
        <f t="shared" si="11"/>
        <v>35920</v>
      </c>
      <c r="L83" s="1573">
        <v>29568</v>
      </c>
    </row>
    <row r="84" spans="1:12" ht="13.5" thickBot="1" x14ac:dyDescent="0.25">
      <c r="A84" s="1380" t="s">
        <v>1468</v>
      </c>
      <c r="B84" s="1385">
        <v>4100</v>
      </c>
      <c r="C84" s="1673"/>
      <c r="D84" s="1673"/>
      <c r="E84" s="1674">
        <f>SUM(E78:E83)</f>
        <v>362580</v>
      </c>
      <c r="F84" s="1673"/>
      <c r="G84" s="1673"/>
      <c r="H84" s="1674">
        <f>SUM(H78:H83)</f>
        <v>0</v>
      </c>
      <c r="I84" s="1582"/>
      <c r="J84" s="1582"/>
      <c r="K84" s="1674">
        <f>SUM(K78:K83)</f>
        <v>362580</v>
      </c>
      <c r="L84" s="1674">
        <f>SUM(L78:L83)</f>
        <v>368747</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362580</v>
      </c>
      <c r="F102" s="1673"/>
      <c r="G102" s="1673"/>
      <c r="H102" s="1681">
        <f>SUM(H84,H92,H100,H101)</f>
        <v>0</v>
      </c>
      <c r="I102" s="1582"/>
      <c r="J102" s="1582"/>
      <c r="K102" s="1681">
        <f>SUM(K84,K92,K100,K101)</f>
        <v>362580</v>
      </c>
      <c r="L102" s="1681">
        <f>SUM(L84,L92,L100,L101)</f>
        <v>368747</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2000</v>
      </c>
      <c r="M113" s="502"/>
      <c r="N113" s="502"/>
    </row>
    <row r="114" spans="1:14" ht="12.75" customHeight="1" thickTop="1" thickBot="1" x14ac:dyDescent="0.25">
      <c r="A114" s="1380" t="s">
        <v>48</v>
      </c>
      <c r="B114" s="1388"/>
      <c r="C114" s="1674">
        <f>SUM(C33,C74,C75,C102,C112,C113)</f>
        <v>666328</v>
      </c>
      <c r="D114" s="1674">
        <f t="shared" ref="D114:K114" si="13">SUM(D33,D74,D75,D102,D112,D113)</f>
        <v>93670</v>
      </c>
      <c r="E114" s="1674">
        <f t="shared" si="13"/>
        <v>412239</v>
      </c>
      <c r="F114" s="1674">
        <f t="shared" si="13"/>
        <v>85756</v>
      </c>
      <c r="G114" s="1674">
        <f t="shared" si="13"/>
        <v>14733</v>
      </c>
      <c r="H114" s="1674">
        <f>SUM(H33,H74,H75,H102,H112,H113)</f>
        <v>8444</v>
      </c>
      <c r="I114" s="1674">
        <f t="shared" si="13"/>
        <v>0</v>
      </c>
      <c r="J114" s="1674">
        <f t="shared" si="13"/>
        <v>0</v>
      </c>
      <c r="K114" s="1674">
        <f t="shared" si="13"/>
        <v>1281170</v>
      </c>
      <c r="L114" s="1674">
        <f>SUM(L33,L74,L75,L102,L112,L113)</f>
        <v>1315645</v>
      </c>
    </row>
    <row r="115" spans="1:14" ht="13.5" thickTop="1" x14ac:dyDescent="0.2">
      <c r="A115" s="2261" t="s">
        <v>989</v>
      </c>
      <c r="B115" s="2262"/>
      <c r="C115" s="1675"/>
      <c r="D115" s="1675"/>
      <c r="E115" s="1675"/>
      <c r="F115" s="1675"/>
      <c r="G115" s="1675"/>
      <c r="H115" s="1675"/>
      <c r="I115" s="1675"/>
      <c r="J115" s="1675"/>
      <c r="K115" s="1689">
        <f>'Revenues 9-14'!C268-'Expenditures 15-22'!K114</f>
        <v>47672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v>28659</v>
      </c>
      <c r="D123" s="1573"/>
      <c r="E123" s="1573"/>
      <c r="F123" s="1573"/>
      <c r="G123" s="1573"/>
      <c r="H123" s="1573"/>
      <c r="I123" s="1574"/>
      <c r="J123" s="1574"/>
      <c r="K123" s="1674">
        <f>SUM(C123:J123)</f>
        <v>28659</v>
      </c>
      <c r="L123" s="1573">
        <v>16486</v>
      </c>
    </row>
    <row r="124" spans="1:14" ht="14.25" thickTop="1" thickBot="1" x14ac:dyDescent="0.25">
      <c r="A124" s="1274" t="s">
        <v>195</v>
      </c>
      <c r="B124" s="503">
        <v>2540</v>
      </c>
      <c r="C124" s="1573"/>
      <c r="D124" s="1573"/>
      <c r="E124" s="1573">
        <v>16045</v>
      </c>
      <c r="F124" s="1573">
        <v>7509</v>
      </c>
      <c r="G124" s="1573">
        <v>2670</v>
      </c>
      <c r="H124" s="1573"/>
      <c r="I124" s="1574"/>
      <c r="J124" s="1574"/>
      <c r="K124" s="1674">
        <f>SUM(C124:J124)</f>
        <v>26224</v>
      </c>
      <c r="L124" s="1573">
        <v>45000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28659</v>
      </c>
      <c r="D127" s="1674">
        <f t="shared" ref="D127:L127" si="14">SUM(D122:D126)</f>
        <v>0</v>
      </c>
      <c r="E127" s="1674">
        <f t="shared" si="14"/>
        <v>16045</v>
      </c>
      <c r="F127" s="1674">
        <f t="shared" si="14"/>
        <v>7509</v>
      </c>
      <c r="G127" s="1674">
        <f t="shared" si="14"/>
        <v>2670</v>
      </c>
      <c r="H127" s="1674">
        <f t="shared" si="14"/>
        <v>0</v>
      </c>
      <c r="I127" s="1674">
        <f t="shared" si="14"/>
        <v>0</v>
      </c>
      <c r="J127" s="1674">
        <f t="shared" si="14"/>
        <v>0</v>
      </c>
      <c r="K127" s="1674">
        <f t="shared" si="14"/>
        <v>54883</v>
      </c>
      <c r="L127" s="1674">
        <f t="shared" si="14"/>
        <v>61486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28659</v>
      </c>
      <c r="D129" s="1681">
        <f t="shared" ref="D129:L129" si="15">SUM(D120,D127,D128)</f>
        <v>0</v>
      </c>
      <c r="E129" s="1681">
        <f t="shared" si="15"/>
        <v>16045</v>
      </c>
      <c r="F129" s="1681">
        <f t="shared" si="15"/>
        <v>7509</v>
      </c>
      <c r="G129" s="1681">
        <f t="shared" si="15"/>
        <v>2670</v>
      </c>
      <c r="H129" s="1681">
        <f t="shared" si="15"/>
        <v>0</v>
      </c>
      <c r="I129" s="1681">
        <f t="shared" si="15"/>
        <v>0</v>
      </c>
      <c r="J129" s="1681">
        <f t="shared" si="15"/>
        <v>0</v>
      </c>
      <c r="K129" s="1681">
        <f t="shared" si="15"/>
        <v>54883</v>
      </c>
      <c r="L129" s="1681">
        <f t="shared" si="15"/>
        <v>61486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28659</v>
      </c>
      <c r="D151" s="1674">
        <f t="shared" ref="D151:K151" si="16">SUM(D129,D130,D139,D149,D150)</f>
        <v>0</v>
      </c>
      <c r="E151" s="1674">
        <f t="shared" si="16"/>
        <v>16045</v>
      </c>
      <c r="F151" s="1674">
        <f t="shared" si="16"/>
        <v>7509</v>
      </c>
      <c r="G151" s="1674">
        <f t="shared" si="16"/>
        <v>2670</v>
      </c>
      <c r="H151" s="1674">
        <f t="shared" si="16"/>
        <v>0</v>
      </c>
      <c r="I151" s="1674">
        <f t="shared" si="16"/>
        <v>0</v>
      </c>
      <c r="J151" s="1674">
        <f t="shared" si="16"/>
        <v>0</v>
      </c>
      <c r="K151" s="1674">
        <f t="shared" si="16"/>
        <v>54883</v>
      </c>
      <c r="L151" s="1674">
        <f>SUM(L129,L130,L139,L149,L150)</f>
        <v>61486</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29326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7300</v>
      </c>
      <c r="I169" s="1673"/>
      <c r="J169" s="1673"/>
      <c r="K169" s="1672">
        <f>SUM(C169:H169)</f>
        <v>7300</v>
      </c>
      <c r="L169" s="1695">
        <v>7300</v>
      </c>
    </row>
    <row r="170" spans="1:14" ht="33.75" customHeight="1" x14ac:dyDescent="0.2">
      <c r="A170" s="543" t="s">
        <v>1651</v>
      </c>
      <c r="B170" s="545" t="s">
        <v>31</v>
      </c>
      <c r="C170" s="1673"/>
      <c r="D170" s="1673"/>
      <c r="E170" s="1673"/>
      <c r="F170" s="1673"/>
      <c r="G170" s="1673"/>
      <c r="H170" s="1646">
        <v>86000</v>
      </c>
      <c r="I170" s="1673"/>
      <c r="J170" s="1673"/>
      <c r="K170" s="1672">
        <f>SUM(C170:J170)</f>
        <v>86000</v>
      </c>
      <c r="L170" s="1646">
        <v>87500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row>
    <row r="172" spans="1:14" ht="12.75" customHeight="1" thickBot="1" x14ac:dyDescent="0.25">
      <c r="A172" s="1380" t="s">
        <v>633</v>
      </c>
      <c r="B172" s="1381" t="s">
        <v>489</v>
      </c>
      <c r="C172" s="1673"/>
      <c r="D172" s="1673"/>
      <c r="E172" s="1681">
        <f>SUM(E168,E169,E170,E171)</f>
        <v>0</v>
      </c>
      <c r="F172" s="1673"/>
      <c r="G172" s="1673"/>
      <c r="H172" s="1681">
        <f>SUM(H168,H169,H170,H171)</f>
        <v>93800</v>
      </c>
      <c r="I172" s="1684"/>
      <c r="J172" s="1673"/>
      <c r="K172" s="1681">
        <f>SUM(K168,K169,K170,K171)</f>
        <v>93800</v>
      </c>
      <c r="L172" s="1681">
        <f>SUM(L168,L169,L170,L171)</f>
        <v>94800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93800</v>
      </c>
      <c r="I174" s="1684"/>
      <c r="J174" s="1673"/>
      <c r="K174" s="1681">
        <f>SUM(K160,K172,K173)</f>
        <v>93800</v>
      </c>
      <c r="L174" s="1681">
        <f>SUM(L160,L172,L173)</f>
        <v>94800</v>
      </c>
    </row>
    <row r="175" spans="1:14" ht="13.5" thickTop="1" x14ac:dyDescent="0.2">
      <c r="A175" s="2261" t="s">
        <v>989</v>
      </c>
      <c r="B175" s="2262"/>
      <c r="C175" s="1673"/>
      <c r="D175" s="1673"/>
      <c r="E175" s="1673"/>
      <c r="F175" s="1673"/>
      <c r="G175" s="1673"/>
      <c r="H175" s="1675"/>
      <c r="I175" s="1673"/>
      <c r="J175" s="1673"/>
      <c r="K175" s="1689">
        <f>'Revenues 9-14'!E268-'Expenditures 15-22'!K174</f>
        <v>-457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3907</v>
      </c>
      <c r="F182" s="1573"/>
      <c r="G182" s="1573"/>
      <c r="H182" s="1573"/>
      <c r="I182" s="1574"/>
      <c r="J182" s="1574"/>
      <c r="K182" s="1672">
        <f>SUM(C182:J182)</f>
        <v>3907</v>
      </c>
      <c r="L182" s="1573">
        <v>182835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3907</v>
      </c>
      <c r="F184" s="1681">
        <f t="shared" si="17"/>
        <v>0</v>
      </c>
      <c r="G184" s="1681">
        <f t="shared" si="17"/>
        <v>0</v>
      </c>
      <c r="H184" s="1681">
        <f t="shared" si="17"/>
        <v>0</v>
      </c>
      <c r="I184" s="1681">
        <f t="shared" si="17"/>
        <v>0</v>
      </c>
      <c r="J184" s="1681">
        <f t="shared" si="17"/>
        <v>0</v>
      </c>
      <c r="K184" s="1681">
        <f>SUM(K180,K182,K183)</f>
        <v>3907</v>
      </c>
      <c r="L184" s="1681">
        <f>SUM(L180, L182:L183)</f>
        <v>182835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36915</v>
      </c>
      <c r="F188" s="1673"/>
      <c r="G188" s="1673"/>
      <c r="H188" s="1573"/>
      <c r="I188" s="1582"/>
      <c r="J188" s="1673"/>
      <c r="K188" s="1672">
        <f t="shared" ref="K188:K193" si="18">SUM(E188,H188)</f>
        <v>36915</v>
      </c>
      <c r="L188" s="1573"/>
    </row>
    <row r="189" spans="1:14" x14ac:dyDescent="0.2">
      <c r="A189" s="1274" t="s">
        <v>301</v>
      </c>
      <c r="B189" s="503">
        <v>4120</v>
      </c>
      <c r="C189" s="1673"/>
      <c r="D189" s="1673"/>
      <c r="E189" s="1573">
        <v>116983</v>
      </c>
      <c r="F189" s="1673"/>
      <c r="G189" s="1673"/>
      <c r="H189" s="1573"/>
      <c r="I189" s="1582"/>
      <c r="J189" s="1673"/>
      <c r="K189" s="1672">
        <f t="shared" si="18"/>
        <v>116983</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153898</v>
      </c>
      <c r="F194" s="1673"/>
      <c r="G194" s="1673"/>
      <c r="H194" s="1674">
        <f>SUM(H188:H193)</f>
        <v>0</v>
      </c>
      <c r="I194" s="1582"/>
      <c r="J194" s="1673"/>
      <c r="K194" s="1674">
        <f>SUM(K188:K193)</f>
        <v>153898</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153898</v>
      </c>
      <c r="F196" s="1673"/>
      <c r="G196" s="1673"/>
      <c r="H196" s="1681">
        <f>SUM(H194,H195)</f>
        <v>0</v>
      </c>
      <c r="I196" s="1582"/>
      <c r="J196" s="1673"/>
      <c r="K196" s="1681">
        <f>SUM(K194,K195)</f>
        <v>153898</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157805</v>
      </c>
      <c r="F210" s="1674">
        <f>SUM(F184,F185)</f>
        <v>0</v>
      </c>
      <c r="G210" s="1674">
        <f>SUM(G184,G185)</f>
        <v>0</v>
      </c>
      <c r="H210" s="1674">
        <f>SUM(H184,H185,H196,H208,H209)</f>
        <v>0</v>
      </c>
      <c r="I210" s="1674">
        <f>SUM(I184,I185)</f>
        <v>0</v>
      </c>
      <c r="J210" s="1674">
        <f>SUM(J184,J185)</f>
        <v>0</v>
      </c>
      <c r="K210" s="1672">
        <f>SUM(K184,K185,K196,K208,K209)</f>
        <v>157805</v>
      </c>
      <c r="L210" s="1674">
        <f>SUM(L184,L185,L196,L208,L209)</f>
        <v>182835</v>
      </c>
    </row>
    <row r="211" spans="1:14" ht="13.5" thickTop="1" x14ac:dyDescent="0.2">
      <c r="A211" s="2261" t="s">
        <v>989</v>
      </c>
      <c r="B211" s="2262"/>
      <c r="C211" s="1675"/>
      <c r="D211" s="1675"/>
      <c r="E211" s="1675"/>
      <c r="F211" s="1675"/>
      <c r="G211" s="1675"/>
      <c r="H211" s="1675"/>
      <c r="I211" s="1673"/>
      <c r="J211" s="1673"/>
      <c r="K211" s="1689">
        <f>'Revenues 9-14'!F268-'Expenditures 15-22'!K210</f>
        <v>-70304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6145</v>
      </c>
      <c r="E215" s="1673"/>
      <c r="F215" s="1673"/>
      <c r="G215" s="1673"/>
      <c r="H215" s="1673"/>
      <c r="I215" s="1673"/>
      <c r="J215" s="1673"/>
      <c r="K215" s="1672">
        <f>D215</f>
        <v>6145</v>
      </c>
      <c r="L215" s="1573">
        <v>5957</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2934</v>
      </c>
      <c r="E217" s="1673"/>
      <c r="F217" s="1673"/>
      <c r="G217" s="1673"/>
      <c r="H217" s="1673"/>
      <c r="I217" s="1673"/>
      <c r="J217" s="1673"/>
      <c r="K217" s="1672">
        <f t="shared" si="19"/>
        <v>2934</v>
      </c>
      <c r="L217" s="1573">
        <v>4940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142</v>
      </c>
      <c r="E219" s="1673"/>
      <c r="F219" s="1673"/>
      <c r="G219" s="1673"/>
      <c r="H219" s="1673"/>
      <c r="I219" s="1673"/>
      <c r="J219" s="1673"/>
      <c r="K219" s="1672">
        <f t="shared" si="19"/>
        <v>142</v>
      </c>
      <c r="L219" s="1573">
        <v>375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92</v>
      </c>
      <c r="E223" s="1673"/>
      <c r="F223" s="1673"/>
      <c r="G223" s="1673"/>
      <c r="H223" s="1673"/>
      <c r="I223" s="1673"/>
      <c r="J223" s="1673"/>
      <c r="K223" s="1672">
        <f t="shared" si="19"/>
        <v>92</v>
      </c>
      <c r="L223" s="1573">
        <v>60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9313</v>
      </c>
      <c r="E229" s="1673"/>
      <c r="F229" s="1673"/>
      <c r="G229" s="1673"/>
      <c r="H229" s="1673"/>
      <c r="I229" s="1673"/>
      <c r="J229" s="1673"/>
      <c r="K229" s="1674">
        <f>SUM(K215:K228)</f>
        <v>9313</v>
      </c>
      <c r="L229" s="1674">
        <f>SUM(L215:L228)</f>
        <v>11332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218</v>
      </c>
      <c r="E246" s="1673"/>
      <c r="F246" s="1673"/>
      <c r="G246" s="1673"/>
      <c r="H246" s="1673"/>
      <c r="I246" s="1673"/>
      <c r="J246" s="1673"/>
      <c r="K246" s="1678">
        <f t="shared" ref="K246:K256" si="21">D246</f>
        <v>218</v>
      </c>
      <c r="L246" s="1573"/>
    </row>
    <row r="247" spans="1:12" x14ac:dyDescent="0.2">
      <c r="A247" s="1274" t="s">
        <v>814</v>
      </c>
      <c r="B247" s="503">
        <v>2330</v>
      </c>
      <c r="C247" s="1673"/>
      <c r="D247" s="1573">
        <v>58</v>
      </c>
      <c r="E247" s="1673"/>
      <c r="F247" s="1673"/>
      <c r="G247" s="1673"/>
      <c r="H247" s="1673"/>
      <c r="I247" s="1673"/>
      <c r="J247" s="1673"/>
      <c r="K247" s="1678">
        <f t="shared" si="21"/>
        <v>58</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546</v>
      </c>
      <c r="E254" s="1673"/>
      <c r="F254" s="1673"/>
      <c r="G254" s="1673"/>
      <c r="H254" s="1673"/>
      <c r="I254" s="1673"/>
      <c r="J254" s="1673"/>
      <c r="K254" s="1678">
        <f t="shared" si="21"/>
        <v>546</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822</v>
      </c>
      <c r="E257" s="1673"/>
      <c r="F257" s="1673"/>
      <c r="G257" s="1673"/>
      <c r="H257" s="1673"/>
      <c r="I257" s="1673"/>
      <c r="J257" s="1673"/>
      <c r="K257" s="1674">
        <f>SUM(K245:K256)</f>
        <v>822</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2986</v>
      </c>
      <c r="E259" s="1673"/>
      <c r="F259" s="1673"/>
      <c r="G259" s="1673"/>
      <c r="H259" s="1673"/>
      <c r="I259" s="1673"/>
      <c r="J259" s="1673"/>
      <c r="K259" s="1678">
        <f>D259</f>
        <v>2986</v>
      </c>
      <c r="L259" s="1586">
        <v>4655</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2986</v>
      </c>
      <c r="E261" s="1673"/>
      <c r="F261" s="1673"/>
      <c r="G261" s="1673"/>
      <c r="H261" s="1673"/>
      <c r="I261" s="1673"/>
      <c r="J261" s="1673"/>
      <c r="K261" s="1674">
        <f>SUM(K259:K260)</f>
        <v>2986</v>
      </c>
      <c r="L261" s="1674">
        <f>SUM(L259:L260)</f>
        <v>4655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370</v>
      </c>
      <c r="E264" s="1673"/>
      <c r="F264" s="1673"/>
      <c r="G264" s="1673"/>
      <c r="H264" s="1673"/>
      <c r="I264" s="1673"/>
      <c r="J264" s="1673"/>
      <c r="K264" s="1678">
        <f t="shared" ref="K264:K269" si="22">D264</f>
        <v>370</v>
      </c>
      <c r="L264" s="1573">
        <v>375</v>
      </c>
    </row>
    <row r="265" spans="1:14" x14ac:dyDescent="0.2">
      <c r="A265" s="1274" t="s">
        <v>4</v>
      </c>
      <c r="B265" s="503">
        <v>2530</v>
      </c>
      <c r="C265" s="1673"/>
      <c r="D265" s="1573">
        <v>2402</v>
      </c>
      <c r="E265" s="1673"/>
      <c r="F265" s="1673"/>
      <c r="G265" s="1673"/>
      <c r="H265" s="1673"/>
      <c r="I265" s="1673"/>
      <c r="J265" s="1673"/>
      <c r="K265" s="1678">
        <f t="shared" si="22"/>
        <v>2402</v>
      </c>
      <c r="L265" s="1573">
        <v>3430</v>
      </c>
    </row>
    <row r="266" spans="1:14" x14ac:dyDescent="0.2">
      <c r="A266" s="1274" t="s">
        <v>195</v>
      </c>
      <c r="B266" s="503">
        <v>2540</v>
      </c>
      <c r="C266" s="1673"/>
      <c r="D266" s="1573">
        <v>919</v>
      </c>
      <c r="E266" s="1673"/>
      <c r="F266" s="1673"/>
      <c r="G266" s="1673"/>
      <c r="H266" s="1673"/>
      <c r="I266" s="1673"/>
      <c r="J266" s="1673"/>
      <c r="K266" s="1678">
        <f t="shared" si="22"/>
        <v>919</v>
      </c>
      <c r="L266" s="1573">
        <v>525</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2002</v>
      </c>
      <c r="E268" s="1673"/>
      <c r="F268" s="1673"/>
      <c r="G268" s="1673"/>
      <c r="H268" s="1673"/>
      <c r="I268" s="1673"/>
      <c r="J268" s="1673"/>
      <c r="K268" s="1678">
        <f t="shared" si="22"/>
        <v>2002</v>
      </c>
      <c r="L268" s="1573">
        <v>4075</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5693</v>
      </c>
      <c r="E270" s="1673"/>
      <c r="F270" s="1673"/>
      <c r="G270" s="1673"/>
      <c r="H270" s="1673"/>
      <c r="I270" s="1673"/>
      <c r="J270" s="1673"/>
      <c r="K270" s="1674">
        <f>SUM(K263:K269)</f>
        <v>5693</v>
      </c>
      <c r="L270" s="1674">
        <f>SUM(L263:L269)</f>
        <v>8405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9501</v>
      </c>
      <c r="E279" s="1673"/>
      <c r="F279" s="1673"/>
      <c r="G279" s="1673"/>
      <c r="H279" s="1673"/>
      <c r="I279" s="1673"/>
      <c r="J279" s="1673"/>
      <c r="K279" s="1681">
        <f>SUM(K238,K243,K257,K261,K270,K277,K278)</f>
        <v>9501</v>
      </c>
      <c r="L279" s="1681">
        <f>SUM(L238,L243,L257,L261,L270,L277,L278)</f>
        <v>13060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18814</v>
      </c>
      <c r="E295" s="1673"/>
      <c r="F295" s="1673"/>
      <c r="G295" s="1673"/>
      <c r="H295" s="1674">
        <f>H293</f>
        <v>0</v>
      </c>
      <c r="I295" s="1673"/>
      <c r="J295" s="1673"/>
      <c r="K295" s="1674">
        <f>SUM(K229,K279,K280,K285,K293,K294)</f>
        <v>18814</v>
      </c>
      <c r="L295" s="1674">
        <f>SUM(L229,L279,L280,L285,L293,L294)</f>
        <v>24392</v>
      </c>
    </row>
    <row r="296" spans="1:14" ht="13.5" thickTop="1" x14ac:dyDescent="0.2">
      <c r="A296" s="2261" t="s">
        <v>989</v>
      </c>
      <c r="B296" s="2262"/>
      <c r="C296" s="1673"/>
      <c r="D296" s="1675"/>
      <c r="E296" s="1673"/>
      <c r="F296" s="1673"/>
      <c r="G296" s="1673"/>
      <c r="H296" s="1707"/>
      <c r="I296" s="1673"/>
      <c r="J296" s="1673"/>
      <c r="K296" s="1689">
        <f>'Revenues 9-14'!G268-'Expenditures 15-22'!K295</f>
        <v>-8802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13610</v>
      </c>
      <c r="F320" s="1574"/>
      <c r="G320" s="1574"/>
      <c r="H320" s="1574"/>
      <c r="I320" s="1574"/>
      <c r="J320" s="1574"/>
      <c r="K320" s="1672">
        <f t="shared" ref="K320:K327" si="24">SUM(C320:J320)</f>
        <v>13610</v>
      </c>
      <c r="L320" s="1574">
        <v>13610</v>
      </c>
      <c r="M320" s="539"/>
      <c r="N320" s="539"/>
    </row>
    <row r="321" spans="1:14" s="548" customFormat="1" x14ac:dyDescent="0.2">
      <c r="A321" s="1289" t="s">
        <v>297</v>
      </c>
      <c r="B321" s="567" t="s">
        <v>281</v>
      </c>
      <c r="C321" s="1574"/>
      <c r="D321" s="1574"/>
      <c r="E321" s="1574">
        <v>3820</v>
      </c>
      <c r="F321" s="1574"/>
      <c r="G321" s="1574"/>
      <c r="H321" s="1574"/>
      <c r="I321" s="1574"/>
      <c r="J321" s="1574"/>
      <c r="K321" s="1672">
        <f t="shared" si="24"/>
        <v>3820</v>
      </c>
      <c r="L321" s="1574">
        <v>2000</v>
      </c>
      <c r="M321" s="539"/>
      <c r="N321" s="539"/>
    </row>
    <row r="322" spans="1:14" s="548" customFormat="1" x14ac:dyDescent="0.2">
      <c r="A322" s="1289" t="s">
        <v>236</v>
      </c>
      <c r="B322" s="567" t="s">
        <v>282</v>
      </c>
      <c r="C322" s="1574"/>
      <c r="D322" s="1574"/>
      <c r="E322" s="1574">
        <v>10634</v>
      </c>
      <c r="F322" s="1574"/>
      <c r="G322" s="1574"/>
      <c r="H322" s="1574"/>
      <c r="I322" s="1574"/>
      <c r="J322" s="1574"/>
      <c r="K322" s="1672">
        <f t="shared" si="24"/>
        <v>10634</v>
      </c>
      <c r="L322" s="1574">
        <v>10634</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28572</v>
      </c>
      <c r="D325" s="1574">
        <v>3321</v>
      </c>
      <c r="E325" s="1574"/>
      <c r="F325" s="1574"/>
      <c r="G325" s="1574"/>
      <c r="H325" s="1574"/>
      <c r="I325" s="1574"/>
      <c r="J325" s="1574"/>
      <c r="K325" s="1672">
        <f t="shared" si="24"/>
        <v>31893</v>
      </c>
      <c r="L325" s="1574">
        <v>37241</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7678</v>
      </c>
      <c r="F327" s="1574"/>
      <c r="G327" s="1574"/>
      <c r="H327" s="1574"/>
      <c r="I327" s="1574"/>
      <c r="J327" s="1574"/>
      <c r="K327" s="1672">
        <f t="shared" si="24"/>
        <v>7678</v>
      </c>
      <c r="L327" s="1574">
        <v>7678</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28572</v>
      </c>
      <c r="D330" s="1674">
        <f t="shared" ref="D330:J330" si="25">SUM(D319:D329)</f>
        <v>3321</v>
      </c>
      <c r="E330" s="1674">
        <f t="shared" si="25"/>
        <v>35742</v>
      </c>
      <c r="F330" s="1674">
        <f t="shared" si="25"/>
        <v>0</v>
      </c>
      <c r="G330" s="1674">
        <f t="shared" si="25"/>
        <v>0</v>
      </c>
      <c r="H330" s="1674">
        <f t="shared" si="25"/>
        <v>0</v>
      </c>
      <c r="I330" s="1674">
        <f t="shared" si="25"/>
        <v>0</v>
      </c>
      <c r="J330" s="1674">
        <f t="shared" si="25"/>
        <v>0</v>
      </c>
      <c r="K330" s="1674">
        <f>SUM(K319:K329)</f>
        <v>67635</v>
      </c>
      <c r="L330" s="1674">
        <f>SUM(L319:L329)</f>
        <v>71163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28572</v>
      </c>
      <c r="D342" s="1674">
        <f>SUM(D330)</f>
        <v>3321</v>
      </c>
      <c r="E342" s="1674">
        <f>SUM(E330)</f>
        <v>35742</v>
      </c>
      <c r="F342" s="1674">
        <f>SUM(F330)</f>
        <v>0</v>
      </c>
      <c r="G342" s="1674">
        <f>SUM(G330)</f>
        <v>0</v>
      </c>
      <c r="H342" s="1674">
        <f>SUM(H330,H334,H340)</f>
        <v>0</v>
      </c>
      <c r="I342" s="1674">
        <f>SUM(I330)</f>
        <v>0</v>
      </c>
      <c r="J342" s="1674">
        <f>SUM(J330)</f>
        <v>0</v>
      </c>
      <c r="K342" s="1674">
        <f>SUM(K330,K334,K340)</f>
        <v>67635</v>
      </c>
      <c r="L342" s="1681">
        <f>SUM(L330,L334,L340,L341)</f>
        <v>71163</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-7620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338</v>
      </c>
      <c r="F348" s="1573"/>
      <c r="G348" s="1573">
        <v>1008</v>
      </c>
      <c r="H348" s="1573"/>
      <c r="I348" s="1574"/>
      <c r="J348" s="1574"/>
      <c r="K348" s="1672">
        <f>SUM(C348:J348)</f>
        <v>1346</v>
      </c>
      <c r="L348" s="1573">
        <v>67500</v>
      </c>
    </row>
    <row r="349" spans="1:14" x14ac:dyDescent="0.2">
      <c r="A349" s="1274" t="s">
        <v>195</v>
      </c>
      <c r="B349" s="503">
        <v>2540</v>
      </c>
      <c r="C349" s="1573"/>
      <c r="D349" s="1573"/>
      <c r="E349" s="1573">
        <v>960</v>
      </c>
      <c r="F349" s="1573"/>
      <c r="G349" s="1573"/>
      <c r="H349" s="1573"/>
      <c r="I349" s="1574"/>
      <c r="J349" s="1574"/>
      <c r="K349" s="1672">
        <f>SUM(C349:J349)</f>
        <v>960</v>
      </c>
      <c r="L349" s="1573">
        <v>2500</v>
      </c>
    </row>
    <row r="350" spans="1:14" ht="12.75" customHeight="1" thickBot="1" x14ac:dyDescent="0.25">
      <c r="A350" s="1380" t="s">
        <v>714</v>
      </c>
      <c r="B350" s="1381" t="s">
        <v>35</v>
      </c>
      <c r="C350" s="1674">
        <f>SUM(C348:C349)</f>
        <v>0</v>
      </c>
      <c r="D350" s="1674">
        <f t="shared" ref="D350:L350" si="26">SUM(D348:D349)</f>
        <v>0</v>
      </c>
      <c r="E350" s="1674">
        <f t="shared" si="26"/>
        <v>1298</v>
      </c>
      <c r="F350" s="1674">
        <f t="shared" si="26"/>
        <v>0</v>
      </c>
      <c r="G350" s="1674">
        <f t="shared" si="26"/>
        <v>1008</v>
      </c>
      <c r="H350" s="1674">
        <f t="shared" si="26"/>
        <v>0</v>
      </c>
      <c r="I350" s="1674">
        <f t="shared" si="26"/>
        <v>0</v>
      </c>
      <c r="J350" s="1674">
        <f t="shared" si="26"/>
        <v>0</v>
      </c>
      <c r="K350" s="1674">
        <f t="shared" si="26"/>
        <v>2306</v>
      </c>
      <c r="L350" s="1674">
        <f t="shared" si="26"/>
        <v>70000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1298</v>
      </c>
      <c r="F352" s="1674">
        <f t="shared" si="27"/>
        <v>0</v>
      </c>
      <c r="G352" s="1674">
        <f t="shared" si="27"/>
        <v>1008</v>
      </c>
      <c r="H352" s="1674">
        <f t="shared" si="27"/>
        <v>0</v>
      </c>
      <c r="I352" s="1674">
        <f t="shared" si="27"/>
        <v>0</v>
      </c>
      <c r="J352" s="1674">
        <f t="shared" si="27"/>
        <v>0</v>
      </c>
      <c r="K352" s="1674">
        <f t="shared" si="27"/>
        <v>2306</v>
      </c>
      <c r="L352" s="1674">
        <f t="shared" si="27"/>
        <v>70000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1298</v>
      </c>
      <c r="F367" s="1674">
        <f t="shared" si="28"/>
        <v>0</v>
      </c>
      <c r="G367" s="1674">
        <f t="shared" si="28"/>
        <v>1008</v>
      </c>
      <c r="H367" s="1674">
        <f t="shared" si="28"/>
        <v>0</v>
      </c>
      <c r="I367" s="1674">
        <f t="shared" si="28"/>
        <v>0</v>
      </c>
      <c r="J367" s="1674">
        <f t="shared" si="28"/>
        <v>0</v>
      </c>
      <c r="K367" s="1674">
        <f t="shared" si="28"/>
        <v>2306</v>
      </c>
      <c r="L367" s="1674">
        <f t="shared" si="28"/>
        <v>70000</v>
      </c>
    </row>
    <row r="368" spans="1:14" ht="13.5" thickTop="1" x14ac:dyDescent="0.2">
      <c r="A368" s="2261" t="s">
        <v>989</v>
      </c>
      <c r="B368" s="2262"/>
      <c r="C368" s="1694"/>
      <c r="D368" s="1694"/>
      <c r="E368" s="1677"/>
      <c r="F368" s="1677"/>
      <c r="G368" s="1677"/>
      <c r="H368" s="1677"/>
      <c r="I368" s="1677"/>
      <c r="J368" s="1676"/>
      <c r="K368" s="1672">
        <f>'Revenues 9-14'!K268-'Expenditures 15-22'!K367</f>
        <v>6716</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I13" sqref="I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290496</v>
      </c>
      <c r="C4" s="1722"/>
      <c r="D4" s="1723">
        <f>B4-C4</f>
        <v>290496</v>
      </c>
      <c r="E4" s="1722">
        <v>302097</v>
      </c>
      <c r="F4" s="1723">
        <f>E4-C4</f>
        <v>302097</v>
      </c>
    </row>
    <row r="5" spans="1:8" ht="13.7" customHeight="1" x14ac:dyDescent="0.2">
      <c r="A5" s="579" t="s">
        <v>865</v>
      </c>
      <c r="B5" s="1724">
        <f>'Revenues 9-14'!D5</f>
        <v>45109</v>
      </c>
      <c r="C5" s="1664"/>
      <c r="D5" s="1725">
        <f t="shared" ref="D5:D18" si="0">B5-C5</f>
        <v>45109</v>
      </c>
      <c r="E5" s="1664">
        <v>46910</v>
      </c>
      <c r="F5" s="1725">
        <f>E5-C5</f>
        <v>46910</v>
      </c>
    </row>
    <row r="6" spans="1:8" ht="13.7" customHeight="1" x14ac:dyDescent="0.2">
      <c r="A6" s="579" t="s">
        <v>408</v>
      </c>
      <c r="B6" s="1724">
        <f>'Revenues 9-14'!E5</f>
        <v>93343</v>
      </c>
      <c r="C6" s="1664"/>
      <c r="D6" s="1725">
        <f t="shared" si="0"/>
        <v>93343</v>
      </c>
      <c r="E6" s="1664">
        <v>93980</v>
      </c>
      <c r="F6" s="1725">
        <f t="shared" ref="F6:F18" si="1">E6-C6</f>
        <v>93980</v>
      </c>
    </row>
    <row r="7" spans="1:8" ht="13.7" customHeight="1" x14ac:dyDescent="0.2">
      <c r="A7" s="579" t="s">
        <v>154</v>
      </c>
      <c r="B7" s="1724">
        <f>'Revenues 9-14'!F5</f>
        <v>21651</v>
      </c>
      <c r="C7" s="1664"/>
      <c r="D7" s="1725">
        <f t="shared" si="0"/>
        <v>21651</v>
      </c>
      <c r="E7" s="1664">
        <v>22517</v>
      </c>
      <c r="F7" s="1725">
        <f t="shared" si="1"/>
        <v>22517</v>
      </c>
    </row>
    <row r="8" spans="1:8" ht="13.7" customHeight="1" x14ac:dyDescent="0.2">
      <c r="A8" s="579" t="s">
        <v>1169</v>
      </c>
      <c r="B8" s="1724">
        <f>'Revenues 9-14'!G5</f>
        <v>5006</v>
      </c>
      <c r="C8" s="1664"/>
      <c r="D8" s="1725">
        <f t="shared" si="0"/>
        <v>5006</v>
      </c>
      <c r="E8" s="1664">
        <v>6001</v>
      </c>
      <c r="F8" s="1725">
        <f t="shared" si="1"/>
        <v>6001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9021</v>
      </c>
      <c r="C10" s="1664"/>
      <c r="D10" s="1725">
        <f t="shared" si="0"/>
        <v>9021</v>
      </c>
      <c r="E10" s="1664">
        <v>9382</v>
      </c>
      <c r="F10" s="1725">
        <f t="shared" si="1"/>
        <v>9382</v>
      </c>
    </row>
    <row r="11" spans="1:8" x14ac:dyDescent="0.2">
      <c r="A11" s="579" t="s">
        <v>406</v>
      </c>
      <c r="B11" s="1724">
        <f>'Revenues 9-14'!J5</f>
        <v>60015</v>
      </c>
      <c r="C11" s="1664"/>
      <c r="D11" s="1725">
        <f t="shared" si="0"/>
        <v>60015</v>
      </c>
      <c r="E11" s="1664">
        <v>65000</v>
      </c>
      <c r="F11" s="1725">
        <f t="shared" si="1"/>
        <v>65000</v>
      </c>
    </row>
    <row r="12" spans="1:8" ht="13.7" customHeight="1" x14ac:dyDescent="0.2">
      <c r="A12" s="579" t="s">
        <v>156</v>
      </c>
      <c r="B12" s="1724">
        <f>'Revenues 9-14'!K5</f>
        <v>9022</v>
      </c>
      <c r="C12" s="1664"/>
      <c r="D12" s="1725">
        <f t="shared" si="0"/>
        <v>9022</v>
      </c>
      <c r="E12" s="1664">
        <v>9382</v>
      </c>
      <c r="F12" s="1725">
        <f t="shared" si="1"/>
        <v>9382</v>
      </c>
    </row>
    <row r="13" spans="1:8" ht="13.7" customHeight="1" x14ac:dyDescent="0.2">
      <c r="A13" s="579" t="s">
        <v>930</v>
      </c>
      <c r="B13" s="1724">
        <f>SUM('Revenues 9-14'!C6:D6)</f>
        <v>9022</v>
      </c>
      <c r="C13" s="1664"/>
      <c r="D13" s="1725">
        <f t="shared" si="0"/>
        <v>9022</v>
      </c>
      <c r="E13" s="1664">
        <v>9382</v>
      </c>
      <c r="F13" s="1725">
        <f t="shared" si="1"/>
        <v>9382</v>
      </c>
    </row>
    <row r="14" spans="1:8" ht="13.7" customHeight="1" x14ac:dyDescent="0.2">
      <c r="A14" s="579" t="s">
        <v>407</v>
      </c>
      <c r="B14" s="1724">
        <f>SUM('Revenues 9-14'!C7:D7,'Revenues 9-14'!F7:H7)</f>
        <v>3609</v>
      </c>
      <c r="C14" s="1664"/>
      <c r="D14" s="1725">
        <f t="shared" si="0"/>
        <v>3609</v>
      </c>
      <c r="E14" s="1664">
        <v>3753</v>
      </c>
      <c r="F14" s="1725">
        <f t="shared" si="1"/>
        <v>3753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5006</v>
      </c>
      <c r="C16" s="1664"/>
      <c r="D16" s="1725">
        <f t="shared" si="0"/>
        <v>5006</v>
      </c>
      <c r="E16" s="1664">
        <v>6001</v>
      </c>
      <c r="F16" s="1725">
        <f t="shared" si="1"/>
        <v>6001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551300</v>
      </c>
      <c r="C19" s="1726">
        <f>SUM(C4:C18)</f>
        <v>0</v>
      </c>
      <c r="D19" s="1726">
        <f>SUM(D4:D18)</f>
        <v>551300</v>
      </c>
      <c r="E19" s="1726">
        <f>SUM(E4:E18)</f>
        <v>574405</v>
      </c>
      <c r="F19" s="1726">
        <f>SUM(F4:F18)</f>
        <v>574405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I13" sqref="I1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2062</v>
      </c>
      <c r="B31" s="595">
        <v>43097</v>
      </c>
      <c r="C31" s="1734">
        <v>154000</v>
      </c>
      <c r="D31" s="1735">
        <v>1</v>
      </c>
      <c r="E31" s="1734">
        <v>154000</v>
      </c>
      <c r="F31" s="1734"/>
      <c r="G31" s="1734"/>
      <c r="H31" s="1734">
        <v>86000</v>
      </c>
      <c r="I31" s="1736">
        <f>((E31+F31)-H31)+G31</f>
        <v>68000</v>
      </c>
      <c r="J31" s="1734">
        <v>68000</v>
      </c>
      <c r="K31" s="596"/>
    </row>
    <row r="32" spans="1:11" ht="12" customHeight="1" x14ac:dyDescent="0.2">
      <c r="A32" s="594" t="s">
        <v>2063</v>
      </c>
      <c r="B32" s="595">
        <v>43859</v>
      </c>
      <c r="C32" s="1734">
        <v>500000</v>
      </c>
      <c r="D32" s="1735">
        <v>1</v>
      </c>
      <c r="E32" s="1734"/>
      <c r="F32" s="1734">
        <v>500000</v>
      </c>
      <c r="G32" s="1734"/>
      <c r="H32" s="1734"/>
      <c r="I32" s="1736">
        <f>((E32+F32)-H32)+G32</f>
        <v>500000</v>
      </c>
      <c r="J32" s="1734">
        <v>497404</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654000</v>
      </c>
      <c r="D49" s="1742"/>
      <c r="E49" s="1736">
        <f t="shared" ref="E49:J49" si="2">SUM(E31:E48)</f>
        <v>154000</v>
      </c>
      <c r="F49" s="1736">
        <f t="shared" si="2"/>
        <v>500000</v>
      </c>
      <c r="G49" s="1736">
        <f t="shared" si="2"/>
        <v>0</v>
      </c>
      <c r="H49" s="1736">
        <f t="shared" si="2"/>
        <v>86000</v>
      </c>
      <c r="I49" s="1736">
        <f t="shared" si="2"/>
        <v>568000</v>
      </c>
      <c r="J49" s="1736">
        <f t="shared" si="2"/>
        <v>565404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1" colorId="8" zoomScale="110" zoomScaleNormal="110" workbookViewId="0">
      <selection activeCell="I13" sqref="I1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3609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3609</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3609</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3609</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16260</v>
      </c>
      <c r="D5" s="1770"/>
      <c r="E5" s="1770"/>
      <c r="F5" s="1765">
        <f>(C5+D5)-E5</f>
        <v>16260</v>
      </c>
      <c r="G5" s="676"/>
      <c r="H5" s="680"/>
      <c r="I5" s="680"/>
      <c r="J5" s="680"/>
      <c r="K5" s="637"/>
      <c r="L5" s="1442">
        <f>F5-K5</f>
        <v>16260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812084</v>
      </c>
      <c r="D8" s="1771"/>
      <c r="E8" s="1771"/>
      <c r="F8" s="1765">
        <f>(C8+D8)-E8</f>
        <v>812084</v>
      </c>
      <c r="G8" s="681">
        <v>50</v>
      </c>
      <c r="H8" s="619">
        <v>439491</v>
      </c>
      <c r="I8" s="619">
        <v>16176</v>
      </c>
      <c r="J8" s="619"/>
      <c r="K8" s="1442">
        <f>(H8+I8)-J8</f>
        <v>455667</v>
      </c>
      <c r="L8" s="1442">
        <f>F8-K8</f>
        <v>356417</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16994</v>
      </c>
      <c r="D10" s="1772"/>
      <c r="E10" s="1772"/>
      <c r="F10" s="1773">
        <f>(C10+D10)-E10</f>
        <v>16994</v>
      </c>
      <c r="G10" s="681">
        <v>20</v>
      </c>
      <c r="H10" s="683">
        <v>16994</v>
      </c>
      <c r="I10" s="683"/>
      <c r="J10" s="683"/>
      <c r="K10" s="1442">
        <f>(H10+I10)-J10</f>
        <v>16994</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360139</v>
      </c>
      <c r="D12" s="1771">
        <v>2670</v>
      </c>
      <c r="E12" s="1771"/>
      <c r="F12" s="1765">
        <f>(C12+D12)-E12</f>
        <v>362809</v>
      </c>
      <c r="G12" s="681">
        <v>10</v>
      </c>
      <c r="H12" s="619">
        <v>338489</v>
      </c>
      <c r="I12" s="619">
        <v>3714</v>
      </c>
      <c r="J12" s="619"/>
      <c r="K12" s="1442">
        <f>(H12+I12)-J12</f>
        <v>342203</v>
      </c>
      <c r="L12" s="1442">
        <f>F12-K12</f>
        <v>20606</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1205477</v>
      </c>
      <c r="D16" s="1765">
        <f>SUM(D3,D5:D6,D8:D10,D12:D15)</f>
        <v>2670</v>
      </c>
      <c r="E16" s="1765">
        <f>SUM(E3,E5:E6,E8:E10,E12:E15)</f>
        <v>0</v>
      </c>
      <c r="F16" s="1765">
        <f>SUM(F3,F5:F6,F8:F10,F12:F15)</f>
        <v>1208147</v>
      </c>
      <c r="G16" s="681"/>
      <c r="H16" s="1435">
        <f>SUM(H3,H6,H8:H10,H12:H14,)</f>
        <v>794974</v>
      </c>
      <c r="I16" s="1435">
        <f>SUM(I3,I6,I8:I10,I12:I14,)</f>
        <v>19890</v>
      </c>
      <c r="J16" s="1435">
        <f>SUM(J3,J6,J8:J10,J12:J14,)</f>
        <v>0</v>
      </c>
      <c r="K16" s="1435">
        <f>(H16+I16)-J16</f>
        <v>814864</v>
      </c>
      <c r="L16" s="1435">
        <f>F16-K16</f>
        <v>393283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19890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3"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1281170</v>
      </c>
      <c r="G8" s="701"/>
    </row>
    <row r="9" spans="1:9" x14ac:dyDescent="0.2">
      <c r="A9" s="705" t="s">
        <v>457</v>
      </c>
      <c r="B9" s="706" t="s">
        <v>1848</v>
      </c>
      <c r="C9" s="707"/>
      <c r="D9" s="705" t="s">
        <v>498</v>
      </c>
      <c r="E9" s="704"/>
      <c r="F9" s="1775">
        <f>'Expenditures 15-22'!K151</f>
        <v>54883</v>
      </c>
      <c r="G9" s="708"/>
    </row>
    <row r="10" spans="1:9" x14ac:dyDescent="0.2">
      <c r="A10" s="705" t="s">
        <v>496</v>
      </c>
      <c r="B10" s="706" t="s">
        <v>1849</v>
      </c>
      <c r="C10" s="707"/>
      <c r="D10" s="705" t="s">
        <v>498</v>
      </c>
      <c r="E10" s="704"/>
      <c r="F10" s="1775">
        <f>'Expenditures 15-22'!K174</f>
        <v>93800</v>
      </c>
      <c r="G10" s="708"/>
    </row>
    <row r="11" spans="1:9" x14ac:dyDescent="0.2">
      <c r="A11" s="705" t="s">
        <v>458</v>
      </c>
      <c r="B11" s="706" t="s">
        <v>1850</v>
      </c>
      <c r="C11" s="707"/>
      <c r="D11" s="705" t="s">
        <v>498</v>
      </c>
      <c r="E11" s="704"/>
      <c r="F11" s="1775">
        <f>'Expenditures 15-22'!K210</f>
        <v>157805</v>
      </c>
      <c r="G11" s="708"/>
    </row>
    <row r="12" spans="1:9" x14ac:dyDescent="0.2">
      <c r="A12" s="705" t="s">
        <v>459</v>
      </c>
      <c r="B12" s="706" t="s">
        <v>1851</v>
      </c>
      <c r="C12" s="707"/>
      <c r="D12" s="705" t="s">
        <v>498</v>
      </c>
      <c r="E12" s="704"/>
      <c r="F12" s="1775">
        <f>'Expenditures 15-22'!K295</f>
        <v>18814</v>
      </c>
      <c r="G12" s="708"/>
    </row>
    <row r="13" spans="1:9" x14ac:dyDescent="0.2">
      <c r="A13" s="705" t="s">
        <v>106</v>
      </c>
      <c r="B13" s="706" t="s">
        <v>1852</v>
      </c>
      <c r="C13" s="707"/>
      <c r="D13" s="705" t="s">
        <v>498</v>
      </c>
      <c r="E13" s="704"/>
      <c r="F13" s="1775">
        <f>'Expenditures 15-22'!K342</f>
        <v>67635</v>
      </c>
      <c r="G13" s="709"/>
    </row>
    <row r="14" spans="1:9" ht="12" customHeight="1" thickBot="1" x14ac:dyDescent="0.25">
      <c r="A14" s="1443"/>
      <c r="B14" s="1444"/>
      <c r="C14" s="1445"/>
      <c r="D14" s="1446" t="s">
        <v>498</v>
      </c>
      <c r="E14" s="1447" t="s">
        <v>952</v>
      </c>
      <c r="F14" s="1776">
        <f>SUM(F8:F13)</f>
        <v>1674107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362580</v>
      </c>
      <c r="G53" s="701"/>
    </row>
    <row r="54" spans="1:7" x14ac:dyDescent="0.2">
      <c r="A54" s="705" t="s">
        <v>456</v>
      </c>
      <c r="B54" s="705" t="s">
        <v>1459</v>
      </c>
      <c r="C54" s="724" t="s">
        <v>975</v>
      </c>
      <c r="D54" s="720" t="s">
        <v>1086</v>
      </c>
      <c r="E54" s="704"/>
      <c r="F54" s="1782">
        <f>'Expenditures 15-22'!G114</f>
        <v>14733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2670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153898</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619881</v>
      </c>
      <c r="G77" s="701"/>
    </row>
    <row r="78" spans="1:9" s="728" customFormat="1" ht="12" customHeight="1" thickTop="1" thickBot="1" x14ac:dyDescent="0.25">
      <c r="A78" s="1450"/>
      <c r="B78" s="1448"/>
      <c r="C78" s="1445"/>
      <c r="D78" s="1449" t="s">
        <v>2012</v>
      </c>
      <c r="E78" s="1447"/>
      <c r="F78" s="1788">
        <f>(F14-F77)</f>
        <v>1054226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97.29</v>
      </c>
      <c r="G79" s="733"/>
      <c r="H79" s="705"/>
      <c r="I79" s="705"/>
    </row>
    <row r="80" spans="1:9" s="728" customFormat="1" ht="12" customHeight="1" thickBot="1" x14ac:dyDescent="0.25">
      <c r="A80" s="1452"/>
      <c r="B80" s="1448"/>
      <c r="C80" s="1445"/>
      <c r="D80" s="1449" t="s">
        <v>2013</v>
      </c>
      <c r="E80" s="1447" t="s">
        <v>952</v>
      </c>
      <c r="F80" s="1790">
        <f>IF(F79&gt;0,F78/F79," Complete Line 79")</f>
        <v>10835.913249049234</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9549</v>
      </c>
      <c r="G95" s="745"/>
    </row>
    <row r="96" spans="1:7" x14ac:dyDescent="0.2">
      <c r="A96" s="741" t="s">
        <v>139</v>
      </c>
      <c r="B96" s="741" t="s">
        <v>174</v>
      </c>
      <c r="C96" s="743">
        <v>1700</v>
      </c>
      <c r="D96" s="751" t="str">
        <f>'Revenues 9-14'!A82</f>
        <v>Total District/School Activity Income</v>
      </c>
      <c r="E96" s="739"/>
      <c r="F96" s="1793">
        <f>SUM('Revenues 9-14'!C82,'Revenues 9-14'!D82)</f>
        <v>379</v>
      </c>
      <c r="G96" s="745"/>
    </row>
    <row r="97" spans="1:7" x14ac:dyDescent="0.2">
      <c r="A97" s="741" t="s">
        <v>456</v>
      </c>
      <c r="B97" s="741" t="s">
        <v>175</v>
      </c>
      <c r="C97" s="743">
        <f>'Revenues 9-14'!B84</f>
        <v>1811</v>
      </c>
      <c r="D97" s="744" t="str">
        <f>'Revenues 9-14'!A84</f>
        <v>Rentals - Regular Textbooks</v>
      </c>
      <c r="E97" s="739"/>
      <c r="F97" s="1793">
        <f>'Revenues 9-14'!C84</f>
        <v>4380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54099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372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65850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39100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32864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44802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840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15154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6112</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274251</v>
      </c>
    </row>
    <row r="176" spans="1:7" ht="12" customHeight="1" x14ac:dyDescent="0.2">
      <c r="A176" s="1443"/>
      <c r="B176" s="1453"/>
      <c r="C176" s="1454"/>
      <c r="D176" s="1455" t="s">
        <v>2014</v>
      </c>
      <c r="E176" s="1456"/>
      <c r="F176" s="1793">
        <f>'PCTC-OEPP 27-28'!F78-F175</f>
        <v>779975</v>
      </c>
    </row>
    <row r="177" spans="1:9" ht="12" customHeight="1" x14ac:dyDescent="0.2">
      <c r="A177" s="1443"/>
      <c r="B177" s="1453"/>
      <c r="C177" s="1454"/>
      <c r="D177" s="1455" t="s">
        <v>1794</v>
      </c>
      <c r="E177" s="1456"/>
      <c r="F177" s="1793">
        <f>'Cap Outlay Deprec 26'!I18</f>
        <v>19890</v>
      </c>
    </row>
    <row r="178" spans="1:9" ht="12" customHeight="1" x14ac:dyDescent="0.2">
      <c r="A178" s="1443"/>
      <c r="B178" s="1453"/>
      <c r="C178" s="1454"/>
      <c r="D178" s="1455" t="s">
        <v>2015</v>
      </c>
      <c r="E178" s="1456"/>
      <c r="F178" s="1793">
        <f>F176+F177</f>
        <v>799865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97.29</v>
      </c>
      <c r="G179" s="763"/>
      <c r="I179" s="701"/>
    </row>
    <row r="180" spans="1:9" ht="12" customHeight="1" thickBot="1" x14ac:dyDescent="0.25">
      <c r="A180" s="1443"/>
      <c r="B180" s="1457"/>
      <c r="C180" s="1454"/>
      <c r="D180" s="1455" t="s">
        <v>2017</v>
      </c>
      <c r="E180" s="1456" t="s">
        <v>1528</v>
      </c>
      <c r="F180" s="1798">
        <f>F178/F179</f>
        <v>8221.4513310720522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49139</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3471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631610</v>
      </c>
      <c r="F19" s="1802"/>
      <c r="G19" s="1804">
        <f>'Expenditures 15-22'!K33-SUM('Expenditures 15-22'!G33,'Expenditures 15-22'!I33)+'Expenditures 15-22'!D229</f>
        <v>631610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2048</v>
      </c>
      <c r="F21" s="1805"/>
      <c r="G21" s="1808">
        <f>'Expenditures 15-22'!K42-SUM('Expenditures 15-22'!G42,'Expenditures 15-22'!I42)+'Expenditures 15-22'!K120-SUM('Expenditures 15-22'!G120,'Expenditures 15-22'!I120)+'Expenditures 15-22'!K180-SUM('Expenditures 15-22'!G180,'Expenditures 15-22'!I180)+'Expenditures 15-22'!D238</f>
        <v>2048</v>
      </c>
      <c r="H21" s="817"/>
      <c r="I21" s="157"/>
    </row>
    <row r="22" spans="1:9" s="542" customFormat="1" ht="12" customHeight="1" x14ac:dyDescent="0.2">
      <c r="A22" s="824" t="s">
        <v>560</v>
      </c>
      <c r="B22" s="825"/>
      <c r="C22" s="823">
        <v>2200</v>
      </c>
      <c r="D22" s="1805"/>
      <c r="E22" s="1807">
        <f>'Expenditures 15-22'!K47-SUM('Expenditures 15-22'!G47,'Expenditures 15-22'!I47)+'Expenditures 15-22'!D243</f>
        <v>31097</v>
      </c>
      <c r="F22" s="1805"/>
      <c r="G22" s="1808">
        <f>'Expenditures 15-22'!K47-SUM('Expenditures 15-22'!G47,'Expenditures 15-22'!I47)+'Expenditures 15-22'!D243</f>
        <v>31097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132763</v>
      </c>
      <c r="F23" s="1805"/>
      <c r="G23" s="1807">
        <f>'Expenditures 15-22'!K53-SUM('Expenditures 15-22'!G53,'Expenditures 15-22'!I53)+'Expenditures 15-22'!D257+'Expenditures 15-22'!K330-SUM('Expenditures 15-22'!G330,'Expenditures 15-22'!I330)</f>
        <v>132763</v>
      </c>
      <c r="H23" s="817"/>
      <c r="I23" s="157"/>
    </row>
    <row r="24" spans="1:9" s="542" customFormat="1" ht="12" customHeight="1" x14ac:dyDescent="0.2">
      <c r="A24" s="824" t="s">
        <v>562</v>
      </c>
      <c r="B24" s="825"/>
      <c r="C24" s="823">
        <v>2400</v>
      </c>
      <c r="D24" s="1805"/>
      <c r="E24" s="1807">
        <f>'Expenditures 15-22'!K57-SUM('Expenditures 15-22'!G57,'Expenditures 15-22'!I57)+'Expenditures 15-22'!D261</f>
        <v>102443</v>
      </c>
      <c r="F24" s="1805"/>
      <c r="G24" s="1808">
        <f>'Expenditures 15-22'!K57-SUM('Expenditures 15-22'!G57,'Expenditures 15-22'!I57)+'Expenditures 15-22'!D261</f>
        <v>102443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7956</v>
      </c>
      <c r="E27" s="1807">
        <f>E8</f>
        <v>0</v>
      </c>
      <c r="F27" s="1807">
        <f>'Expenditures 15-22'!K60-SUM('Expenditures 15-22'!G60,'Expenditures 15-22'!I60)+'Expenditures 15-22'!D264-E8</f>
        <v>7956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52400</v>
      </c>
      <c r="F28" s="1809">
        <f>'Expenditures 15-22'!K61-SUM('Expenditures 15-22'!G61,'Expenditures 15-22'!I61)+'Expenditures 15-22'!K124-SUM('Expenditures 15-22'!G124,'Expenditures 15-22'!I124)+'Expenditures 15-22'!D266-E9</f>
        <v>52400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3907</v>
      </c>
      <c r="F29" s="1805"/>
      <c r="G29" s="1808">
        <f>'Expenditures 15-22'!K62-SUM('Expenditures 15-22'!G62,'Expenditures 15-22'!I62)+'Expenditures 15-22'!K125-SUM('Expenditures 15-22'!G125,'Expenditures 15-22'!I125)+'Expenditures 15-22'!K182-SUM('Expenditures 15-22'!G182,'Expenditures 15-22'!I182)+'Expenditures 15-22'!D267</f>
        <v>3907</v>
      </c>
      <c r="H29" s="815"/>
    </row>
    <row r="30" spans="1:9" ht="12" customHeight="1" x14ac:dyDescent="0.2">
      <c r="A30" s="824" t="s">
        <v>100</v>
      </c>
      <c r="B30" s="827"/>
      <c r="C30" s="823">
        <v>2560</v>
      </c>
      <c r="D30" s="1805"/>
      <c r="E30" s="1807">
        <f>'Expenditures 15-22'!K63-SUM('Expenditures 15-22'!G63,'Expenditures 15-22'!I63)+'Expenditures 15-22'!D268-E10</f>
        <v>2002</v>
      </c>
      <c r="F30" s="1805"/>
      <c r="G30" s="1807">
        <f>'Expenditures 15-22'!K63-SUM('Expenditures 15-22'!G63,'Expenditures 15-22'!I63)+'Expenditures 15-22'!D268-E10</f>
        <v>2002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7956</v>
      </c>
      <c r="E41" s="1809">
        <f>SUM(E19:E40)</f>
        <v>958270</v>
      </c>
      <c r="F41" s="1809">
        <f>SUM(F19:F39)</f>
        <v>60356</v>
      </c>
      <c r="G41" s="1809">
        <f>SUM(G19:G40)</f>
        <v>905870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7956</v>
      </c>
      <c r="F43" s="1458" t="s">
        <v>470</v>
      </c>
      <c r="G43" s="1810">
        <f>F41</f>
        <v>60356</v>
      </c>
    </row>
    <row r="44" spans="1:7" ht="12" customHeight="1" x14ac:dyDescent="0.2">
      <c r="A44" s="817"/>
      <c r="B44" s="157"/>
      <c r="C44" s="831"/>
      <c r="D44" s="1458" t="s">
        <v>471</v>
      </c>
      <c r="E44" s="1810">
        <f>E41</f>
        <v>958270</v>
      </c>
      <c r="F44" s="1458" t="s">
        <v>471</v>
      </c>
      <c r="G44" s="1810">
        <f>G41</f>
        <v>905870</v>
      </c>
    </row>
    <row r="45" spans="1:7" ht="12" customHeight="1" x14ac:dyDescent="0.2">
      <c r="A45" s="817"/>
      <c r="B45" s="157"/>
      <c r="C45" s="157"/>
      <c r="D45" s="1459" t="s">
        <v>999</v>
      </c>
      <c r="E45" s="1811">
        <f>(E43/E44)</f>
        <v>8.3024617279054969E-3</v>
      </c>
      <c r="F45" s="1459" t="s">
        <v>999</v>
      </c>
      <c r="G45" s="1811">
        <f>(G43/G44)</f>
        <v>6.6627661805777866E-2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2" zoomScale="110" zoomScaleNormal="110" workbookViewId="0">
      <selection activeCell="F29" sqref="F2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Braceville SD 75</v>
      </c>
      <c r="D6" s="2415"/>
      <c r="E6" s="2415"/>
      <c r="F6" s="1482"/>
      <c r="G6" s="1507"/>
      <c r="L6" s="1507"/>
      <c r="M6" s="1855"/>
      <c r="N6" s="1855"/>
      <c r="O6" s="1855"/>
    </row>
    <row r="7" spans="1:15" ht="11.25" customHeight="1" thickBot="1" x14ac:dyDescent="0.3">
      <c r="A7" s="1480"/>
      <c r="B7" s="1481"/>
      <c r="C7" s="2416">
        <f>COVER!A13</f>
        <v>24032075002</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2068</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2069</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t="s">
        <v>2067</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Normal="100" workbookViewId="0">
      <selection activeCell="U29" sqref="U29"/>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Braceville SD 75</v>
      </c>
      <c r="K6" s="2437"/>
      <c r="L6" s="2451"/>
      <c r="M6" s="838"/>
      <c r="N6" s="1999"/>
    </row>
    <row r="7" spans="1:14" x14ac:dyDescent="0.2">
      <c r="A7" s="2452" t="s">
        <v>864</v>
      </c>
      <c r="B7" s="2453"/>
      <c r="C7" s="2453"/>
      <c r="D7" s="2453"/>
      <c r="E7" s="2454"/>
      <c r="F7" s="839"/>
      <c r="G7" s="838"/>
      <c r="H7" s="838"/>
      <c r="I7" s="1925" t="s">
        <v>369</v>
      </c>
      <c r="J7" s="2439">
        <f>COVER!A13</f>
        <v>24032075002</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39911</v>
      </c>
      <c r="F12" s="1943"/>
      <c r="G12" s="1969">
        <f>G68</f>
        <v>0</v>
      </c>
      <c r="H12" s="1945">
        <f t="shared" ref="H12:H18" si="0">SUM(E12:G12)</f>
        <v>39911</v>
      </c>
      <c r="I12" s="1944">
        <v>30209</v>
      </c>
      <c r="J12" s="1943"/>
      <c r="K12" s="1944"/>
      <c r="L12" s="1945">
        <f t="shared" ref="L12:L18" si="1">SUM(I12:K12)</f>
        <v>30209</v>
      </c>
      <c r="M12" s="838"/>
      <c r="N12" s="1999"/>
    </row>
    <row r="13" spans="1:14" x14ac:dyDescent="0.2">
      <c r="A13" s="2004">
        <v>2</v>
      </c>
      <c r="B13" s="1941" t="s">
        <v>42</v>
      </c>
      <c r="C13" s="842"/>
      <c r="D13" s="1942">
        <v>2330</v>
      </c>
      <c r="E13" s="1945">
        <f>'Expenditures 15-22'!K51</f>
        <v>5097</v>
      </c>
      <c r="F13" s="1943"/>
      <c r="G13" s="1969">
        <f>H68</f>
        <v>0</v>
      </c>
      <c r="H13" s="1945">
        <f t="shared" si="0"/>
        <v>5097</v>
      </c>
      <c r="I13" s="1944">
        <v>5026</v>
      </c>
      <c r="J13" s="1943"/>
      <c r="K13" s="1944"/>
      <c r="L13" s="1945">
        <f t="shared" si="1"/>
        <v>5026</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v>26092</v>
      </c>
      <c r="J17" s="1943"/>
      <c r="K17" s="1944"/>
      <c r="L17" s="1945">
        <f t="shared" si="1"/>
        <v>26092</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45008</v>
      </c>
      <c r="F19" s="1951">
        <f t="shared" si="2"/>
        <v>0</v>
      </c>
      <c r="G19" s="1951">
        <f t="shared" ref="G19" si="3">SUM(G12:G17)-G18</f>
        <v>0</v>
      </c>
      <c r="H19" s="1951">
        <f t="shared" si="2"/>
        <v>45008</v>
      </c>
      <c r="I19" s="1951">
        <f t="shared" si="2"/>
        <v>61327</v>
      </c>
      <c r="J19" s="1951">
        <f t="shared" si="2"/>
        <v>0</v>
      </c>
      <c r="K19" s="1951">
        <f t="shared" si="2"/>
        <v>0</v>
      </c>
      <c r="L19" s="1951">
        <f t="shared" si="2"/>
        <v>61327</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0.3625799857803057</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t="s">
        <v>2051</v>
      </c>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Braceville SD 75</v>
      </c>
      <c r="M52" s="2437"/>
      <c r="N52" s="2438"/>
    </row>
    <row r="53" spans="1:14" x14ac:dyDescent="0.2">
      <c r="A53" s="1983"/>
      <c r="B53" s="1984"/>
      <c r="C53" s="1984"/>
      <c r="D53" s="1984"/>
      <c r="E53" s="1984"/>
      <c r="F53" s="1984"/>
      <c r="G53" s="1984"/>
      <c r="H53" s="1984"/>
      <c r="I53" s="1984"/>
      <c r="J53" s="1984"/>
      <c r="K53" s="1925" t="s">
        <v>369</v>
      </c>
      <c r="L53" s="2439">
        <f>J7</f>
        <v>24032075002</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13610</v>
      </c>
      <c r="F58" s="1973"/>
      <c r="G58" s="2032"/>
      <c r="H58" s="2033"/>
      <c r="I58" s="2033"/>
      <c r="J58" s="2033"/>
      <c r="K58" s="2033"/>
      <c r="L58" s="2033"/>
      <c r="M58" s="2033">
        <v>13610</v>
      </c>
      <c r="N58" s="1976">
        <f>IF((SUM(G58:M58))=E58,SUM(G58:M58),"Column N does not agree with Column E")</f>
        <v>13610</v>
      </c>
    </row>
    <row r="59" spans="1:14" ht="24.75" customHeight="1" x14ac:dyDescent="0.2">
      <c r="A59" s="2419" t="s">
        <v>297</v>
      </c>
      <c r="B59" s="2420"/>
      <c r="C59" s="2420"/>
      <c r="D59" s="1968">
        <v>2363</v>
      </c>
      <c r="E59" s="1978">
        <f>'Expenditures 15-22'!K321</f>
        <v>3820</v>
      </c>
      <c r="F59" s="1973"/>
      <c r="G59" s="2032"/>
      <c r="H59" s="2033"/>
      <c r="I59" s="2033"/>
      <c r="J59" s="2033"/>
      <c r="K59" s="2033"/>
      <c r="L59" s="2033"/>
      <c r="M59" s="2033">
        <v>3820</v>
      </c>
      <c r="N59" s="1976">
        <f>IF((SUM(G59:M59))=E59,SUM(G59:M59),"Column N does not agree with Column E")</f>
        <v>3820</v>
      </c>
    </row>
    <row r="60" spans="1:14" ht="24" customHeight="1" x14ac:dyDescent="0.2">
      <c r="A60" s="2419" t="s">
        <v>236</v>
      </c>
      <c r="B60" s="2420"/>
      <c r="C60" s="2420"/>
      <c r="D60" s="1968">
        <v>2364</v>
      </c>
      <c r="E60" s="1978">
        <f>'Expenditures 15-22'!K322</f>
        <v>10634</v>
      </c>
      <c r="F60" s="1973"/>
      <c r="G60" s="2032"/>
      <c r="H60" s="2033"/>
      <c r="I60" s="2033"/>
      <c r="J60" s="2033"/>
      <c r="K60" s="2033"/>
      <c r="L60" s="2033"/>
      <c r="M60" s="2033">
        <v>10634</v>
      </c>
      <c r="N60" s="1976">
        <f t="shared" ref="N60:N67" si="4">IF((SUM(G60:M60))=E60,SUM(G60:M60),"Column N does not agree with Column E")</f>
        <v>10634</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31893</v>
      </c>
      <c r="F63" s="1973"/>
      <c r="G63" s="2032"/>
      <c r="H63" s="2033"/>
      <c r="I63" s="2033"/>
      <c r="J63" s="2033"/>
      <c r="K63" s="2033"/>
      <c r="L63" s="2033"/>
      <c r="M63" s="2033">
        <v>31893</v>
      </c>
      <c r="N63" s="1976">
        <f t="shared" si="4"/>
        <v>31893</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7678</v>
      </c>
      <c r="F65" s="1973"/>
      <c r="G65" s="2032"/>
      <c r="H65" s="2033"/>
      <c r="I65" s="2033"/>
      <c r="J65" s="2033"/>
      <c r="K65" s="2033"/>
      <c r="L65" s="2033"/>
      <c r="M65" s="2033">
        <v>7678</v>
      </c>
      <c r="N65" s="1976">
        <f t="shared" si="4"/>
        <v>7678</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67635</v>
      </c>
      <c r="F68" s="1974"/>
      <c r="G68" s="1975">
        <f t="shared" ref="G68:N68" si="5">SUM(G57:G67)</f>
        <v>0</v>
      </c>
      <c r="H68" s="1975">
        <f t="shared" si="5"/>
        <v>0</v>
      </c>
      <c r="I68" s="1975">
        <f t="shared" si="5"/>
        <v>0</v>
      </c>
      <c r="J68" s="1975">
        <f t="shared" si="5"/>
        <v>0</v>
      </c>
      <c r="K68" s="1975">
        <f t="shared" si="5"/>
        <v>0</v>
      </c>
      <c r="L68" s="1975">
        <f t="shared" si="5"/>
        <v>0</v>
      </c>
      <c r="M68" s="1975">
        <f t="shared" si="5"/>
        <v>67635</v>
      </c>
      <c r="N68" s="1989">
        <f t="shared" si="5"/>
        <v>67635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2072</v>
      </c>
    </row>
    <row r="6" spans="1:2" x14ac:dyDescent="0.2">
      <c r="A6" s="847">
        <v>2</v>
      </c>
      <c r="B6" s="307" t="s">
        <v>2076</v>
      </c>
    </row>
    <row r="7" spans="1:2" x14ac:dyDescent="0.2">
      <c r="A7" s="847">
        <v>3</v>
      </c>
      <c r="B7" s="307" t="s">
        <v>2073</v>
      </c>
    </row>
    <row r="8" spans="1:2" x14ac:dyDescent="0.2">
      <c r="A8" s="847">
        <v>4</v>
      </c>
      <c r="B8" s="307" t="s">
        <v>2074</v>
      </c>
    </row>
    <row r="9" spans="1:2" x14ac:dyDescent="0.2">
      <c r="A9" s="847">
        <v>5</v>
      </c>
      <c r="B9" s="307" t="s">
        <v>2075</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Braceville SD 75</v>
      </c>
    </row>
    <row r="65" spans="2:2" x14ac:dyDescent="0.2">
      <c r="B65" s="849">
        <f>COVER!A13</f>
        <v>24032075002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1328842</v>
      </c>
      <c r="C8" s="1813">
        <f>'Acct Summary 7-8'!D8</f>
        <v>84209</v>
      </c>
      <c r="D8" s="1813">
        <f>'Acct Summary 7-8'!F8</f>
        <v>87501</v>
      </c>
      <c r="E8" s="1813">
        <f>'Acct Summary 7-8'!I8</f>
        <v>9021</v>
      </c>
      <c r="F8" s="1813">
        <f>SUM(B8:E8)</f>
        <v>1509573</v>
      </c>
    </row>
    <row r="9" spans="1:8" s="858" customFormat="1" ht="14.25" customHeight="1" thickBot="1" x14ac:dyDescent="0.25">
      <c r="A9" s="857" t="s">
        <v>1353</v>
      </c>
      <c r="B9" s="1814">
        <f>'Acct Summary 7-8'!C17</f>
        <v>1281170</v>
      </c>
      <c r="C9" s="1814">
        <f>'Acct Summary 7-8'!D17</f>
        <v>54883</v>
      </c>
      <c r="D9" s="1814">
        <f>'Acct Summary 7-8'!F17</f>
        <v>157805</v>
      </c>
      <c r="E9" s="1813"/>
      <c r="F9" s="1813">
        <f>SUM(B9:E9)</f>
        <v>1493858</v>
      </c>
    </row>
    <row r="10" spans="1:8" s="858" customFormat="1" ht="14.25" thickTop="1" thickBot="1" x14ac:dyDescent="0.25">
      <c r="A10" s="859" t="s">
        <v>1354</v>
      </c>
      <c r="B10" s="1815">
        <f>(B8-B9)</f>
        <v>47672</v>
      </c>
      <c r="C10" s="1815">
        <f>(C8-C9)</f>
        <v>29326</v>
      </c>
      <c r="D10" s="1815">
        <f>(D8-D9)</f>
        <v>-70304</v>
      </c>
      <c r="E10" s="1814">
        <f>(E8-E9)</f>
        <v>9021</v>
      </c>
      <c r="F10" s="1816">
        <f>SUM(F8-F9)</f>
        <v>15715</v>
      </c>
    </row>
    <row r="11" spans="1:8" s="858" customFormat="1" ht="14.25" thickTop="1" thickBot="1" x14ac:dyDescent="0.25">
      <c r="A11" s="860" t="s">
        <v>1903</v>
      </c>
      <c r="B11" s="1817">
        <f>'Acct Summary 7-8'!C81</f>
        <v>269798</v>
      </c>
      <c r="C11" s="1817">
        <f>'Acct Summary 7-8'!D81</f>
        <v>65580</v>
      </c>
      <c r="D11" s="1817">
        <f>'Acct Summary 7-8'!F81</f>
        <v>31304</v>
      </c>
      <c r="E11" s="1817">
        <f>'Acct Summary 7-8'!I81</f>
        <v>513845</v>
      </c>
      <c r="F11" s="1818">
        <f>SUM(B11:E11)</f>
        <v>880527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24032075002</v>
      </c>
      <c r="E2" s="1542">
        <v>2020</v>
      </c>
      <c r="F2" s="1542">
        <v>1</v>
      </c>
      <c r="G2" s="1899">
        <v>101000300</v>
      </c>
    </row>
    <row r="3" spans="1:7" ht="15" x14ac:dyDescent="0.25">
      <c r="A3" t="s">
        <v>950</v>
      </c>
      <c r="B3" s="135" t="str">
        <f>COVER!A15</f>
        <v>Grundy</v>
      </c>
      <c r="E3" s="1830" t="s">
        <v>1971</v>
      </c>
      <c r="F3" s="1830" t="s">
        <v>1970</v>
      </c>
      <c r="G3" s="1899">
        <v>101000400</v>
      </c>
    </row>
    <row r="4" spans="1:7" ht="15" x14ac:dyDescent="0.25">
      <c r="A4" t="s">
        <v>1000</v>
      </c>
      <c r="B4" s="135" t="str">
        <f>COVER!A17</f>
        <v xml:space="preserve"> Braceville SD 75</v>
      </c>
      <c r="E4" s="1828">
        <v>44119</v>
      </c>
      <c r="F4" s="1829">
        <v>44151</v>
      </c>
      <c r="G4" s="1899">
        <v>101000600</v>
      </c>
    </row>
    <row r="5" spans="1:7" ht="15" x14ac:dyDescent="0.25">
      <c r="A5" t="s">
        <v>699</v>
      </c>
      <c r="B5" s="135" t="str">
        <f>COVER!A38</f>
        <v>Josh DeLong</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1140</v>
      </c>
      <c r="B18" s="135" t="str">
        <f>COVER!T17</f>
        <v>116 E. Washington St., Suite One</v>
      </c>
      <c r="G18" s="1899">
        <v>102200300</v>
      </c>
    </row>
    <row r="19" spans="1:7" ht="15" x14ac:dyDescent="0.25">
      <c r="A19" t="s">
        <v>880</v>
      </c>
      <c r="B19" s="135" t="str">
        <f>COVER!T25</f>
        <v>tmack@mackcpas.com</v>
      </c>
      <c r="G19" s="1899">
        <v>102200400</v>
      </c>
    </row>
    <row r="20" spans="1:7" ht="15" x14ac:dyDescent="0.25">
      <c r="A20" t="s">
        <v>881</v>
      </c>
      <c r="B20" s="135" t="str">
        <f>COVER!T19</f>
        <v>Morris</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1142</v>
      </c>
      <c r="B23" s="135" t="str">
        <f>COVER!T21</f>
        <v>815-942-3306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269798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188244</v>
      </c>
      <c r="D92" s="2" t="str">
        <f t="shared" si="0"/>
        <v>Error?</v>
      </c>
      <c r="G92" s="1899">
        <v>102640600</v>
      </c>
    </row>
    <row r="93" spans="1:7" ht="15" x14ac:dyDescent="0.25">
      <c r="A93" s="5">
        <v>32</v>
      </c>
      <c r="B93" s="1832">
        <f>'Assets-Liab 5-6'!C41</f>
        <v>269798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65580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65580</v>
      </c>
      <c r="D123" s="2" t="str">
        <f t="shared" si="0"/>
        <v>Error?</v>
      </c>
      <c r="G123" s="1899">
        <v>203000400</v>
      </c>
    </row>
    <row r="124" spans="1:7" ht="15" x14ac:dyDescent="0.25">
      <c r="A124" s="5">
        <v>63</v>
      </c>
      <c r="B124" s="1832">
        <f>'Assets-Liab 5-6'!D41</f>
        <v>65580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2596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2596</v>
      </c>
      <c r="D140" s="2" t="str">
        <f t="shared" si="1"/>
        <v>Error?</v>
      </c>
    </row>
    <row r="141" spans="1:7" x14ac:dyDescent="0.2">
      <c r="A141" s="5">
        <v>80</v>
      </c>
      <c r="B141" s="1832">
        <f>'Assets-Liab 5-6'!E41</f>
        <v>2596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31304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31304</v>
      </c>
      <c r="D170" s="2" t="str">
        <f t="shared" si="1"/>
        <v>Error?</v>
      </c>
    </row>
    <row r="171" spans="1:4" x14ac:dyDescent="0.2">
      <c r="A171" s="5">
        <v>110</v>
      </c>
      <c r="B171" s="1832">
        <f>'Assets-Liab 5-6'!F41</f>
        <v>31304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56336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56336</v>
      </c>
      <c r="D189" s="2" t="str">
        <f t="shared" si="1"/>
        <v>Error?</v>
      </c>
    </row>
    <row r="190" spans="1:4" x14ac:dyDescent="0.2">
      <c r="A190" s="5">
        <v>129</v>
      </c>
      <c r="B190" s="1832">
        <f>'Assets-Liab 5-6'!G41</f>
        <v>56336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100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100</v>
      </c>
      <c r="D212" s="2" t="str">
        <f t="shared" si="2"/>
        <v>Error?</v>
      </c>
    </row>
    <row r="213" spans="1:4" x14ac:dyDescent="0.2">
      <c r="A213" s="12">
        <v>152</v>
      </c>
      <c r="B213" s="1832">
        <f>'Assets-Liab 5-6'!H41</f>
        <v>100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16260</v>
      </c>
      <c r="D273" s="2" t="str">
        <f t="shared" si="3"/>
        <v>Error?</v>
      </c>
    </row>
    <row r="274" spans="1:4" x14ac:dyDescent="0.2">
      <c r="A274" s="5">
        <v>213</v>
      </c>
      <c r="B274" s="1832">
        <f>'Assets-Liab 5-6'!M17</f>
        <v>356417</v>
      </c>
      <c r="D274" s="2" t="str">
        <f t="shared" si="3"/>
        <v>Error?</v>
      </c>
    </row>
    <row r="275" spans="1:4" x14ac:dyDescent="0.2">
      <c r="A275" s="5">
        <v>214</v>
      </c>
      <c r="B275" s="1832">
        <f>'Assets-Liab 5-6'!M18</f>
        <v>0</v>
      </c>
      <c r="D275" s="2" t="str">
        <f t="shared" si="3"/>
        <v>Error?</v>
      </c>
    </row>
    <row r="276" spans="1:4" x14ac:dyDescent="0.2">
      <c r="A276" s="5">
        <v>215</v>
      </c>
      <c r="B276" s="1832">
        <f>'Assets-Liab 5-6'!M19</f>
        <v>20606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393283</v>
      </c>
      <c r="C279" s="2" t="s">
        <v>569</v>
      </c>
      <c r="D279" s="2" t="str">
        <f t="shared" si="3"/>
        <v>Error?</v>
      </c>
    </row>
    <row r="280" spans="1:4" x14ac:dyDescent="0.2">
      <c r="A280" s="5">
        <v>219</v>
      </c>
      <c r="B280" s="1832">
        <f>'Assets-Liab 5-6'!M40</f>
        <v>393283</v>
      </c>
      <c r="D280" s="2" t="str">
        <f t="shared" si="3"/>
        <v>Error?</v>
      </c>
    </row>
    <row r="281" spans="1:4" x14ac:dyDescent="0.2">
      <c r="A281" s="5">
        <v>220</v>
      </c>
      <c r="B281" s="1832">
        <f>'Assets-Liab 5-6'!M41</f>
        <v>393283</v>
      </c>
      <c r="C281" s="2" t="s">
        <v>569</v>
      </c>
      <c r="D281" s="2" t="str">
        <f t="shared" si="3"/>
        <v>Error?</v>
      </c>
    </row>
    <row r="282" spans="1:4" x14ac:dyDescent="0.2">
      <c r="A282" s="5">
        <v>221</v>
      </c>
      <c r="B282" s="1832">
        <f>'Assets-Liab 5-6'!N21</f>
        <v>2596</v>
      </c>
      <c r="D282" s="2" t="str">
        <f t="shared" si="3"/>
        <v>Error?</v>
      </c>
    </row>
    <row r="283" spans="1:4" x14ac:dyDescent="0.2">
      <c r="A283" s="5">
        <v>222</v>
      </c>
      <c r="B283" s="1832">
        <f>'Assets-Liab 5-6'!N22</f>
        <v>565404</v>
      </c>
      <c r="D283" s="2" t="str">
        <f t="shared" si="3"/>
        <v>Error?</v>
      </c>
    </row>
    <row r="284" spans="1:4" x14ac:dyDescent="0.2">
      <c r="A284" s="5">
        <v>223</v>
      </c>
      <c r="B284" s="1832">
        <f>'Assets-Liab 5-6'!N23</f>
        <v>568000</v>
      </c>
      <c r="C284" s="2" t="s">
        <v>569</v>
      </c>
      <c r="D284" s="2" t="str">
        <f t="shared" si="3"/>
        <v>Error?</v>
      </c>
    </row>
    <row r="285" spans="1:4" x14ac:dyDescent="0.2">
      <c r="A285" s="5">
        <v>224</v>
      </c>
      <c r="B285" s="1832">
        <f>'Assets-Liab 5-6'!N36</f>
        <v>568000</v>
      </c>
      <c r="D285" s="2" t="str">
        <f t="shared" si="3"/>
        <v>Error?</v>
      </c>
    </row>
    <row r="286" spans="1:4" x14ac:dyDescent="0.2">
      <c r="A286" s="10">
        <v>225</v>
      </c>
      <c r="B286" s="1832"/>
      <c r="D286" s="2" t="str">
        <f t="shared" si="3"/>
        <v>OK</v>
      </c>
    </row>
    <row r="287" spans="1:4" x14ac:dyDescent="0.2">
      <c r="A287" s="5">
        <v>226</v>
      </c>
      <c r="B287" s="1832">
        <f>'Assets-Liab 5-6'!N37</f>
        <v>568000</v>
      </c>
      <c r="C287" s="2" t="s">
        <v>569</v>
      </c>
      <c r="D287" s="2" t="str">
        <f t="shared" si="3"/>
        <v>Error?</v>
      </c>
    </row>
    <row r="288" spans="1:4" x14ac:dyDescent="0.2">
      <c r="A288" s="5">
        <v>227</v>
      </c>
      <c r="B288" s="1832">
        <f>'Assets-Liab 5-6'!N41</f>
        <v>568000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500000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407104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5197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517905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13700</v>
      </c>
      <c r="D733" s="2" t="str">
        <f t="shared" si="10"/>
        <v>Error?</v>
      </c>
    </row>
    <row r="734" spans="1:4" x14ac:dyDescent="0.2">
      <c r="A734" s="5">
        <v>673</v>
      </c>
      <c r="B734" s="1832">
        <f>'Expenditures 15-22'!C53</f>
        <v>17700</v>
      </c>
      <c r="C734" s="2" t="s">
        <v>569</v>
      </c>
      <c r="D734" s="2" t="str">
        <f t="shared" si="10"/>
        <v>Error?</v>
      </c>
    </row>
    <row r="735" spans="1:4" x14ac:dyDescent="0.2">
      <c r="A735" s="5">
        <v>674</v>
      </c>
      <c r="B735" s="1832">
        <f>'Expenditures 15-22'!C55</f>
        <v>91222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91222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4822</v>
      </c>
      <c r="D739" s="2" t="str">
        <f t="shared" si="10"/>
        <v>Error?</v>
      </c>
    </row>
    <row r="740" spans="1:4" x14ac:dyDescent="0.2">
      <c r="A740" s="5">
        <v>679</v>
      </c>
      <c r="B740" s="1832">
        <f>'Expenditures 15-22'!C61</f>
        <v>10980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23699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39501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148423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666328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65940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662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76855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6400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6400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1633</v>
      </c>
      <c r="D791" s="2" t="str">
        <f t="shared" si="11"/>
        <v>Error?</v>
      </c>
    </row>
    <row r="792" spans="1:4" x14ac:dyDescent="0.2">
      <c r="A792" s="5">
        <v>731</v>
      </c>
      <c r="B792" s="1832">
        <f>'Expenditures 15-22'!D53</f>
        <v>2180</v>
      </c>
      <c r="C792" s="2" t="s">
        <v>569</v>
      </c>
      <c r="D792" s="2" t="str">
        <f t="shared" si="11"/>
        <v>Error?</v>
      </c>
    </row>
    <row r="793" spans="1:4" x14ac:dyDescent="0.2">
      <c r="A793" s="5">
        <v>732</v>
      </c>
      <c r="B793" s="1832">
        <f>'Expenditures 15-22'!D55</f>
        <v>8235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8235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16815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93670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1732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263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2683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2048</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2048</v>
      </c>
      <c r="C843" s="2" t="s">
        <v>569</v>
      </c>
      <c r="D843" s="2" t="str">
        <f t="shared" si="12"/>
        <v>Error?</v>
      </c>
    </row>
    <row r="844" spans="1:4" x14ac:dyDescent="0.2">
      <c r="A844" s="5">
        <v>783</v>
      </c>
      <c r="B844" s="1832">
        <f>'Expenditures 15-22'!E44</f>
        <v>7960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7960</v>
      </c>
      <c r="C847" s="2" t="s">
        <v>569</v>
      </c>
      <c r="D847" s="2" t="str">
        <f t="shared" si="12"/>
        <v>Error?</v>
      </c>
    </row>
    <row r="848" spans="1:4" x14ac:dyDescent="0.2">
      <c r="A848" s="5">
        <v>787</v>
      </c>
      <c r="B848" s="1832">
        <f>'Expenditures 15-22'!E49</f>
        <v>13379</v>
      </c>
      <c r="D848" s="2" t="str">
        <f t="shared" si="12"/>
        <v>Error?</v>
      </c>
    </row>
    <row r="849" spans="1:4" x14ac:dyDescent="0.2">
      <c r="A849" s="5">
        <v>788</v>
      </c>
      <c r="B849" s="1832">
        <f>'Expenditures 15-22'!E50</f>
        <v>22098</v>
      </c>
      <c r="D849" s="2" t="str">
        <f t="shared" si="12"/>
        <v>Error?</v>
      </c>
    </row>
    <row r="850" spans="1:4" x14ac:dyDescent="0.2">
      <c r="A850" s="5">
        <v>789</v>
      </c>
      <c r="B850" s="1832">
        <f>'Expenditures 15-22'!E53</f>
        <v>36027</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379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562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941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46976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412239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11261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198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23376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204</v>
      </c>
      <c r="D902" s="2" t="str">
        <f t="shared" si="13"/>
        <v>Error?</v>
      </c>
    </row>
    <row r="903" spans="1:4" x14ac:dyDescent="0.2">
      <c r="A903" s="5">
        <v>842</v>
      </c>
      <c r="B903" s="1832">
        <f>'Expenditures 15-22'!F45</f>
        <v>523</v>
      </c>
      <c r="D903" s="2" t="str">
        <f t="shared" si="13"/>
        <v>Error?</v>
      </c>
    </row>
    <row r="904" spans="1:4" x14ac:dyDescent="0.2">
      <c r="A904" s="5">
        <v>843</v>
      </c>
      <c r="B904" s="1832">
        <f>'Expenditures 15-22'!F46</f>
        <v>16010</v>
      </c>
      <c r="D904" s="2" t="str">
        <f t="shared" si="13"/>
        <v>Error?</v>
      </c>
    </row>
    <row r="905" spans="1:4" x14ac:dyDescent="0.2">
      <c r="A905" s="5">
        <v>844</v>
      </c>
      <c r="B905" s="1832">
        <f>'Expenditures 15-22'!F47</f>
        <v>16737</v>
      </c>
      <c r="C905" s="2" t="s">
        <v>569</v>
      </c>
      <c r="D905" s="2" t="str">
        <f t="shared" si="13"/>
        <v>Error?</v>
      </c>
    </row>
    <row r="906" spans="1:4" x14ac:dyDescent="0.2">
      <c r="A906" s="5">
        <v>845</v>
      </c>
      <c r="B906" s="1832">
        <f>'Expenditures 15-22'!F49</f>
        <v>397</v>
      </c>
      <c r="D906" s="2" t="str">
        <f t="shared" si="13"/>
        <v>Error?</v>
      </c>
    </row>
    <row r="907" spans="1:4" x14ac:dyDescent="0.2">
      <c r="A907" s="5">
        <v>846</v>
      </c>
      <c r="B907" s="1832">
        <f>'Expenditures 15-22'!F50</f>
        <v>1036</v>
      </c>
      <c r="D907" s="2" t="str">
        <f t="shared" si="13"/>
        <v>Error?</v>
      </c>
    </row>
    <row r="908" spans="1:4" x14ac:dyDescent="0.2">
      <c r="A908" s="5">
        <v>847</v>
      </c>
      <c r="B908" s="1832">
        <f>'Expenditures 15-22'!F53</f>
        <v>1433</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2764</v>
      </c>
      <c r="D913" s="2" t="str">
        <f t="shared" si="13"/>
        <v>Error?</v>
      </c>
    </row>
    <row r="914" spans="1:4" x14ac:dyDescent="0.2">
      <c r="A914" s="5">
        <v>853</v>
      </c>
      <c r="B914" s="1832">
        <f>'Expenditures 15-22'!F61</f>
        <v>16568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24878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44210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62380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85756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952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13781</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13781</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13781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14733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253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1225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1478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5522</v>
      </c>
      <c r="D1022" s="2" t="str">
        <f t="shared" si="14"/>
        <v>Error?</v>
      </c>
    </row>
    <row r="1023" spans="1:4" x14ac:dyDescent="0.2">
      <c r="A1023" s="5">
        <v>962</v>
      </c>
      <c r="B1023" s="1832">
        <f>'Expenditures 15-22'!H50</f>
        <v>1444</v>
      </c>
      <c r="D1023" s="2" t="str">
        <f t="shared" ref="D1023:D1086" si="15">IF(ISBLANK(B1023),"OK",IF(A1023-B1023=0,"OK","Error?"))</f>
        <v>Error?</v>
      </c>
    </row>
    <row r="1024" spans="1:4" x14ac:dyDescent="0.2">
      <c r="A1024" s="5">
        <v>963</v>
      </c>
      <c r="B1024" s="1832">
        <f>'Expenditures 15-22'!H53</f>
        <v>6966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6966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8444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486290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7545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623249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2048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2048</v>
      </c>
      <c r="C1115" s="2" t="s">
        <v>569</v>
      </c>
      <c r="D1115" s="2" t="str">
        <f t="shared" si="16"/>
        <v>Error?</v>
      </c>
    </row>
    <row r="1116" spans="1:4" x14ac:dyDescent="0.2">
      <c r="A1116" s="5">
        <v>1055</v>
      </c>
      <c r="B1116" s="1832">
        <f>'Expenditures 15-22'!K44</f>
        <v>14564</v>
      </c>
      <c r="C1116" s="2" t="s">
        <v>569</v>
      </c>
      <c r="D1116" s="2" t="str">
        <f t="shared" si="16"/>
        <v>Error?</v>
      </c>
    </row>
    <row r="1117" spans="1:4" x14ac:dyDescent="0.2">
      <c r="A1117" s="5">
        <v>1056</v>
      </c>
      <c r="B1117" s="1832">
        <f>'Expenditures 15-22'!K45</f>
        <v>14304</v>
      </c>
      <c r="C1117" s="2" t="s">
        <v>569</v>
      </c>
      <c r="D1117" s="2" t="str">
        <f t="shared" si="16"/>
        <v>Error?</v>
      </c>
    </row>
    <row r="1118" spans="1:4" x14ac:dyDescent="0.2">
      <c r="A1118" s="5">
        <v>1057</v>
      </c>
      <c r="B1118" s="1832">
        <f>'Expenditures 15-22'!K46</f>
        <v>16010</v>
      </c>
      <c r="C1118" s="2" t="s">
        <v>569</v>
      </c>
      <c r="D1118" s="2" t="str">
        <f t="shared" si="16"/>
        <v>Error?</v>
      </c>
    </row>
    <row r="1119" spans="1:4" x14ac:dyDescent="0.2">
      <c r="A1119" s="5">
        <v>1058</v>
      </c>
      <c r="B1119" s="1832">
        <f>'Expenditures 15-22'!K47</f>
        <v>44878</v>
      </c>
      <c r="C1119" s="2" t="s">
        <v>569</v>
      </c>
      <c r="D1119" s="2" t="str">
        <f t="shared" si="16"/>
        <v>Error?</v>
      </c>
    </row>
    <row r="1120" spans="1:4" x14ac:dyDescent="0.2">
      <c r="A1120" s="5">
        <v>1059</v>
      </c>
      <c r="B1120" s="1832">
        <f>'Expenditures 15-22'!K49</f>
        <v>19298</v>
      </c>
      <c r="C1120" s="2" t="s">
        <v>569</v>
      </c>
      <c r="D1120" s="2" t="str">
        <f t="shared" si="16"/>
        <v>Error?</v>
      </c>
    </row>
    <row r="1121" spans="1:4" x14ac:dyDescent="0.2">
      <c r="A1121" s="5">
        <v>1060</v>
      </c>
      <c r="B1121" s="1832">
        <f>'Expenditures 15-22'!K50</f>
        <v>39911</v>
      </c>
      <c r="C1121" s="2" t="s">
        <v>569</v>
      </c>
      <c r="D1121" s="2" t="str">
        <f t="shared" si="16"/>
        <v>Error?</v>
      </c>
    </row>
    <row r="1122" spans="1:4" x14ac:dyDescent="0.2">
      <c r="A1122" s="5">
        <v>1061</v>
      </c>
      <c r="B1122" s="1832">
        <f>'Expenditures 15-22'!K53</f>
        <v>64306</v>
      </c>
      <c r="C1122" s="2" t="s">
        <v>569</v>
      </c>
      <c r="D1122" s="2" t="str">
        <f t="shared" si="16"/>
        <v>Error?</v>
      </c>
    </row>
    <row r="1123" spans="1:4" x14ac:dyDescent="0.2">
      <c r="A1123" s="5">
        <v>1062</v>
      </c>
      <c r="B1123" s="1832">
        <f>'Expenditures 15-22'!K55</f>
        <v>99457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99457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7586</v>
      </c>
      <c r="C1127" s="2" t="s">
        <v>569</v>
      </c>
      <c r="D1127" s="2" t="str">
        <f t="shared" si="16"/>
        <v>Error?</v>
      </c>
    </row>
    <row r="1128" spans="1:4" x14ac:dyDescent="0.2">
      <c r="A1128" s="5">
        <v>1067</v>
      </c>
      <c r="B1128" s="1832">
        <f>'Expenditures 15-22'!K61</f>
        <v>27927</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49139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84652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295341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362580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1281170</v>
      </c>
      <c r="C1152" s="2" t="s">
        <v>569</v>
      </c>
      <c r="D1152" s="2" t="str">
        <f t="shared" si="17"/>
        <v>Error?</v>
      </c>
    </row>
    <row r="1153" spans="1:4" x14ac:dyDescent="0.2">
      <c r="A1153" s="5">
        <v>1092</v>
      </c>
      <c r="B1153" s="1832">
        <f>'Expenditures 15-22'!K115</f>
        <v>47672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28659</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28659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28659</v>
      </c>
      <c r="C1225" s="2" t="s">
        <v>569</v>
      </c>
      <c r="D1225" s="2" t="str">
        <f t="shared" si="18"/>
        <v>Error?</v>
      </c>
    </row>
    <row r="1226" spans="1:4" x14ac:dyDescent="0.2">
      <c r="A1226" s="5">
        <v>1165</v>
      </c>
      <c r="B1226" s="1832">
        <f>'Expenditures 15-22'!C151</f>
        <v>28659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16045</v>
      </c>
      <c r="D1237" s="2" t="str">
        <f t="shared" si="18"/>
        <v>Error?</v>
      </c>
    </row>
    <row r="1238" spans="1:4" x14ac:dyDescent="0.2">
      <c r="A1238" s="10">
        <v>1177</v>
      </c>
      <c r="B1238" s="1832"/>
      <c r="D1238" s="2" t="str">
        <f t="shared" si="18"/>
        <v>OK</v>
      </c>
    </row>
    <row r="1239" spans="1:4" x14ac:dyDescent="0.2">
      <c r="A1239" s="5">
        <v>1178</v>
      </c>
      <c r="B1239" s="1832">
        <f>'Expenditures 15-22'!E127</f>
        <v>16045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16045</v>
      </c>
      <c r="C1241" s="2" t="s">
        <v>569</v>
      </c>
      <c r="D1241" s="2" t="str">
        <f t="shared" si="18"/>
        <v>Error?</v>
      </c>
    </row>
    <row r="1242" spans="1:4" x14ac:dyDescent="0.2">
      <c r="A1242" s="5">
        <v>1181</v>
      </c>
      <c r="B1242" s="1832">
        <f>'Expenditures 15-22'!E151</f>
        <v>16045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7509</v>
      </c>
      <c r="D1245" s="2" t="str">
        <f t="shared" si="18"/>
        <v>Error?</v>
      </c>
    </row>
    <row r="1246" spans="1:4" x14ac:dyDescent="0.2">
      <c r="A1246" s="10">
        <v>1185</v>
      </c>
      <c r="B1246" s="1832"/>
      <c r="D1246" s="2" t="str">
        <f t="shared" si="18"/>
        <v>OK</v>
      </c>
    </row>
    <row r="1247" spans="1:4" x14ac:dyDescent="0.2">
      <c r="A1247" s="5">
        <v>1186</v>
      </c>
      <c r="B1247" s="1832">
        <f>'Expenditures 15-22'!F127</f>
        <v>7509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7509</v>
      </c>
      <c r="C1249" s="2" t="s">
        <v>569</v>
      </c>
      <c r="D1249" s="2" t="str">
        <f t="shared" si="18"/>
        <v>Error?</v>
      </c>
    </row>
    <row r="1250" spans="1:4" x14ac:dyDescent="0.2">
      <c r="A1250" s="5">
        <v>1189</v>
      </c>
      <c r="B1250" s="1832">
        <f>'Expenditures 15-22'!F151</f>
        <v>7509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2670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2670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2670</v>
      </c>
      <c r="C1258" s="2" t="s">
        <v>569</v>
      </c>
      <c r="D1258" s="2" t="str">
        <f t="shared" si="18"/>
        <v>Error?</v>
      </c>
    </row>
    <row r="1259" spans="1:4" x14ac:dyDescent="0.2">
      <c r="A1259" s="5">
        <v>1198</v>
      </c>
      <c r="B1259" s="1832">
        <f>'Expenditures 15-22'!G151</f>
        <v>2670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28659</v>
      </c>
      <c r="C1275" s="2" t="s">
        <v>569</v>
      </c>
      <c r="D1275" s="2" t="str">
        <f t="shared" si="18"/>
        <v>Error?</v>
      </c>
    </row>
    <row r="1276" spans="1:4" x14ac:dyDescent="0.2">
      <c r="A1276" s="5">
        <v>1215</v>
      </c>
      <c r="B1276" s="1832">
        <f>'Expenditures 15-22'!K124</f>
        <v>26224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54883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54883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54883</v>
      </c>
      <c r="C1288" s="2" t="s">
        <v>569</v>
      </c>
      <c r="D1288" s="2" t="str">
        <f t="shared" si="19"/>
        <v>Error?</v>
      </c>
    </row>
    <row r="1289" spans="1:4" x14ac:dyDescent="0.2">
      <c r="A1289" s="5">
        <v>1228</v>
      </c>
      <c r="B1289" s="1832">
        <f>'Expenditures 15-22'!K152</f>
        <v>29326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7300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86000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93800</v>
      </c>
      <c r="C1317" s="2" t="s">
        <v>569</v>
      </c>
      <c r="D1317" s="2" t="str">
        <f t="shared" si="19"/>
        <v>Error?</v>
      </c>
    </row>
    <row r="1318" spans="1:4" x14ac:dyDescent="0.2">
      <c r="A1318" s="5">
        <v>1257</v>
      </c>
      <c r="B1318" s="1832">
        <f>'Expenditures 15-22'!H174</f>
        <v>93800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7300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86000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93800</v>
      </c>
      <c r="C1331" s="2" t="s">
        <v>569</v>
      </c>
      <c r="D1331" s="2" t="str">
        <f t="shared" si="19"/>
        <v>Error?</v>
      </c>
    </row>
    <row r="1332" spans="1:4" x14ac:dyDescent="0.2">
      <c r="A1332" s="5">
        <v>1271</v>
      </c>
      <c r="B1332" s="1832">
        <f>'Expenditures 15-22'!K174</f>
        <v>93800</v>
      </c>
      <c r="C1332" s="2" t="s">
        <v>569</v>
      </c>
      <c r="D1332" s="2" t="str">
        <f t="shared" si="19"/>
        <v>Error?</v>
      </c>
    </row>
    <row r="1333" spans="1:4" x14ac:dyDescent="0.2">
      <c r="A1333" s="5">
        <v>1272</v>
      </c>
      <c r="B1333" s="1832">
        <f>'Expenditures 15-22'!K175</f>
        <v>-457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3907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3907</v>
      </c>
      <c r="C1351" s="2" t="s">
        <v>569</v>
      </c>
      <c r="D1351" s="2" t="str">
        <f t="shared" si="20"/>
        <v>Error?</v>
      </c>
    </row>
    <row r="1352" spans="1:4" x14ac:dyDescent="0.2">
      <c r="A1352" s="5">
        <v>1291</v>
      </c>
      <c r="B1352" s="1832">
        <f>'Expenditures 15-22'!E196</f>
        <v>153898</v>
      </c>
      <c r="C1352" s="2" t="s">
        <v>569</v>
      </c>
      <c r="D1352" s="2" t="str">
        <f t="shared" si="20"/>
        <v>Error?</v>
      </c>
    </row>
    <row r="1353" spans="1:4" x14ac:dyDescent="0.2">
      <c r="A1353" s="5">
        <v>1292</v>
      </c>
      <c r="B1353" s="1832">
        <f>'Expenditures 15-22'!E210</f>
        <v>157805</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3907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3907</v>
      </c>
      <c r="C1381" s="2" t="s">
        <v>569</v>
      </c>
      <c r="D1381" s="2" t="str">
        <f t="shared" si="20"/>
        <v>Error?</v>
      </c>
    </row>
    <row r="1382" spans="1:4" x14ac:dyDescent="0.2">
      <c r="A1382" s="5">
        <v>1321</v>
      </c>
      <c r="B1382" s="1832">
        <f>'Expenditures 15-22'!K196</f>
        <v>153898</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157805</v>
      </c>
      <c r="C1388" s="2" t="s">
        <v>569</v>
      </c>
      <c r="D1388" s="2" t="str">
        <f t="shared" si="20"/>
        <v>Error?</v>
      </c>
    </row>
    <row r="1389" spans="1:4" x14ac:dyDescent="0.2">
      <c r="A1389" s="5">
        <v>1328</v>
      </c>
      <c r="B1389" s="1832">
        <f>'Expenditures 15-22'!K211</f>
        <v>-70304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92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9313</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218</v>
      </c>
      <c r="D1423" s="2" t="str">
        <f t="shared" si="21"/>
        <v>Error?</v>
      </c>
    </row>
    <row r="1424" spans="1:4" x14ac:dyDescent="0.2">
      <c r="A1424" s="5">
        <v>1363</v>
      </c>
      <c r="B1424" s="1832">
        <f>'Expenditures 15-22'!D257</f>
        <v>822</v>
      </c>
      <c r="C1424" s="2" t="s">
        <v>569</v>
      </c>
      <c r="D1424" s="2" t="str">
        <f t="shared" si="21"/>
        <v>Error?</v>
      </c>
    </row>
    <row r="1425" spans="1:4" x14ac:dyDescent="0.2">
      <c r="A1425" s="5">
        <v>1364</v>
      </c>
      <c r="B1425" s="1832">
        <f>'Expenditures 15-22'!D259</f>
        <v>2986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2986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370</v>
      </c>
      <c r="D1429" s="2" t="str">
        <f t="shared" si="21"/>
        <v>Error?</v>
      </c>
    </row>
    <row r="1430" spans="1:4" x14ac:dyDescent="0.2">
      <c r="A1430" s="5">
        <v>1369</v>
      </c>
      <c r="B1430" s="1832">
        <f>'Expenditures 15-22'!D265</f>
        <v>2402</v>
      </c>
      <c r="D1430" s="2" t="str">
        <f t="shared" si="21"/>
        <v>Error?</v>
      </c>
    </row>
    <row r="1431" spans="1:4" x14ac:dyDescent="0.2">
      <c r="A1431" s="5">
        <v>1370</v>
      </c>
      <c r="B1431" s="1832">
        <f>'Expenditures 15-22'!D266</f>
        <v>919</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2002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5693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9501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18814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92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9313</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218</v>
      </c>
      <c r="C1487" s="2" t="s">
        <v>569</v>
      </c>
      <c r="D1487" s="2" t="str">
        <f t="shared" si="22"/>
        <v>Error?</v>
      </c>
    </row>
    <row r="1488" spans="1:4" x14ac:dyDescent="0.2">
      <c r="A1488" s="5">
        <v>1427</v>
      </c>
      <c r="B1488" s="1832">
        <f>'Expenditures 15-22'!K257</f>
        <v>822</v>
      </c>
      <c r="C1488" s="2" t="s">
        <v>569</v>
      </c>
      <c r="D1488" s="2" t="str">
        <f t="shared" si="22"/>
        <v>Error?</v>
      </c>
    </row>
    <row r="1489" spans="1:4" x14ac:dyDescent="0.2">
      <c r="A1489" s="5">
        <v>1428</v>
      </c>
      <c r="B1489" s="1832">
        <f>'Expenditures 15-22'!K259</f>
        <v>2986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2986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370</v>
      </c>
      <c r="C1493" s="2" t="s">
        <v>569</v>
      </c>
      <c r="D1493" s="2" t="str">
        <f t="shared" si="22"/>
        <v>Error?</v>
      </c>
    </row>
    <row r="1494" spans="1:4" x14ac:dyDescent="0.2">
      <c r="A1494" s="5">
        <v>1433</v>
      </c>
      <c r="B1494" s="1832">
        <f>'Expenditures 15-22'!K265</f>
        <v>2402</v>
      </c>
      <c r="C1494" s="2" t="s">
        <v>569</v>
      </c>
      <c r="D1494" s="2" t="str">
        <f t="shared" si="22"/>
        <v>Error?</v>
      </c>
    </row>
    <row r="1495" spans="1:4" x14ac:dyDescent="0.2">
      <c r="A1495" s="5">
        <v>1434</v>
      </c>
      <c r="B1495" s="1832">
        <f>'Expenditures 15-22'!K266</f>
        <v>919</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2002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5693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9501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18814</v>
      </c>
      <c r="C1517" s="2" t="s">
        <v>569</v>
      </c>
      <c r="D1517" s="2" t="str">
        <f t="shared" si="22"/>
        <v>Error?</v>
      </c>
    </row>
    <row r="1518" spans="1:4" x14ac:dyDescent="0.2">
      <c r="A1518" s="5">
        <v>1457</v>
      </c>
      <c r="B1518" s="1832">
        <f>'Expenditures 15-22'!K296</f>
        <v>-8802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222126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269798</v>
      </c>
      <c r="C1630" s="2" t="s">
        <v>569</v>
      </c>
      <c r="D1630" s="2" t="str">
        <f t="shared" si="24"/>
        <v>Error?</v>
      </c>
    </row>
    <row r="1631" spans="1:4" x14ac:dyDescent="0.2">
      <c r="A1631" s="5">
        <v>1570</v>
      </c>
      <c r="B1631" s="1832">
        <f>'Acct Summary 7-8'!D79</f>
        <v>16254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65580</v>
      </c>
      <c r="C1644" s="2" t="s">
        <v>569</v>
      </c>
      <c r="D1644" s="2" t="str">
        <f t="shared" si="24"/>
        <v>Error?</v>
      </c>
    </row>
    <row r="1645" spans="1:4" x14ac:dyDescent="0.2">
      <c r="A1645" s="5">
        <v>1584</v>
      </c>
      <c r="B1645" s="1832">
        <f>'Acct Summary 7-8'!E79</f>
        <v>3053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2596</v>
      </c>
      <c r="C1658" s="2" t="s">
        <v>569</v>
      </c>
      <c r="D1658" s="2" t="str">
        <f t="shared" si="24"/>
        <v>Error?</v>
      </c>
    </row>
    <row r="1659" spans="1:4" x14ac:dyDescent="0.2">
      <c r="A1659" s="5">
        <v>1598</v>
      </c>
      <c r="B1659" s="1832">
        <f>'Acct Summary 7-8'!F79</f>
        <v>21608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31304</v>
      </c>
      <c r="C1672" s="2" t="s">
        <v>569</v>
      </c>
      <c r="D1672" s="2" t="str">
        <f t="shared" si="25"/>
        <v>Error?</v>
      </c>
    </row>
    <row r="1673" spans="1:4" x14ac:dyDescent="0.2">
      <c r="A1673" s="5">
        <v>1612</v>
      </c>
      <c r="B1673" s="1832">
        <f>'Acct Summary 7-8'!G79</f>
        <v>65138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56336</v>
      </c>
      <c r="C1686" s="2" t="s">
        <v>569</v>
      </c>
      <c r="D1686" s="2" t="str">
        <f t="shared" si="25"/>
        <v>Error?</v>
      </c>
    </row>
    <row r="1687" spans="1:4" x14ac:dyDescent="0.2">
      <c r="A1687" s="5">
        <v>1626</v>
      </c>
      <c r="B1687" s="1832">
        <f>'Acct Summary 7-8'!H79</f>
        <v>100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100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290496</v>
      </c>
      <c r="C1744" s="2" t="s">
        <v>569</v>
      </c>
      <c r="D1744" s="2" t="str">
        <f t="shared" si="26"/>
        <v>Error?</v>
      </c>
    </row>
    <row r="1745" spans="1:5" x14ac:dyDescent="0.2">
      <c r="A1745" s="5">
        <v>1684</v>
      </c>
      <c r="B1745" s="1832">
        <f>'Tax Sched 23'!B5</f>
        <v>45109</v>
      </c>
      <c r="C1745" s="2" t="s">
        <v>569</v>
      </c>
      <c r="D1745" s="2" t="str">
        <f t="shared" si="26"/>
        <v>Error?</v>
      </c>
    </row>
    <row r="1746" spans="1:5" x14ac:dyDescent="0.2">
      <c r="A1746" s="5">
        <v>1685</v>
      </c>
      <c r="B1746" s="1832">
        <f>'Tax Sched 23'!B6</f>
        <v>93343</v>
      </c>
      <c r="C1746" s="2" t="s">
        <v>569</v>
      </c>
      <c r="D1746" s="2" t="str">
        <f t="shared" si="26"/>
        <v>Error?</v>
      </c>
    </row>
    <row r="1747" spans="1:5" x14ac:dyDescent="0.2">
      <c r="A1747" s="5">
        <v>1686</v>
      </c>
      <c r="B1747" s="1832">
        <f>'Tax Sched 23'!B7</f>
        <v>21651</v>
      </c>
      <c r="C1747" s="2" t="s">
        <v>569</v>
      </c>
      <c r="D1747" s="2" t="str">
        <f t="shared" si="26"/>
        <v>Error?</v>
      </c>
    </row>
    <row r="1748" spans="1:5" x14ac:dyDescent="0.2">
      <c r="A1748" s="5">
        <v>1687</v>
      </c>
      <c r="B1748" s="1832">
        <f>'Tax Sched 23'!B8</f>
        <v>5006</v>
      </c>
      <c r="C1748" s="2" t="s">
        <v>569</v>
      </c>
      <c r="D1748" s="2" t="str">
        <f t="shared" si="26"/>
        <v>Error?</v>
      </c>
    </row>
    <row r="1749" spans="1:5" x14ac:dyDescent="0.2">
      <c r="A1749" s="5">
        <v>1688</v>
      </c>
      <c r="B1749" s="1832">
        <f>'Tax Sched 23'!B10</f>
        <v>9021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60015</v>
      </c>
      <c r="C1752" s="2" t="s">
        <v>569</v>
      </c>
      <c r="D1752" s="2" t="str">
        <f t="shared" si="26"/>
        <v>Error?</v>
      </c>
    </row>
    <row r="1753" spans="1:5" x14ac:dyDescent="0.2">
      <c r="A1753" s="5">
        <v>1692</v>
      </c>
      <c r="B1753" s="1832">
        <f>'Tax Sched 23'!B12</f>
        <v>9022</v>
      </c>
      <c r="C1753" s="2" t="s">
        <v>569</v>
      </c>
      <c r="D1753" s="2" t="str">
        <f t="shared" si="26"/>
        <v>Error?</v>
      </c>
    </row>
    <row r="1754" spans="1:5" x14ac:dyDescent="0.2">
      <c r="A1754" s="5">
        <v>1693</v>
      </c>
      <c r="B1754" s="1832">
        <f>'Tax Sched 23'!B14</f>
        <v>3609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551300</v>
      </c>
      <c r="C1759" s="2" t="s">
        <v>569</v>
      </c>
      <c r="D1759" s="2" t="str">
        <f t="shared" si="26"/>
        <v>Error?</v>
      </c>
    </row>
    <row r="1760" spans="1:5" x14ac:dyDescent="0.2">
      <c r="A1760" s="5">
        <v>1699</v>
      </c>
      <c r="B1760" s="1832">
        <f>'Tax Sched 23'!D4</f>
        <v>290496</v>
      </c>
      <c r="C1760" s="2" t="s">
        <v>569</v>
      </c>
      <c r="D1760" s="2" t="str">
        <f t="shared" si="26"/>
        <v>Error?</v>
      </c>
    </row>
    <row r="1761" spans="1:7" x14ac:dyDescent="0.2">
      <c r="A1761" s="5">
        <v>1700</v>
      </c>
      <c r="B1761" s="1832">
        <f>'Tax Sched 23'!D5</f>
        <v>45109</v>
      </c>
      <c r="C1761" s="2" t="s">
        <v>569</v>
      </c>
      <c r="D1761" s="2" t="str">
        <f t="shared" si="26"/>
        <v>Error?</v>
      </c>
    </row>
    <row r="1762" spans="1:7" s="8" customFormat="1" x14ac:dyDescent="0.2">
      <c r="A1762" s="5">
        <v>1701</v>
      </c>
      <c r="B1762" s="1832">
        <f>'Tax Sched 23'!D6</f>
        <v>93343</v>
      </c>
      <c r="C1762" s="2" t="s">
        <v>569</v>
      </c>
      <c r="D1762" s="2" t="str">
        <f t="shared" si="26"/>
        <v>Error?</v>
      </c>
      <c r="E1762" s="9"/>
      <c r="G1762"/>
    </row>
    <row r="1763" spans="1:7" x14ac:dyDescent="0.2">
      <c r="A1763" s="5">
        <v>1702</v>
      </c>
      <c r="B1763" s="1832">
        <f>'Tax Sched 23'!D7</f>
        <v>21651</v>
      </c>
      <c r="C1763" s="2" t="s">
        <v>569</v>
      </c>
      <c r="D1763" s="2" t="str">
        <f t="shared" si="26"/>
        <v>Error?</v>
      </c>
    </row>
    <row r="1764" spans="1:7" x14ac:dyDescent="0.2">
      <c r="A1764" s="5">
        <v>1703</v>
      </c>
      <c r="B1764" s="1832">
        <f>'Tax Sched 23'!D8</f>
        <v>5006</v>
      </c>
      <c r="C1764" s="2" t="s">
        <v>569</v>
      </c>
      <c r="D1764" s="2" t="str">
        <f t="shared" si="26"/>
        <v>Error?</v>
      </c>
    </row>
    <row r="1765" spans="1:7" x14ac:dyDescent="0.2">
      <c r="A1765" s="5">
        <v>1704</v>
      </c>
      <c r="B1765" s="1832">
        <f>'Tax Sched 23'!D10</f>
        <v>9021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60015</v>
      </c>
      <c r="C1768" s="2" t="s">
        <v>569</v>
      </c>
      <c r="D1768" s="2" t="str">
        <f t="shared" si="26"/>
        <v>Error?</v>
      </c>
    </row>
    <row r="1769" spans="1:7" x14ac:dyDescent="0.2">
      <c r="A1769" s="5">
        <v>1708</v>
      </c>
      <c r="B1769" s="1832">
        <f>'Tax Sched 23'!D12</f>
        <v>9022</v>
      </c>
      <c r="C1769" s="2" t="s">
        <v>569</v>
      </c>
      <c r="D1769" s="2" t="str">
        <f t="shared" si="26"/>
        <v>Error?</v>
      </c>
    </row>
    <row r="1770" spans="1:7" x14ac:dyDescent="0.2">
      <c r="A1770" s="5">
        <v>1709</v>
      </c>
      <c r="B1770" s="1832">
        <f>'Tax Sched 23'!D14</f>
        <v>3609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551300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302097</v>
      </c>
      <c r="C1792" s="2" t="s">
        <v>569</v>
      </c>
      <c r="D1792" s="2" t="str">
        <f t="shared" si="27"/>
        <v>Error?</v>
      </c>
    </row>
    <row r="1793" spans="1:4" x14ac:dyDescent="0.2">
      <c r="A1793" s="5">
        <v>1732</v>
      </c>
      <c r="B1793" s="1832">
        <f>'Tax Sched 23'!F5</f>
        <v>46910</v>
      </c>
      <c r="C1793" s="2" t="s">
        <v>569</v>
      </c>
      <c r="D1793" s="2" t="str">
        <f t="shared" si="27"/>
        <v>Error?</v>
      </c>
    </row>
    <row r="1794" spans="1:4" x14ac:dyDescent="0.2">
      <c r="A1794" s="5">
        <v>1733</v>
      </c>
      <c r="B1794" s="1832">
        <f>'Tax Sched 23'!F6</f>
        <v>93980</v>
      </c>
      <c r="C1794" s="2" t="s">
        <v>569</v>
      </c>
      <c r="D1794" s="2" t="str">
        <f t="shared" si="27"/>
        <v>Error?</v>
      </c>
    </row>
    <row r="1795" spans="1:4" x14ac:dyDescent="0.2">
      <c r="A1795" s="5">
        <v>1734</v>
      </c>
      <c r="B1795" s="1832">
        <f>'Tax Sched 23'!F7</f>
        <v>22517</v>
      </c>
      <c r="C1795" s="2" t="s">
        <v>569</v>
      </c>
      <c r="D1795" s="2" t="str">
        <f t="shared" si="27"/>
        <v>Error?</v>
      </c>
    </row>
    <row r="1796" spans="1:4" x14ac:dyDescent="0.2">
      <c r="A1796" s="5">
        <v>1735</v>
      </c>
      <c r="B1796" s="1832">
        <f>'Tax Sched 23'!F8</f>
        <v>6001</v>
      </c>
      <c r="C1796" s="2" t="s">
        <v>569</v>
      </c>
      <c r="D1796" s="2" t="str">
        <f t="shared" si="27"/>
        <v>Error?</v>
      </c>
    </row>
    <row r="1797" spans="1:4" x14ac:dyDescent="0.2">
      <c r="A1797" s="5">
        <v>1736</v>
      </c>
      <c r="B1797" s="1832">
        <f>'Tax Sched 23'!F10</f>
        <v>9382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65000</v>
      </c>
      <c r="C1800" s="2" t="s">
        <v>569</v>
      </c>
      <c r="D1800" s="2" t="str">
        <f t="shared" si="27"/>
        <v>Error?</v>
      </c>
    </row>
    <row r="1801" spans="1:4" x14ac:dyDescent="0.2">
      <c r="A1801" s="5">
        <v>1740</v>
      </c>
      <c r="B1801" s="1832">
        <f>'Tax Sched 23'!F12</f>
        <v>9382</v>
      </c>
      <c r="C1801" s="2" t="s">
        <v>569</v>
      </c>
      <c r="D1801" s="2" t="str">
        <f t="shared" si="27"/>
        <v>Error?</v>
      </c>
    </row>
    <row r="1802" spans="1:4" x14ac:dyDescent="0.2">
      <c r="A1802" s="5">
        <v>1741</v>
      </c>
      <c r="B1802" s="1832">
        <f>'Tax Sched 23'!F14</f>
        <v>3753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574405</v>
      </c>
      <c r="C1807" s="2" t="s">
        <v>569</v>
      </c>
      <c r="D1807" s="2" t="str">
        <f t="shared" si="27"/>
        <v>Error?</v>
      </c>
    </row>
    <row r="1808" spans="1:4" x14ac:dyDescent="0.2">
      <c r="A1808" s="5">
        <v>1747</v>
      </c>
      <c r="B1808" s="1832">
        <f>'Tax Sched 23'!E4</f>
        <v>302097</v>
      </c>
      <c r="D1808" s="2" t="str">
        <f t="shared" si="27"/>
        <v>Error?</v>
      </c>
    </row>
    <row r="1809" spans="1:4" x14ac:dyDescent="0.2">
      <c r="A1809" s="5">
        <v>1748</v>
      </c>
      <c r="B1809" s="1832">
        <f>'Tax Sched 23'!E5</f>
        <v>46910</v>
      </c>
      <c r="D1809" s="2" t="str">
        <f t="shared" si="27"/>
        <v>Error?</v>
      </c>
    </row>
    <row r="1810" spans="1:4" x14ac:dyDescent="0.2">
      <c r="A1810" s="5">
        <v>1749</v>
      </c>
      <c r="B1810" s="1832">
        <f>'Tax Sched 23'!E6</f>
        <v>93980</v>
      </c>
      <c r="D1810" s="2" t="str">
        <f t="shared" si="27"/>
        <v>Error?</v>
      </c>
    </row>
    <row r="1811" spans="1:4" x14ac:dyDescent="0.2">
      <c r="A1811" s="5">
        <v>1750</v>
      </c>
      <c r="B1811" s="1832">
        <f>'Tax Sched 23'!E7</f>
        <v>22517</v>
      </c>
      <c r="D1811" s="2" t="str">
        <f t="shared" si="27"/>
        <v>Error?</v>
      </c>
    </row>
    <row r="1812" spans="1:4" x14ac:dyDescent="0.2">
      <c r="A1812" s="5">
        <v>1751</v>
      </c>
      <c r="B1812" s="1832">
        <f>'Tax Sched 23'!E8</f>
        <v>6001</v>
      </c>
      <c r="D1812" s="2" t="str">
        <f t="shared" si="27"/>
        <v>Error?</v>
      </c>
    </row>
    <row r="1813" spans="1:4" x14ac:dyDescent="0.2">
      <c r="A1813" s="5">
        <v>1752</v>
      </c>
      <c r="B1813" s="1832">
        <f>'Tax Sched 23'!E10</f>
        <v>9382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65000</v>
      </c>
      <c r="D1816" s="2" t="str">
        <f t="shared" si="27"/>
        <v>Error?</v>
      </c>
    </row>
    <row r="1817" spans="1:4" x14ac:dyDescent="0.2">
      <c r="A1817" s="5">
        <v>1756</v>
      </c>
      <c r="B1817" s="1832">
        <f>'Tax Sched 23'!E12</f>
        <v>9382</v>
      </c>
      <c r="D1817" s="2" t="str">
        <f t="shared" si="27"/>
        <v>Error?</v>
      </c>
    </row>
    <row r="1818" spans="1:4" x14ac:dyDescent="0.2">
      <c r="A1818" s="5">
        <v>1757</v>
      </c>
      <c r="B1818" s="1832">
        <f>'Tax Sched 23'!E14</f>
        <v>3753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574405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154000</v>
      </c>
      <c r="C1939" s="2" t="s">
        <v>569</v>
      </c>
      <c r="D1939" s="2" t="str">
        <f t="shared" si="29"/>
        <v>Error?</v>
      </c>
    </row>
    <row r="1940" spans="1:5" x14ac:dyDescent="0.2">
      <c r="A1940" s="5">
        <v>1879</v>
      </c>
      <c r="B1940" s="1832">
        <f>'Short-Term Long-Term Debt 24'!F49</f>
        <v>500000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3609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3609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3609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16260</v>
      </c>
      <c r="D2008" s="2" t="str">
        <f t="shared" si="30"/>
        <v>Error?</v>
      </c>
    </row>
    <row r="2009" spans="1:4" x14ac:dyDescent="0.2">
      <c r="A2009" s="5">
        <v>1948</v>
      </c>
      <c r="B2009" s="1832">
        <f>'Cap Outlay Deprec 26'!C8</f>
        <v>812084</v>
      </c>
      <c r="D2009" s="2" t="str">
        <f t="shared" si="30"/>
        <v>Error?</v>
      </c>
    </row>
    <row r="2010" spans="1:4" x14ac:dyDescent="0.2">
      <c r="A2010" s="5">
        <v>1949</v>
      </c>
      <c r="B2010" s="1832">
        <f>'Cap Outlay Deprec 26'!C10</f>
        <v>16994</v>
      </c>
      <c r="D2010" s="2" t="str">
        <f t="shared" si="30"/>
        <v>Error?</v>
      </c>
    </row>
    <row r="2011" spans="1:4" x14ac:dyDescent="0.2">
      <c r="A2011" s="5">
        <v>1950</v>
      </c>
      <c r="B2011" s="1832">
        <f>'Cap Outlay Deprec 26'!C12</f>
        <v>360139</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1205477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2670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2670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16260</v>
      </c>
      <c r="C2026" s="2" t="s">
        <v>569</v>
      </c>
      <c r="D2026" s="2" t="str">
        <f t="shared" si="30"/>
        <v>Error?</v>
      </c>
    </row>
    <row r="2027" spans="1:4" x14ac:dyDescent="0.2">
      <c r="A2027" s="5">
        <v>1966</v>
      </c>
      <c r="B2027" s="1832">
        <f>'Cap Outlay Deprec 26'!F8</f>
        <v>812084</v>
      </c>
      <c r="C2027" s="2" t="s">
        <v>569</v>
      </c>
      <c r="D2027" s="2" t="str">
        <f t="shared" si="30"/>
        <v>Error?</v>
      </c>
    </row>
    <row r="2028" spans="1:4" x14ac:dyDescent="0.2">
      <c r="A2028" s="5">
        <v>1967</v>
      </c>
      <c r="B2028" s="1832">
        <f>'Cap Outlay Deprec 26'!F10</f>
        <v>16994</v>
      </c>
      <c r="C2028" s="2" t="s">
        <v>569</v>
      </c>
      <c r="D2028" s="2" t="str">
        <f t="shared" si="30"/>
        <v>Error?</v>
      </c>
    </row>
    <row r="2029" spans="1:4" x14ac:dyDescent="0.2">
      <c r="A2029" s="5">
        <v>1968</v>
      </c>
      <c r="B2029" s="1832">
        <f>'Cap Outlay Deprec 26'!F12</f>
        <v>362809</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1208147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439491</v>
      </c>
      <c r="D2033" s="2" t="str">
        <f t="shared" si="30"/>
        <v>Error?</v>
      </c>
    </row>
    <row r="2034" spans="1:4" x14ac:dyDescent="0.2">
      <c r="A2034" s="5">
        <v>1973</v>
      </c>
      <c r="B2034" s="1832">
        <f>'Cap Outlay Deprec 26'!H10</f>
        <v>16994</v>
      </c>
      <c r="D2034" s="2" t="str">
        <f t="shared" si="30"/>
        <v>Error?</v>
      </c>
    </row>
    <row r="2035" spans="1:4" x14ac:dyDescent="0.2">
      <c r="A2035" s="5">
        <v>1974</v>
      </c>
      <c r="B2035" s="1832">
        <f>'Cap Outlay Deprec 26'!H12</f>
        <v>338489</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794974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16176</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3714</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19890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455667</v>
      </c>
      <c r="C2051" s="2" t="s">
        <v>569</v>
      </c>
      <c r="D2051" s="2" t="str">
        <f t="shared" si="31"/>
        <v>Error?</v>
      </c>
    </row>
    <row r="2052" spans="1:4" x14ac:dyDescent="0.2">
      <c r="A2052" s="5">
        <v>1991</v>
      </c>
      <c r="B2052" s="1832">
        <f>'Cap Outlay Deprec 26'!K10</f>
        <v>16994</v>
      </c>
      <c r="C2052" s="2" t="s">
        <v>569</v>
      </c>
      <c r="D2052" s="2" t="str">
        <f t="shared" si="31"/>
        <v>Error?</v>
      </c>
    </row>
    <row r="2053" spans="1:4" x14ac:dyDescent="0.2">
      <c r="A2053" s="5">
        <v>1992</v>
      </c>
      <c r="B2053" s="1832">
        <f>'Cap Outlay Deprec 26'!K12</f>
        <v>342203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814864</v>
      </c>
      <c r="C2055" s="2" t="s">
        <v>569</v>
      </c>
      <c r="D2055" s="2" t="str">
        <f t="shared" si="31"/>
        <v>Error?</v>
      </c>
    </row>
    <row r="2056" spans="1:4" x14ac:dyDescent="0.2">
      <c r="A2056" s="5">
        <v>1995</v>
      </c>
      <c r="B2056" s="1832">
        <f>'Cap Outlay Deprec 26'!L5</f>
        <v>16260</v>
      </c>
      <c r="C2056" s="2" t="s">
        <v>569</v>
      </c>
      <c r="D2056" s="2" t="str">
        <f t="shared" si="31"/>
        <v>Error?</v>
      </c>
    </row>
    <row r="2057" spans="1:4" x14ac:dyDescent="0.2">
      <c r="A2057" s="5">
        <v>1996</v>
      </c>
      <c r="B2057" s="1832">
        <f>'Cap Outlay Deprec 26'!L8</f>
        <v>356417</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20606</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393283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362580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81554</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363367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865703</v>
      </c>
      <c r="C2553" s="2" t="s">
        <v>569</v>
      </c>
      <c r="D2553" s="2" t="str">
        <f t="shared" si="38"/>
        <v>Error?</v>
      </c>
    </row>
    <row r="2554" spans="1:4" x14ac:dyDescent="0.2">
      <c r="A2554" s="5">
        <v>2493</v>
      </c>
      <c r="B2554" s="1832">
        <f>'Acct Summary 7-8'!C7</f>
        <v>99772</v>
      </c>
      <c r="C2554" s="2" t="s">
        <v>569</v>
      </c>
      <c r="D2554" s="2" t="str">
        <f t="shared" si="38"/>
        <v>Error?</v>
      </c>
    </row>
    <row r="2555" spans="1:4" x14ac:dyDescent="0.2">
      <c r="A2555" s="5">
        <v>2494</v>
      </c>
      <c r="B2555" s="1832">
        <f>'Acct Summary 7-8'!C8</f>
        <v>1328842</v>
      </c>
      <c r="C2555" s="2" t="s">
        <v>569</v>
      </c>
      <c r="D2555" s="2" t="str">
        <f t="shared" si="38"/>
        <v>Error?</v>
      </c>
    </row>
    <row r="2556" spans="1:4" x14ac:dyDescent="0.2">
      <c r="A2556" s="5">
        <v>2495</v>
      </c>
      <c r="B2556" s="1832">
        <f>'Acct Summary 7-8'!C12</f>
        <v>623249</v>
      </c>
      <c r="C2556" s="2" t="s">
        <v>569</v>
      </c>
      <c r="D2556" s="2" t="str">
        <f t="shared" si="38"/>
        <v>Error?</v>
      </c>
    </row>
    <row r="2557" spans="1:4" x14ac:dyDescent="0.2">
      <c r="A2557" s="5">
        <v>2496</v>
      </c>
      <c r="B2557" s="1832">
        <f>'Acct Summary 7-8'!C13</f>
        <v>295341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362580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1281170</v>
      </c>
      <c r="C2561" s="2" t="s">
        <v>569</v>
      </c>
      <c r="D2561" s="2" t="str">
        <f t="shared" si="39"/>
        <v>Error?</v>
      </c>
    </row>
    <row r="2562" spans="1:4" x14ac:dyDescent="0.2">
      <c r="A2562" s="5">
        <v>2501</v>
      </c>
      <c r="B2562" s="1832">
        <f>'Acct Summary 7-8'!C20</f>
        <v>47672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45109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39100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84209</v>
      </c>
      <c r="C2568" s="2" t="s">
        <v>569</v>
      </c>
      <c r="D2568" s="2" t="str">
        <f t="shared" si="39"/>
        <v>Error?</v>
      </c>
    </row>
    <row r="2569" spans="1:4" x14ac:dyDescent="0.2">
      <c r="A2569" s="5">
        <v>2508</v>
      </c>
      <c r="B2569" s="1832">
        <f>'Acct Summary 7-8'!D13</f>
        <v>54883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54883</v>
      </c>
      <c r="C2573" s="2" t="s">
        <v>569</v>
      </c>
      <c r="D2573" s="2" t="str">
        <f t="shared" si="39"/>
        <v>Error?</v>
      </c>
    </row>
    <row r="2574" spans="1:4" x14ac:dyDescent="0.2">
      <c r="A2574" s="5">
        <v>2513</v>
      </c>
      <c r="B2574" s="1832">
        <f>'Acct Summary 7-8'!D20</f>
        <v>29326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21651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65850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87501</v>
      </c>
      <c r="C2595" s="2" t="s">
        <v>569</v>
      </c>
      <c r="D2595" s="2" t="str">
        <f t="shared" si="39"/>
        <v>Error?</v>
      </c>
    </row>
    <row r="2596" spans="1:4" x14ac:dyDescent="0.2">
      <c r="A2596" s="5">
        <v>2535</v>
      </c>
      <c r="B2596" s="1832">
        <f>'Acct Summary 7-8'!F13</f>
        <v>3907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153898</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157805</v>
      </c>
      <c r="C2600" s="2" t="s">
        <v>569</v>
      </c>
      <c r="D2600" s="2" t="str">
        <f t="shared" si="39"/>
        <v>Error?</v>
      </c>
    </row>
    <row r="2601" spans="1:4" x14ac:dyDescent="0.2">
      <c r="A2601" s="5">
        <v>2540</v>
      </c>
      <c r="B2601" s="1832">
        <f>'Acct Summary 7-8'!F20</f>
        <v>-70304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10012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10012</v>
      </c>
      <c r="C2606" s="2" t="s">
        <v>569</v>
      </c>
      <c r="D2606" s="2" t="str">
        <f t="shared" si="39"/>
        <v>Error?</v>
      </c>
    </row>
    <row r="2607" spans="1:4" x14ac:dyDescent="0.2">
      <c r="A2607" s="5">
        <v>2546</v>
      </c>
      <c r="B2607" s="1832">
        <f>'Acct Summary 7-8'!G12</f>
        <v>9313</v>
      </c>
      <c r="C2607" s="2" t="s">
        <v>569</v>
      </c>
      <c r="D2607" s="2" t="str">
        <f t="shared" si="39"/>
        <v>Error?</v>
      </c>
    </row>
    <row r="2608" spans="1:4" x14ac:dyDescent="0.2">
      <c r="A2608" s="5">
        <v>2547</v>
      </c>
      <c r="B2608" s="1832">
        <f>'Acct Summary 7-8'!G13</f>
        <v>9501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18814</v>
      </c>
      <c r="C2612" s="2" t="s">
        <v>569</v>
      </c>
      <c r="D2612" s="2" t="str">
        <f t="shared" si="39"/>
        <v>Error?</v>
      </c>
    </row>
    <row r="2613" spans="1:4" x14ac:dyDescent="0.2">
      <c r="A2613" s="5">
        <v>2552</v>
      </c>
      <c r="B2613" s="1832">
        <f>'Acct Summary 7-8'!G20</f>
        <v>-8802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93343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93343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93800</v>
      </c>
      <c r="C2634" s="2" t="s">
        <v>569</v>
      </c>
      <c r="D2634" s="2" t="str">
        <f t="shared" si="40"/>
        <v>Error?</v>
      </c>
    </row>
    <row r="2635" spans="1:4" x14ac:dyDescent="0.2">
      <c r="A2635" s="5">
        <v>2574</v>
      </c>
      <c r="B2635" s="1832">
        <f>'Acct Summary 7-8'!E17</f>
        <v>93800</v>
      </c>
      <c r="C2635" s="2" t="s">
        <v>569</v>
      </c>
      <c r="D2635" s="2" t="str">
        <f t="shared" si="40"/>
        <v>Error?</v>
      </c>
    </row>
    <row r="2636" spans="1:4" x14ac:dyDescent="0.2">
      <c r="A2636" s="5">
        <v>2575</v>
      </c>
      <c r="B2636" s="1832">
        <f>'Acct Summary 7-8'!E20</f>
        <v>-457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4000</v>
      </c>
      <c r="D2718" s="2" t="str">
        <f t="shared" si="41"/>
        <v>Error?</v>
      </c>
    </row>
    <row r="2719" spans="1:4" x14ac:dyDescent="0.2">
      <c r="A2719" s="5">
        <v>2658</v>
      </c>
      <c r="B2719" s="1832">
        <f>'Expenditures 15-22'!D51</f>
        <v>547</v>
      </c>
      <c r="D2719" s="2" t="str">
        <f t="shared" si="41"/>
        <v>Error?</v>
      </c>
    </row>
    <row r="2720" spans="1:4" x14ac:dyDescent="0.2">
      <c r="A2720" s="5">
        <v>2659</v>
      </c>
      <c r="B2720" s="1832">
        <f>'Expenditures 15-22'!E51</f>
        <v>550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5097</v>
      </c>
      <c r="C2724" s="2" t="s">
        <v>569</v>
      </c>
      <c r="D2724" s="2" t="str">
        <f t="shared" si="41"/>
        <v>Error?</v>
      </c>
    </row>
    <row r="2725" spans="1:4" x14ac:dyDescent="0.2">
      <c r="A2725" s="5">
        <v>2664</v>
      </c>
      <c r="B2725" s="1832">
        <f>'Expenditures 15-22'!D247</f>
        <v>58</v>
      </c>
      <c r="D2725" s="2" t="str">
        <f t="shared" si="41"/>
        <v>Error?</v>
      </c>
    </row>
    <row r="2726" spans="1:4" x14ac:dyDescent="0.2">
      <c r="A2726" s="5">
        <v>2665</v>
      </c>
      <c r="B2726" s="1832">
        <f>'Expenditures 15-22'!K247</f>
        <v>58</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362580</v>
      </c>
      <c r="C2789" s="2" t="s">
        <v>569</v>
      </c>
      <c r="D2789" s="2" t="str">
        <f t="shared" si="42"/>
        <v>Error?</v>
      </c>
    </row>
    <row r="2790" spans="1:4" x14ac:dyDescent="0.2">
      <c r="A2790" s="5">
        <v>2729</v>
      </c>
      <c r="B2790" s="1832">
        <f>'Expenditures 15-22'!E102</f>
        <v>362580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153898</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153898</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513845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9988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513845</v>
      </c>
      <c r="D2912" s="2" t="str">
        <f t="shared" si="44"/>
        <v>Error?</v>
      </c>
    </row>
    <row r="2913" spans="1:4" x14ac:dyDescent="0.2">
      <c r="A2913" s="5">
        <v>2852</v>
      </c>
      <c r="B2913" s="1832">
        <f>'Assets-Liab 5-6'!I41</f>
        <v>513845</v>
      </c>
      <c r="C2913" s="2" t="s">
        <v>569</v>
      </c>
      <c r="D2913" s="2" t="str">
        <f t="shared" si="44"/>
        <v>Error?</v>
      </c>
    </row>
    <row r="2914" spans="1:4" x14ac:dyDescent="0.2">
      <c r="A2914" s="5">
        <v>2853</v>
      </c>
      <c r="B2914" s="1832">
        <f>'Assets-Liab 5-6'!L33</f>
        <v>9988</v>
      </c>
      <c r="D2914" s="2" t="str">
        <f t="shared" si="44"/>
        <v>Error?</v>
      </c>
    </row>
    <row r="2915" spans="1:4" x14ac:dyDescent="0.2">
      <c r="A2915" s="10">
        <v>2854</v>
      </c>
      <c r="B2915" s="1832"/>
      <c r="D2915" s="2" t="str">
        <f t="shared" si="44"/>
        <v>OK</v>
      </c>
    </row>
    <row r="2916" spans="1:4" x14ac:dyDescent="0.2">
      <c r="A2916" s="5">
        <v>2855</v>
      </c>
      <c r="B2916" s="1832">
        <f>'Assets-Liab 5-6'!L34</f>
        <v>9988</v>
      </c>
      <c r="C2916" s="2" t="s">
        <v>569</v>
      </c>
      <c r="D2916" s="2" t="str">
        <f t="shared" si="44"/>
        <v>Error?</v>
      </c>
    </row>
    <row r="2917" spans="1:4" x14ac:dyDescent="0.2">
      <c r="A2917" s="5">
        <v>2856</v>
      </c>
      <c r="B2917" s="1832">
        <f>'Assets-Liab 5-6'!L41</f>
        <v>9988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35051</v>
      </c>
      <c r="D2949" s="2" t="str">
        <f t="shared" si="45"/>
        <v>Error?</v>
      </c>
    </row>
    <row r="2950" spans="1:4" x14ac:dyDescent="0.2">
      <c r="A2950" s="5">
        <v>2889</v>
      </c>
      <c r="B2950" s="1832">
        <f>'Expenditures 15-22'!E79</f>
        <v>291609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35920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35051</v>
      </c>
      <c r="C2973" s="2" t="s">
        <v>569</v>
      </c>
      <c r="D2973" s="2" t="str">
        <f t="shared" si="45"/>
        <v>Error?</v>
      </c>
    </row>
    <row r="2974" spans="1:4" x14ac:dyDescent="0.2">
      <c r="A2974" s="5">
        <v>2913</v>
      </c>
      <c r="B2974" s="1832">
        <f>'Expenditures 15-22'!K79</f>
        <v>291609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35920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36915</v>
      </c>
      <c r="D2989" s="2" t="str">
        <f t="shared" si="45"/>
        <v>Error?</v>
      </c>
    </row>
    <row r="2990" spans="1:4" x14ac:dyDescent="0.2">
      <c r="A2990" s="5">
        <v>2929</v>
      </c>
      <c r="B2990" s="1832">
        <f>'Expenditures 15-22'!E189</f>
        <v>116983</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36915</v>
      </c>
      <c r="C3007" s="2" t="s">
        <v>569</v>
      </c>
      <c r="D3007" s="2" t="str">
        <f t="shared" ref="D3007:D3070" si="46">IF(ISBLANK(B3007),"OK",IF(A3007-B3007=0,"OK","Error?"))</f>
        <v>Error?</v>
      </c>
    </row>
    <row r="3008" spans="1:4" x14ac:dyDescent="0.2">
      <c r="A3008" s="5">
        <v>2947</v>
      </c>
      <c r="B3008" s="1832">
        <f>'Expenditures 15-22'!K189</f>
        <v>116983</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16036</v>
      </c>
      <c r="D3055" s="2" t="str">
        <f t="shared" si="46"/>
        <v>Error?</v>
      </c>
    </row>
    <row r="3056" spans="1:4" x14ac:dyDescent="0.2">
      <c r="A3056" s="5">
        <v>2995</v>
      </c>
      <c r="B3056" s="1832">
        <f>'Expenditures 15-22'!D10</f>
        <v>2209</v>
      </c>
      <c r="D3056" s="2" t="str">
        <f t="shared" si="46"/>
        <v>Error?</v>
      </c>
    </row>
    <row r="3057" spans="1:4" x14ac:dyDescent="0.2">
      <c r="A3057" s="5">
        <v>2996</v>
      </c>
      <c r="B3057" s="1832">
        <f>'Expenditures 15-22'!E10</f>
        <v>688</v>
      </c>
      <c r="D3057" s="2" t="str">
        <f t="shared" si="46"/>
        <v>Error?</v>
      </c>
    </row>
    <row r="3058" spans="1:4" x14ac:dyDescent="0.2">
      <c r="A3058" s="5">
        <v>2997</v>
      </c>
      <c r="B3058" s="1832">
        <f>'Expenditures 15-22'!F10</f>
        <v>11917</v>
      </c>
      <c r="D3058" s="2" t="str">
        <f t="shared" si="46"/>
        <v>Error?</v>
      </c>
    </row>
    <row r="3059" spans="1:4" x14ac:dyDescent="0.2">
      <c r="A3059" s="5">
        <v>2998</v>
      </c>
      <c r="B3059" s="1832">
        <f>'Expenditures 15-22'!G10</f>
        <v>952</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31802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142</v>
      </c>
      <c r="D3064" s="2" t="str">
        <f t="shared" si="46"/>
        <v>Error?</v>
      </c>
    </row>
    <row r="3065" spans="1:4" x14ac:dyDescent="0.2">
      <c r="A3065" s="5">
        <v>3004</v>
      </c>
      <c r="B3065" s="1832">
        <f>'Expenditures 15-22'!K219</f>
        <v>142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9021</v>
      </c>
      <c r="C3225" s="2" t="s">
        <v>569</v>
      </c>
      <c r="D3225" s="2" t="str">
        <f t="shared" si="49"/>
        <v>Error?</v>
      </c>
    </row>
    <row r="3226" spans="1:4" x14ac:dyDescent="0.2">
      <c r="A3226" s="5">
        <v>3165</v>
      </c>
      <c r="B3226" s="1832">
        <f>'Acct Summary 7-8'!I8</f>
        <v>9021</v>
      </c>
      <c r="C3226" s="2" t="s">
        <v>569</v>
      </c>
      <c r="D3226" s="2" t="str">
        <f t="shared" si="49"/>
        <v>Error?</v>
      </c>
    </row>
    <row r="3227" spans="1:4" x14ac:dyDescent="0.2">
      <c r="A3227" s="5">
        <v>3166</v>
      </c>
      <c r="B3227" s="1832">
        <f>'Acct Summary 7-8'!I20</f>
        <v>9021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47672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20000</v>
      </c>
      <c r="C3238" s="2" t="s">
        <v>569</v>
      </c>
      <c r="D3238" s="2" t="str">
        <f t="shared" si="49"/>
        <v>Error?</v>
      </c>
    </row>
    <row r="3239" spans="1:4" x14ac:dyDescent="0.2">
      <c r="A3239" s="5">
        <v>3178</v>
      </c>
      <c r="B3239" s="1832">
        <f>'Acct Summary 7-8'!D78</f>
        <v>49326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80000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80000</v>
      </c>
      <c r="C3255" s="2" t="s">
        <v>569</v>
      </c>
      <c r="D3255" s="2" t="str">
        <f t="shared" si="49"/>
        <v>Error?</v>
      </c>
    </row>
    <row r="3256" spans="1:4" x14ac:dyDescent="0.2">
      <c r="A3256" s="5">
        <v>3195</v>
      </c>
      <c r="B3256" s="1832">
        <f>'Acct Summary 7-8'!F78</f>
        <v>9696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-8802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-457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500000</v>
      </c>
      <c r="C3317" s="2" t="s">
        <v>569</v>
      </c>
      <c r="D3317" s="2" t="str">
        <f t="shared" si="50"/>
        <v>Error?</v>
      </c>
    </row>
    <row r="3318" spans="1:4" x14ac:dyDescent="0.2">
      <c r="A3318" s="5">
        <v>3257</v>
      </c>
      <c r="B3318" s="1832">
        <f>'Acct Summary 7-8'!I76</f>
        <v>100000</v>
      </c>
      <c r="C3318" s="2" t="s">
        <v>569</v>
      </c>
      <c r="D3318" s="2" t="str">
        <f t="shared" si="50"/>
        <v>Error?</v>
      </c>
    </row>
    <row r="3319" spans="1:4" x14ac:dyDescent="0.2">
      <c r="A3319" s="5">
        <v>3258</v>
      </c>
      <c r="B3319" s="1832">
        <f>'Acct Summary 7-8'!I77</f>
        <v>400000</v>
      </c>
      <c r="C3319" s="2" t="s">
        <v>569</v>
      </c>
      <c r="D3319" s="2" t="str">
        <f t="shared" si="50"/>
        <v>Error?</v>
      </c>
    </row>
    <row r="3320" spans="1:4" x14ac:dyDescent="0.2">
      <c r="A3320" s="5">
        <v>3259</v>
      </c>
      <c r="B3320" s="1832">
        <f>'Acct Summary 7-8'!I78</f>
        <v>409021</v>
      </c>
      <c r="C3320" s="2" t="s">
        <v>569</v>
      </c>
      <c r="D3320" s="2" t="str">
        <f t="shared" si="50"/>
        <v>Error?</v>
      </c>
    </row>
    <row r="3321" spans="1:4" x14ac:dyDescent="0.2">
      <c r="A3321" s="5">
        <v>3260</v>
      </c>
      <c r="B3321" s="1832">
        <f>'Acct Summary 7-8'!I79</f>
        <v>104824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513845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89568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8044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97612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6145</v>
      </c>
      <c r="D3387" s="2" t="str">
        <f t="shared" si="51"/>
        <v>Error?</v>
      </c>
    </row>
    <row r="3388" spans="1:4" x14ac:dyDescent="0.2">
      <c r="A3388" s="5">
        <v>3327</v>
      </c>
      <c r="B3388" s="1832">
        <f>'Expenditures 15-22'!D217</f>
        <v>2934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6145</v>
      </c>
      <c r="C3390" s="2" t="s">
        <v>569</v>
      </c>
      <c r="D3390" s="2" t="str">
        <f t="shared" si="51"/>
        <v>Error?</v>
      </c>
    </row>
    <row r="3391" spans="1:4" x14ac:dyDescent="0.2">
      <c r="A3391" s="5">
        <v>3330</v>
      </c>
      <c r="B3391" s="1832">
        <f>'Expenditures 15-22'!K217</f>
        <v>2934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269798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65580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2596</v>
      </c>
      <c r="D3417" s="2" t="str">
        <f t="shared" si="52"/>
        <v>Error?</v>
      </c>
    </row>
    <row r="3418" spans="1:4" x14ac:dyDescent="0.2">
      <c r="A3418" s="10">
        <v>3357</v>
      </c>
      <c r="B3418" s="1832"/>
      <c r="D3418" s="2" t="str">
        <f t="shared" si="52"/>
        <v>OK</v>
      </c>
    </row>
    <row r="3419" spans="1:4" x14ac:dyDescent="0.2">
      <c r="A3419" s="5">
        <v>3358</v>
      </c>
      <c r="B3419" s="1832">
        <f>'Assets-Liab 5-6'!F4</f>
        <v>31304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56336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100</v>
      </c>
      <c r="D3425" s="2" t="str">
        <f t="shared" si="52"/>
        <v>Error?</v>
      </c>
    </row>
    <row r="3426" spans="1:4" x14ac:dyDescent="0.2">
      <c r="A3426" s="10">
        <v>3365</v>
      </c>
      <c r="B3426" s="1832"/>
      <c r="D3426" s="2" t="str">
        <f t="shared" si="52"/>
        <v>OK</v>
      </c>
    </row>
    <row r="3427" spans="1:4" x14ac:dyDescent="0.2">
      <c r="A3427" s="5">
        <v>3366</v>
      </c>
      <c r="B3427" s="1832">
        <f>'Assets-Liab 5-6'!I4</f>
        <v>513845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9988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5006</v>
      </c>
      <c r="C3446" s="2" t="s">
        <v>569</v>
      </c>
      <c r="D3446" s="2" t="str">
        <f t="shared" si="52"/>
        <v>Error?</v>
      </c>
    </row>
    <row r="3447" spans="1:4" x14ac:dyDescent="0.2">
      <c r="A3447" s="5">
        <v>3386</v>
      </c>
      <c r="B3447" s="1832">
        <f>'Tax Sched 23'!D16</f>
        <v>5006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6001</v>
      </c>
      <c r="C3449" s="2" t="s">
        <v>569</v>
      </c>
      <c r="D3449" s="2" t="str">
        <f t="shared" si="52"/>
        <v>Error?</v>
      </c>
    </row>
    <row r="3450" spans="1:4" x14ac:dyDescent="0.2">
      <c r="A3450" s="5">
        <v>3389</v>
      </c>
      <c r="B3450" s="1832">
        <f>'Tax Sched 23'!E16</f>
        <v>6001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68955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68955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68955</v>
      </c>
      <c r="D3567" s="2" t="str">
        <f t="shared" si="54"/>
        <v>Error?</v>
      </c>
    </row>
    <row r="3568" spans="1:4" x14ac:dyDescent="0.2">
      <c r="A3568" s="5">
        <v>3507</v>
      </c>
      <c r="B3568" s="1832">
        <f>'Assets-Liab 5-6'!K41</f>
        <v>68955</v>
      </c>
      <c r="C3568" s="2" t="s">
        <v>569</v>
      </c>
      <c r="D3568" s="2" t="str">
        <f t="shared" si="54"/>
        <v>Error?</v>
      </c>
    </row>
    <row r="3569" spans="1:4" x14ac:dyDescent="0.2">
      <c r="A3569" s="5">
        <v>3508</v>
      </c>
      <c r="B3569" s="1832">
        <f>'Acct Summary 7-8'!K4</f>
        <v>9022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9022</v>
      </c>
      <c r="C3571" s="2" t="s">
        <v>569</v>
      </c>
      <c r="D3571" s="2" t="str">
        <f t="shared" si="54"/>
        <v>Error?</v>
      </c>
    </row>
    <row r="3572" spans="1:4" x14ac:dyDescent="0.2">
      <c r="A3572" s="5">
        <v>3511</v>
      </c>
      <c r="B3572" s="1832">
        <f>'Acct Summary 7-8'!K13</f>
        <v>2306</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2306</v>
      </c>
      <c r="C3575" s="2" t="s">
        <v>569</v>
      </c>
      <c r="D3575" s="2" t="str">
        <f t="shared" si="54"/>
        <v>Error?</v>
      </c>
    </row>
    <row r="3576" spans="1:4" x14ac:dyDescent="0.2">
      <c r="A3576" s="5">
        <v>3515</v>
      </c>
      <c r="B3576" s="1832">
        <f>'Acct Summary 7-8'!K20</f>
        <v>6716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6716</v>
      </c>
      <c r="C3588" s="2" t="s">
        <v>569</v>
      </c>
      <c r="D3588" s="2" t="str">
        <f t="shared" si="55"/>
        <v>Error?</v>
      </c>
    </row>
    <row r="3589" spans="1:4" x14ac:dyDescent="0.2">
      <c r="A3589" s="5">
        <v>3528</v>
      </c>
      <c r="B3589" s="1832">
        <f>'Acct Summary 7-8'!K79</f>
        <v>62239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68955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338</v>
      </c>
      <c r="D3631" s="2" t="str">
        <f t="shared" si="55"/>
        <v>Error?</v>
      </c>
    </row>
    <row r="3632" spans="1:4" x14ac:dyDescent="0.2">
      <c r="A3632" s="5">
        <v>3571</v>
      </c>
      <c r="B3632" s="1832">
        <f>'Expenditures 15-22'!E349</f>
        <v>960</v>
      </c>
      <c r="D3632" s="2" t="str">
        <f t="shared" si="55"/>
        <v>Error?</v>
      </c>
    </row>
    <row r="3633" spans="1:4" x14ac:dyDescent="0.2">
      <c r="A3633" s="5">
        <v>3572</v>
      </c>
      <c r="B3633" s="1832">
        <f>'Expenditures 15-22'!E350</f>
        <v>1298</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1298</v>
      </c>
      <c r="C3635" s="2" t="s">
        <v>569</v>
      </c>
      <c r="D3635" s="2" t="str">
        <f t="shared" si="55"/>
        <v>Error?</v>
      </c>
    </row>
    <row r="3636" spans="1:4" x14ac:dyDescent="0.2">
      <c r="A3636" s="5">
        <v>3575</v>
      </c>
      <c r="B3636" s="1832">
        <f>'Expenditures 15-22'!E367</f>
        <v>1298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1008</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1008</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1008</v>
      </c>
      <c r="C3649" s="2" t="s">
        <v>569</v>
      </c>
      <c r="D3649" s="2" t="str">
        <f t="shared" si="56"/>
        <v>Error?</v>
      </c>
    </row>
    <row r="3650" spans="1:4" x14ac:dyDescent="0.2">
      <c r="A3650" s="5">
        <v>3589</v>
      </c>
      <c r="B3650" s="1832">
        <f>'Expenditures 15-22'!G367</f>
        <v>1008</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1346</v>
      </c>
      <c r="C3668" s="2" t="s">
        <v>569</v>
      </c>
      <c r="D3668" s="2" t="str">
        <f t="shared" si="56"/>
        <v>Error?</v>
      </c>
    </row>
    <row r="3669" spans="1:4" x14ac:dyDescent="0.2">
      <c r="A3669" s="5">
        <v>3608</v>
      </c>
      <c r="B3669" s="1832">
        <f>'Expenditures 15-22'!K349</f>
        <v>960</v>
      </c>
      <c r="C3669" s="2" t="s">
        <v>569</v>
      </c>
      <c r="D3669" s="2" t="str">
        <f t="shared" si="56"/>
        <v>Error?</v>
      </c>
    </row>
    <row r="3670" spans="1:4" x14ac:dyDescent="0.2">
      <c r="A3670" s="5">
        <v>3609</v>
      </c>
      <c r="B3670" s="1832">
        <f>'Expenditures 15-22'!K350</f>
        <v>2306</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2306</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2306</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6716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9022</v>
      </c>
      <c r="C3725" s="2" t="s">
        <v>569</v>
      </c>
      <c r="D3725" s="2" t="str">
        <f t="shared" si="57"/>
        <v>Error?</v>
      </c>
    </row>
    <row r="3726" spans="1:4" x14ac:dyDescent="0.2">
      <c r="A3726" s="5">
        <v>3665</v>
      </c>
      <c r="B3726" s="1832">
        <f>'Tax Sched 23'!D13</f>
        <v>9022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9382</v>
      </c>
      <c r="C3728" s="2" t="s">
        <v>569</v>
      </c>
      <c r="D3728" s="2" t="str">
        <f t="shared" si="57"/>
        <v>Error?</v>
      </c>
    </row>
    <row r="3729" spans="1:4" x14ac:dyDescent="0.2">
      <c r="A3729" s="5">
        <v>3668</v>
      </c>
      <c r="B3729" s="1832">
        <f>'Tax Sched 23'!E13</f>
        <v>9382</v>
      </c>
      <c r="D3729" s="2" t="str">
        <f t="shared" si="57"/>
        <v>Error?</v>
      </c>
    </row>
    <row r="3730" spans="1:4" x14ac:dyDescent="0.2">
      <c r="A3730" s="5">
        <v>3669</v>
      </c>
      <c r="B3730" s="1832">
        <f>'ICR Computation 30'!E10</f>
        <v>49139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79495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1408337</v>
      </c>
      <c r="C4122" s="2" t="s">
        <v>569</v>
      </c>
      <c r="D4122" s="2" t="str">
        <f t="shared" si="63"/>
        <v>Error?</v>
      </c>
    </row>
    <row r="4123" spans="1:4" x14ac:dyDescent="0.2">
      <c r="A4123" s="5">
        <v>4062</v>
      </c>
      <c r="B4123" s="1832">
        <f>'Acct Summary 7-8'!D10</f>
        <v>84209</v>
      </c>
      <c r="C4123" s="2" t="s">
        <v>569</v>
      </c>
      <c r="D4123" s="2" t="str">
        <f t="shared" si="63"/>
        <v>Error?</v>
      </c>
    </row>
    <row r="4124" spans="1:4" x14ac:dyDescent="0.2">
      <c r="A4124" s="5">
        <v>4063</v>
      </c>
      <c r="B4124" s="1832">
        <f>'Acct Summary 7-8'!E10</f>
        <v>93343</v>
      </c>
      <c r="C4124" s="2" t="s">
        <v>569</v>
      </c>
      <c r="D4124" s="2" t="str">
        <f t="shared" si="63"/>
        <v>Error?</v>
      </c>
    </row>
    <row r="4125" spans="1:4" x14ac:dyDescent="0.2">
      <c r="A4125" s="5">
        <v>4064</v>
      </c>
      <c r="B4125" s="1832">
        <f>'Acct Summary 7-8'!F10</f>
        <v>87501</v>
      </c>
      <c r="C4125" s="2" t="s">
        <v>569</v>
      </c>
      <c r="D4125" s="2" t="str">
        <f t="shared" si="63"/>
        <v>Error?</v>
      </c>
    </row>
    <row r="4126" spans="1:4" x14ac:dyDescent="0.2">
      <c r="A4126" s="5">
        <v>4065</v>
      </c>
      <c r="B4126" s="1832">
        <f>'Acct Summary 7-8'!G10</f>
        <v>10012</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9021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9022</v>
      </c>
      <c r="C4130" s="2" t="s">
        <v>569</v>
      </c>
      <c r="D4130" s="2" t="str">
        <f t="shared" si="63"/>
        <v>Error?</v>
      </c>
    </row>
    <row r="4131" spans="1:4" x14ac:dyDescent="0.2">
      <c r="A4131" s="5">
        <v>4070</v>
      </c>
      <c r="B4131" s="1832">
        <f>'Acct Summary 7-8'!C18</f>
        <v>79495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1360665</v>
      </c>
      <c r="C4136" s="2" t="s">
        <v>569</v>
      </c>
      <c r="D4136" s="2" t="str">
        <f t="shared" si="63"/>
        <v>Error?</v>
      </c>
    </row>
    <row r="4137" spans="1:4" x14ac:dyDescent="0.2">
      <c r="A4137" s="5">
        <v>4076</v>
      </c>
      <c r="B4137" s="1832">
        <f>'Acct Summary 7-8'!D19</f>
        <v>54883</v>
      </c>
      <c r="C4137" s="2" t="s">
        <v>569</v>
      </c>
      <c r="D4137" s="2" t="str">
        <f t="shared" si="63"/>
        <v>Error?</v>
      </c>
    </row>
    <row r="4138" spans="1:4" x14ac:dyDescent="0.2">
      <c r="A4138" s="5">
        <v>4077</v>
      </c>
      <c r="B4138" s="1832">
        <f>'Acct Summary 7-8'!E19</f>
        <v>93800</v>
      </c>
      <c r="C4138" s="2" t="s">
        <v>569</v>
      </c>
      <c r="D4138" s="2" t="str">
        <f t="shared" si="63"/>
        <v>Error?</v>
      </c>
    </row>
    <row r="4139" spans="1:4" x14ac:dyDescent="0.2">
      <c r="A4139" s="5">
        <v>4078</v>
      </c>
      <c r="B4139" s="1832">
        <f>'Acct Summary 7-8'!F19</f>
        <v>157805</v>
      </c>
      <c r="C4139" s="2" t="s">
        <v>569</v>
      </c>
      <c r="D4139" s="2" t="str">
        <f t="shared" si="63"/>
        <v>Error?</v>
      </c>
    </row>
    <row r="4140" spans="1:4" x14ac:dyDescent="0.2">
      <c r="A4140" s="5">
        <v>4079</v>
      </c>
      <c r="B4140" s="1832">
        <f>'Acct Summary 7-8'!G19</f>
        <v>18814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2306</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568000</v>
      </c>
      <c r="C4171" s="2" t="s">
        <v>569</v>
      </c>
      <c r="D4171" s="2" t="str">
        <f t="shared" si="64"/>
        <v>Error?</v>
      </c>
    </row>
    <row r="4172" spans="1:4" x14ac:dyDescent="0.2">
      <c r="A4172" s="5">
        <v>4111</v>
      </c>
      <c r="B4172" s="1832">
        <f>'Short-Term Long-Term Debt 24'!J49</f>
        <v>565404</v>
      </c>
      <c r="C4172" s="2" t="s">
        <v>569</v>
      </c>
      <c r="D4172" s="2" t="str">
        <f t="shared" si="64"/>
        <v>Error?</v>
      </c>
    </row>
    <row r="4173" spans="1:4" x14ac:dyDescent="0.2">
      <c r="A4173" s="5">
        <v>4112</v>
      </c>
      <c r="B4173" s="1832">
        <f>'Short-Term Long-Term Debt 24'!H49</f>
        <v>86000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1610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1980.0000000000002</v>
      </c>
      <c r="C4268" s="2" t="s">
        <v>569</v>
      </c>
      <c r="D4268" s="2" t="str">
        <f t="shared" si="65"/>
        <v>Error?</v>
      </c>
    </row>
    <row r="4269" spans="1:5" x14ac:dyDescent="0.2">
      <c r="A4269" s="12">
        <v>4208</v>
      </c>
      <c r="B4269" s="1832">
        <f>'FP Info 3'!J16</f>
        <v>880527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2891</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39100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840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840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6112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18763801</v>
      </c>
      <c r="D4995" s="2" t="str">
        <f t="shared" si="77"/>
        <v>Error?</v>
      </c>
    </row>
    <row r="4996" spans="1:4" x14ac:dyDescent="0.2">
      <c r="A4996" s="12">
        <v>4935</v>
      </c>
      <c r="B4996" s="1832">
        <f>'FP Info 3'!H31</f>
        <v>1294702.2690000001</v>
      </c>
      <c r="D4996" s="2" t="str">
        <f t="shared" si="77"/>
        <v>Error?</v>
      </c>
    </row>
    <row r="4997" spans="1:4" x14ac:dyDescent="0.2">
      <c r="A4997" s="12">
        <v>4936</v>
      </c>
      <c r="B4997" s="1832">
        <f>'FP Info 3'!H37</f>
        <v>568000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9022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290496</v>
      </c>
      <c r="D5061" s="2" t="str">
        <f t="shared" si="78"/>
        <v>Error?</v>
      </c>
    </row>
    <row r="5062" spans="1:4" x14ac:dyDescent="0.2">
      <c r="A5062" s="10">
        <v>5001</v>
      </c>
      <c r="B5062" s="1832"/>
      <c r="D5062" s="2" t="str">
        <f t="shared" si="78"/>
        <v>OK</v>
      </c>
    </row>
    <row r="5063" spans="1:4" x14ac:dyDescent="0.2">
      <c r="A5063" s="5">
        <v>5002</v>
      </c>
      <c r="B5063" s="1832">
        <f>'Revenues 9-14'!C7</f>
        <v>3609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303127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14247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14247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7130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7130</v>
      </c>
      <c r="C5087" s="2" t="s">
        <v>569</v>
      </c>
      <c r="D5087" s="2" t="str">
        <f t="shared" si="78"/>
        <v>Error?</v>
      </c>
    </row>
    <row r="5088" spans="1:4" x14ac:dyDescent="0.2">
      <c r="A5088" s="5">
        <v>5027</v>
      </c>
      <c r="B5088" s="1832">
        <f>'Revenues 9-14'!C65</f>
        <v>203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203</v>
      </c>
      <c r="C5090" s="2" t="s">
        <v>569</v>
      </c>
      <c r="D5090" s="2" t="str">
        <f t="shared" si="78"/>
        <v>Error?</v>
      </c>
    </row>
    <row r="5091" spans="1:4" x14ac:dyDescent="0.2">
      <c r="A5091" s="5">
        <v>5030</v>
      </c>
      <c r="B5091" s="1832">
        <f>'Revenues 9-14'!C70</f>
        <v>2439</v>
      </c>
      <c r="D5091" s="2" t="str">
        <f t="shared" si="78"/>
        <v>Error?</v>
      </c>
    </row>
    <row r="5092" spans="1:4" x14ac:dyDescent="0.2">
      <c r="A5092" s="5">
        <v>5031</v>
      </c>
      <c r="B5092" s="1832">
        <f>'Revenues 9-14'!C71</f>
        <v>2526</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90</v>
      </c>
      <c r="D5094" s="2" t="str">
        <f t="shared" si="78"/>
        <v>Error?</v>
      </c>
    </row>
    <row r="5095" spans="1:4" x14ac:dyDescent="0.2">
      <c r="A5095" s="5">
        <v>5034</v>
      </c>
      <c r="B5095" s="1832">
        <f>'Revenues 9-14'!C74</f>
        <v>1120</v>
      </c>
      <c r="D5095" s="2" t="str">
        <f t="shared" si="78"/>
        <v>Error?</v>
      </c>
    </row>
    <row r="5096" spans="1:4" x14ac:dyDescent="0.2">
      <c r="A5096" s="5">
        <v>5035</v>
      </c>
      <c r="B5096" s="1832">
        <f>'Revenues 9-14'!C75</f>
        <v>9549</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220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159</v>
      </c>
      <c r="D5101" s="2" t="str">
        <f t="shared" si="78"/>
        <v>Error?</v>
      </c>
    </row>
    <row r="5102" spans="1:4" x14ac:dyDescent="0.2">
      <c r="A5102" s="5">
        <v>5041</v>
      </c>
      <c r="B5102" s="1832">
        <f>'Revenues 9-14'!C82</f>
        <v>379</v>
      </c>
      <c r="C5102" s="2" t="s">
        <v>569</v>
      </c>
      <c r="D5102" s="2" t="str">
        <f t="shared" si="78"/>
        <v>Error?</v>
      </c>
    </row>
    <row r="5103" spans="1:4" x14ac:dyDescent="0.2">
      <c r="A5103" s="5">
        <v>5042</v>
      </c>
      <c r="B5103" s="1832">
        <f>'Revenues 9-14'!C84</f>
        <v>4380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4380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9300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15052</v>
      </c>
      <c r="D5119" s="2" t="str">
        <f t="shared" ref="D5119:D5182" si="79">IF(ISBLANK(B5119),"OK",IF(A5119-B5119=0,"OK","Error?"))</f>
        <v>Error?</v>
      </c>
    </row>
    <row r="5120" spans="1:4" x14ac:dyDescent="0.2">
      <c r="A5120" s="5">
        <v>5059</v>
      </c>
      <c r="B5120" s="1832">
        <f>'Revenues 9-14'!C108</f>
        <v>24352</v>
      </c>
      <c r="C5120" s="2" t="s">
        <v>569</v>
      </c>
      <c r="D5120" s="2" t="str">
        <f t="shared" si="79"/>
        <v>Error?</v>
      </c>
    </row>
    <row r="5121" spans="1:4" x14ac:dyDescent="0.2">
      <c r="A5121" s="5">
        <v>5060</v>
      </c>
      <c r="B5121" s="1832">
        <f>'Revenues 9-14'!C109</f>
        <v>363367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810482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810482</v>
      </c>
      <c r="C5132" s="2" t="s">
        <v>569</v>
      </c>
      <c r="D5132" s="2" t="str">
        <f t="shared" si="79"/>
        <v>Error?</v>
      </c>
    </row>
    <row r="5133" spans="1:4" x14ac:dyDescent="0.2">
      <c r="A5133" s="5">
        <v>5072</v>
      </c>
      <c r="B5133" s="1832">
        <f>'Revenues 9-14'!C125</f>
        <v>51208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54099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372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55221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865703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18223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6920</v>
      </c>
      <c r="D5241" s="2" t="str">
        <f t="shared" si="80"/>
        <v>Error?</v>
      </c>
    </row>
    <row r="5242" spans="1:4" x14ac:dyDescent="0.2">
      <c r="A5242" s="5">
        <v>5181</v>
      </c>
      <c r="B5242" s="1832">
        <f>'Revenues 9-14'!C194</f>
        <v>7721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32864</v>
      </c>
      <c r="C5246" s="2" t="s">
        <v>569</v>
      </c>
      <c r="D5246" s="2" t="str">
        <f t="shared" si="80"/>
        <v>Error?</v>
      </c>
    </row>
    <row r="5247" spans="1:4" x14ac:dyDescent="0.2">
      <c r="A5247" s="5">
        <v>5186</v>
      </c>
      <c r="B5247" s="1832">
        <f>'Revenues 9-14'!C200</f>
        <v>44802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44802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15154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15154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99772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99772</v>
      </c>
      <c r="C5326" s="2" t="s">
        <v>569</v>
      </c>
      <c r="D5326" s="2" t="str">
        <f t="shared" si="82"/>
        <v>Error?</v>
      </c>
    </row>
    <row r="5327" spans="1:5" x14ac:dyDescent="0.2">
      <c r="A5327" s="5">
        <v>5266</v>
      </c>
      <c r="B5327" s="1832">
        <f>'Revenues 9-14'!C268</f>
        <v>1328842</v>
      </c>
      <c r="C5327" s="2" t="s">
        <v>569</v>
      </c>
      <c r="D5327" s="2" t="str">
        <f t="shared" si="82"/>
        <v>Error?</v>
      </c>
    </row>
    <row r="5328" spans="1:5" x14ac:dyDescent="0.2">
      <c r="A5328" s="5">
        <v>5267</v>
      </c>
      <c r="B5328" s="1832">
        <f>'Revenues 9-14'!D5</f>
        <v>45109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45109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45109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t="str">
        <f>'Revenues 9-14'!D159</f>
        <v>d</v>
      </c>
      <c r="D5401" s="2" t="e">
        <f t="shared" si="83"/>
        <v>#VALUE!</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39100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39100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84209</v>
      </c>
      <c r="C5508" s="2" t="s">
        <v>569</v>
      </c>
      <c r="D5508" s="2" t="str">
        <f t="shared" si="85"/>
        <v>Error?</v>
      </c>
    </row>
    <row r="5509" spans="1:4" x14ac:dyDescent="0.2">
      <c r="A5509" s="5">
        <v>5448</v>
      </c>
      <c r="B5509" s="1832">
        <f>'Revenues 9-14'!E5</f>
        <v>93343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93343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93343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93343</v>
      </c>
      <c r="C5552" s="2" t="s">
        <v>569</v>
      </c>
      <c r="D5552" s="2" t="str">
        <f t="shared" si="85"/>
        <v>Error?</v>
      </c>
    </row>
    <row r="5553" spans="1:4" x14ac:dyDescent="0.2">
      <c r="A5553" s="5">
        <v>5492</v>
      </c>
      <c r="B5553" s="1832">
        <f>'Revenues 9-14'!F5</f>
        <v>21651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21651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21651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22968</v>
      </c>
      <c r="D5615" s="2" t="str">
        <f t="shared" si="86"/>
        <v>Error?</v>
      </c>
    </row>
    <row r="5616" spans="1:4" x14ac:dyDescent="0.2">
      <c r="A5616" s="10">
        <v>5555</v>
      </c>
      <c r="B5616" s="1832"/>
      <c r="D5616" s="2" t="str">
        <f t="shared" si="86"/>
        <v>OK</v>
      </c>
    </row>
    <row r="5617" spans="1:5" x14ac:dyDescent="0.2">
      <c r="A5617" s="5">
        <v>5556</v>
      </c>
      <c r="B5617" s="1832">
        <f>'Revenues 9-14'!F153</f>
        <v>42882</v>
      </c>
      <c r="D5617" s="2" t="str">
        <f t="shared" si="86"/>
        <v>Error?</v>
      </c>
    </row>
    <row r="5618" spans="1:5" x14ac:dyDescent="0.2">
      <c r="A5618" s="5">
        <v>5557</v>
      </c>
      <c r="B5618" s="1832">
        <f>'Revenues 9-14'!F155</f>
        <v>65850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65850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65850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87501</v>
      </c>
      <c r="C5720" s="2" t="s">
        <v>569</v>
      </c>
      <c r="D5720" s="2" t="str">
        <f t="shared" si="88"/>
        <v>Error?</v>
      </c>
    </row>
    <row r="5721" spans="1:4" x14ac:dyDescent="0.2">
      <c r="A5721" s="5">
        <v>5660</v>
      </c>
      <c r="B5721" s="1832">
        <f>'Revenues 9-14'!G5</f>
        <v>5006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5006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10012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10012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9021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9021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9021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9022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9022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9022</v>
      </c>
      <c r="C6023" s="2" t="s">
        <v>569</v>
      </c>
      <c r="D6023" s="2" t="str">
        <f t="shared" si="93"/>
        <v>Error?</v>
      </c>
    </row>
    <row r="6024" spans="1:5" x14ac:dyDescent="0.2">
      <c r="A6024" s="5">
        <v>5963</v>
      </c>
      <c r="B6024" s="1832">
        <f>'Revenues 9-14'!G109</f>
        <v>10012</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9021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9022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3374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3471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97.29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1052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1052</v>
      </c>
      <c r="D6215" s="2" t="str">
        <f t="shared" si="96"/>
        <v>Error?</v>
      </c>
      <c r="E6215" s="2" t="s">
        <v>189</v>
      </c>
    </row>
    <row r="6216" spans="1:5" x14ac:dyDescent="0.2">
      <c r="A6216">
        <v>6155</v>
      </c>
      <c r="B6216" s="1832">
        <f>'Assets-Liab 5-6'!J41</f>
        <v>1052</v>
      </c>
      <c r="D6216" s="2" t="str">
        <f t="shared" si="96"/>
        <v>Error?</v>
      </c>
      <c r="E6216" s="2" t="s">
        <v>189</v>
      </c>
    </row>
    <row r="6217" spans="1:5" x14ac:dyDescent="0.2">
      <c r="A6217">
        <v>6156</v>
      </c>
      <c r="B6217" s="1832">
        <f>'Assets-Liab 5-6'!J4</f>
        <v>1052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60015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60015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60015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67635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67635</v>
      </c>
      <c r="D6229" s="2" t="str">
        <f t="shared" si="96"/>
        <v>Error?</v>
      </c>
      <c r="E6229" s="2" t="s">
        <v>189</v>
      </c>
    </row>
    <row r="6230" spans="1:5" x14ac:dyDescent="0.2">
      <c r="A6230">
        <v>6169</v>
      </c>
      <c r="B6230" s="1832">
        <f>'Acct Summary 7-8'!J20</f>
        <v>-7620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-7620</v>
      </c>
      <c r="D6263" s="2" t="str">
        <f t="shared" si="96"/>
        <v>Error?</v>
      </c>
      <c r="E6263" s="2" t="s">
        <v>189</v>
      </c>
    </row>
    <row r="6264" spans="1:5" x14ac:dyDescent="0.2">
      <c r="A6264">
        <v>6203</v>
      </c>
      <c r="B6264" s="1832">
        <f>'Acct Summary 7-8'!J79</f>
        <v>8672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1052</v>
      </c>
      <c r="D6266" s="2" t="str">
        <f t="shared" si="96"/>
        <v>Error?</v>
      </c>
      <c r="E6266" s="2" t="s">
        <v>189</v>
      </c>
    </row>
    <row r="6267" spans="1:5" x14ac:dyDescent="0.2">
      <c r="A6267">
        <v>6206</v>
      </c>
      <c r="B6267" s="1832">
        <f>'Acct Summary 7-8'!C82</f>
        <v>47672</v>
      </c>
      <c r="D6267" s="2" t="str">
        <f t="shared" si="96"/>
        <v>Error?</v>
      </c>
      <c r="E6267" s="2" t="s">
        <v>189</v>
      </c>
    </row>
    <row r="6268" spans="1:5" x14ac:dyDescent="0.2">
      <c r="A6268">
        <v>6207</v>
      </c>
      <c r="B6268" s="1832">
        <f>'Acct Summary 7-8'!D82</f>
        <v>49326</v>
      </c>
      <c r="D6268" s="2" t="str">
        <f t="shared" si="96"/>
        <v>Error?</v>
      </c>
      <c r="E6268" s="2" t="s">
        <v>189</v>
      </c>
    </row>
    <row r="6269" spans="1:5" x14ac:dyDescent="0.2">
      <c r="A6269">
        <v>6208</v>
      </c>
      <c r="B6269" s="1832">
        <f>'Acct Summary 7-8'!E82</f>
        <v>-457</v>
      </c>
      <c r="D6269" s="2" t="str">
        <f t="shared" si="96"/>
        <v>Error?</v>
      </c>
      <c r="E6269" s="2" t="s">
        <v>189</v>
      </c>
    </row>
    <row r="6270" spans="1:5" x14ac:dyDescent="0.2">
      <c r="A6270">
        <v>6209</v>
      </c>
      <c r="B6270" s="1832">
        <f>'Acct Summary 7-8'!F82</f>
        <v>9696</v>
      </c>
      <c r="D6270" s="2" t="str">
        <f t="shared" si="96"/>
        <v>Error?</v>
      </c>
      <c r="E6270" s="2" t="s">
        <v>189</v>
      </c>
    </row>
    <row r="6271" spans="1:5" x14ac:dyDescent="0.2">
      <c r="A6271">
        <v>6210</v>
      </c>
      <c r="B6271" s="1832">
        <f>'Acct Summary 7-8'!G82</f>
        <v>-8802</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409021</v>
      </c>
      <c r="D6273" s="2" t="str">
        <f t="shared" si="97"/>
        <v>Error?</v>
      </c>
      <c r="E6273" s="2" t="s">
        <v>189</v>
      </c>
    </row>
    <row r="6274" spans="1:5" x14ac:dyDescent="0.2">
      <c r="A6274">
        <v>6213</v>
      </c>
      <c r="B6274" s="1832">
        <f>'Acct Summary 7-8'!J82</f>
        <v>-7620</v>
      </c>
      <c r="D6274" s="2" t="str">
        <f t="shared" si="97"/>
        <v>Error?</v>
      </c>
      <c r="E6274" s="2" t="s">
        <v>189</v>
      </c>
    </row>
    <row r="6275" spans="1:5" x14ac:dyDescent="0.2">
      <c r="A6275">
        <v>6214</v>
      </c>
      <c r="B6275" s="1832">
        <f>'Acct Summary 7-8'!K82</f>
        <v>6716</v>
      </c>
      <c r="D6275" s="2" t="str">
        <f t="shared" si="97"/>
        <v>Error?</v>
      </c>
      <c r="E6275" s="2" t="s">
        <v>189</v>
      </c>
    </row>
    <row r="6276" spans="1:5" x14ac:dyDescent="0.2">
      <c r="A6276">
        <v>6215</v>
      </c>
      <c r="B6276" s="1832">
        <f>'Acct Summary 7-8'!C83</f>
        <v>0.17669515711754721</v>
      </c>
      <c r="D6276" s="2" t="str">
        <f t="shared" si="97"/>
        <v>Error?</v>
      </c>
      <c r="E6276" s="2" t="s">
        <v>189</v>
      </c>
    </row>
    <row r="6277" spans="1:5" x14ac:dyDescent="0.2">
      <c r="A6277">
        <v>6216</v>
      </c>
      <c r="B6277" s="1832">
        <f>'Acct Summary 7-8'!D83</f>
        <v>0.75215004574565414</v>
      </c>
      <c r="D6277" s="2" t="str">
        <f t="shared" si="97"/>
        <v>Error?</v>
      </c>
      <c r="E6277" s="2" t="s">
        <v>189</v>
      </c>
    </row>
    <row r="6278" spans="1:5" x14ac:dyDescent="0.2">
      <c r="A6278">
        <v>6217</v>
      </c>
      <c r="B6278" s="1832">
        <f>'Acct Summary 7-8'!E83</f>
        <v>-0.17604006163328198</v>
      </c>
      <c r="D6278" s="2" t="str">
        <f t="shared" si="97"/>
        <v>Error?</v>
      </c>
      <c r="E6278" s="2" t="s">
        <v>189</v>
      </c>
    </row>
    <row r="6279" spans="1:5" x14ac:dyDescent="0.2">
      <c r="A6279">
        <v>6218</v>
      </c>
      <c r="B6279" s="1832">
        <f>'Acct Summary 7-8'!F83</f>
        <v>0.3097367748530539</v>
      </c>
      <c r="D6279" s="2" t="str">
        <f t="shared" si="97"/>
        <v>Error?</v>
      </c>
      <c r="E6279" s="2" t="s">
        <v>189</v>
      </c>
    </row>
    <row r="6280" spans="1:5" x14ac:dyDescent="0.2">
      <c r="A6280">
        <v>6219</v>
      </c>
      <c r="B6280" s="1832">
        <f>'Acct Summary 7-8'!G83</f>
        <v>-0.15624112468048851</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0.79600073952261874</v>
      </c>
      <c r="D6282" s="2" t="str">
        <f t="shared" si="97"/>
        <v>Error?</v>
      </c>
      <c r="E6282" s="2" t="s">
        <v>189</v>
      </c>
    </row>
    <row r="6283" spans="1:5" x14ac:dyDescent="0.2">
      <c r="A6283">
        <v>6222</v>
      </c>
      <c r="B6283" s="1832">
        <f>'Acct Summary 7-8'!J83</f>
        <v>-7.243346007604563</v>
      </c>
      <c r="D6283" s="2" t="str">
        <f t="shared" si="97"/>
        <v>Error?</v>
      </c>
      <c r="E6283" s="2" t="s">
        <v>189</v>
      </c>
    </row>
    <row r="6284" spans="1:5" x14ac:dyDescent="0.2">
      <c r="A6284">
        <v>6223</v>
      </c>
      <c r="B6284" s="1832">
        <f>'Acct Summary 7-8'!K83</f>
        <v>9.7396853020085564E-2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60015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60015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60015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67635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60015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546</v>
      </c>
      <c r="D7093" s="2" t="str">
        <f t="shared" si="109"/>
        <v>Error?</v>
      </c>
    </row>
    <row r="7094" spans="1:4" x14ac:dyDescent="0.2">
      <c r="A7094">
        <v>7033</v>
      </c>
      <c r="B7094" s="1832">
        <f>'Expenditures 15-22'!K254</f>
        <v>546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13610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13610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3820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3820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10634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10634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28572</v>
      </c>
      <c r="D7172" s="2" t="str">
        <f t="shared" si="111"/>
        <v>Error?</v>
      </c>
    </row>
    <row r="7173" spans="1:4" x14ac:dyDescent="0.2">
      <c r="A7173">
        <v>7112</v>
      </c>
      <c r="B7173" s="1832">
        <f>'Expenditures 15-22'!D325</f>
        <v>3321</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31893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7678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7678</v>
      </c>
      <c r="D7198" s="2" t="str">
        <f t="shared" si="111"/>
        <v>Error?</v>
      </c>
    </row>
    <row r="7199" spans="1:4" x14ac:dyDescent="0.2">
      <c r="A7199">
        <v>7138</v>
      </c>
      <c r="B7199" s="1832">
        <f>'Expenditures 15-22'!C330</f>
        <v>28572</v>
      </c>
      <c r="D7199" s="2" t="str">
        <f t="shared" si="111"/>
        <v>Error?</v>
      </c>
    </row>
    <row r="7200" spans="1:4" x14ac:dyDescent="0.2">
      <c r="A7200">
        <v>7139</v>
      </c>
      <c r="B7200" s="1832">
        <f>'Expenditures 15-22'!D330</f>
        <v>3321</v>
      </c>
      <c r="D7200" s="2" t="str">
        <f t="shared" si="111"/>
        <v>Error?</v>
      </c>
    </row>
    <row r="7201" spans="1:4" x14ac:dyDescent="0.2">
      <c r="A7201">
        <v>7140</v>
      </c>
      <c r="B7201" s="1832">
        <f>'Expenditures 15-22'!E330</f>
        <v>35742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67635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28572</v>
      </c>
      <c r="D7216" s="2" t="str">
        <f t="shared" si="111"/>
        <v>Error?</v>
      </c>
    </row>
    <row r="7217" spans="1:4" x14ac:dyDescent="0.2">
      <c r="A7217">
        <v>7156</v>
      </c>
      <c r="B7217" s="1832">
        <f>'Expenditures 15-22'!D342</f>
        <v>3321</v>
      </c>
      <c r="D7217" s="2" t="str">
        <f t="shared" si="111"/>
        <v>Error?</v>
      </c>
    </row>
    <row r="7218" spans="1:4" x14ac:dyDescent="0.2">
      <c r="A7218">
        <v>7157</v>
      </c>
      <c r="B7218" s="1832">
        <f>'Expenditures 15-22'!E342</f>
        <v>35742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67635</v>
      </c>
      <c r="D7224" s="2" t="str">
        <f t="shared" si="111"/>
        <v>Error?</v>
      </c>
    </row>
    <row r="7225" spans="1:4" x14ac:dyDescent="0.2">
      <c r="A7225">
        <v>7164</v>
      </c>
      <c r="B7225" s="1832">
        <f>'Expenditures 15-22'!K343</f>
        <v>-7620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19890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3609</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20000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80000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654000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1674107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619881</v>
      </c>
      <c r="D7834" s="2" t="str">
        <f t="shared" si="129"/>
        <v>Error?</v>
      </c>
      <c r="E7834" s="4" t="s">
        <v>1998</v>
      </c>
    </row>
    <row r="7835" spans="1:5" x14ac:dyDescent="0.2">
      <c r="A7835">
        <v>7774</v>
      </c>
      <c r="B7835" s="1832">
        <f>'PCTC-OEPP 27-28'!F78</f>
        <v>1054226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10835.913249049234</v>
      </c>
      <c r="D7837" s="2" t="str">
        <f t="shared" si="129"/>
        <v>Error?</v>
      </c>
      <c r="E7837" s="4" t="s">
        <v>1998</v>
      </c>
    </row>
    <row r="7838" spans="1:5" x14ac:dyDescent="0.2">
      <c r="A7838">
        <v>7777</v>
      </c>
      <c r="B7838" s="1832">
        <f>'PCTC-OEPP 27-28'!F96</f>
        <v>379</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54099</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65850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32864</v>
      </c>
      <c r="D7858" s="2" t="str">
        <f t="shared" si="129"/>
        <v>Error?</v>
      </c>
      <c r="E7858" s="4" t="s">
        <v>1998</v>
      </c>
    </row>
    <row r="7859" spans="1:5" x14ac:dyDescent="0.2">
      <c r="A7859">
        <v>7798</v>
      </c>
      <c r="B7859" s="1832">
        <f>'PCTC-OEPP 27-28'!F127</f>
        <v>44802</v>
      </c>
      <c r="D7859" s="2" t="str">
        <f t="shared" si="129"/>
        <v>Error?</v>
      </c>
      <c r="E7859" s="4" t="s">
        <v>1998</v>
      </c>
    </row>
    <row r="7860" spans="1:5" x14ac:dyDescent="0.2">
      <c r="A7860">
        <v>7799</v>
      </c>
      <c r="B7860" s="1832">
        <f>'PCTC-OEPP 27-28'!F128</f>
        <v>840</v>
      </c>
      <c r="D7860" s="2" t="str">
        <f t="shared" si="129"/>
        <v>Error?</v>
      </c>
      <c r="E7860" s="4" t="s">
        <v>1998</v>
      </c>
    </row>
    <row r="7861" spans="1:5" x14ac:dyDescent="0.2">
      <c r="A7861">
        <v>7800</v>
      </c>
      <c r="B7861" s="1832">
        <f>'PCTC-OEPP 27-28'!F129</f>
        <v>15154</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6112</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274251</v>
      </c>
      <c r="D7877" s="2" t="str">
        <f t="shared" si="129"/>
        <v>Error?</v>
      </c>
      <c r="E7877" s="4" t="s">
        <v>1998</v>
      </c>
    </row>
    <row r="7878" spans="1:5" x14ac:dyDescent="0.2">
      <c r="A7878">
        <v>7817</v>
      </c>
      <c r="B7878" s="1832">
        <f>'PCTC-OEPP 27-28'!F176</f>
        <v>779975</v>
      </c>
      <c r="D7878" s="2" t="str">
        <f t="shared" si="129"/>
        <v>Error?</v>
      </c>
      <c r="E7878" s="4" t="s">
        <v>1998</v>
      </c>
    </row>
    <row r="7879" spans="1:5" x14ac:dyDescent="0.2">
      <c r="A7879">
        <v>7818</v>
      </c>
      <c r="B7879" s="1832">
        <f>'PCTC-OEPP 27-28'!F178</f>
        <v>799865</v>
      </c>
      <c r="D7879" s="2" t="str">
        <f t="shared" si="129"/>
        <v>Error?</v>
      </c>
      <c r="E7879" s="4" t="s">
        <v>1998</v>
      </c>
    </row>
    <row r="7880" spans="1:5" x14ac:dyDescent="0.2">
      <c r="A7880">
        <v>7819</v>
      </c>
      <c r="B7880" s="1832">
        <f>'PCTC-OEPP 27-28'!F180</f>
        <v>8221.4513310720522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Braceville SD 75</v>
      </c>
      <c r="B7" s="2516"/>
      <c r="C7" s="2516"/>
      <c r="D7" s="2554"/>
      <c r="E7" s="2555">
        <f>COVER!A13</f>
        <v>24032075002</v>
      </c>
      <c r="F7" s="2556"/>
      <c r="G7" s="2522" t="str">
        <f>COVER!T23</f>
        <v>066-005100</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Mack &amp; Associates, P.C.</v>
      </c>
      <c r="H9" s="2529"/>
      <c r="I9" s="2529"/>
      <c r="J9" s="2529"/>
      <c r="K9" s="2529"/>
      <c r="L9" s="2530"/>
    </row>
    <row r="10" spans="1:29" ht="13.5" customHeight="1" x14ac:dyDescent="0.2">
      <c r="A10" s="2512" t="str">
        <f>COVER!A38</f>
        <v>Josh DeLong</v>
      </c>
      <c r="B10" s="2513"/>
      <c r="C10" s="2513"/>
      <c r="D10" s="2513"/>
      <c r="E10" s="2513"/>
      <c r="F10" s="2514"/>
      <c r="G10" s="2528" t="str">
        <f>COVER!T17</f>
        <v>116 E. Washington St., Suite One</v>
      </c>
      <c r="H10" s="2541"/>
      <c r="I10" s="2541"/>
      <c r="J10" s="2541"/>
      <c r="K10" s="2541"/>
      <c r="L10" s="2542"/>
    </row>
    <row r="11" spans="1:29" ht="13.5" customHeight="1" x14ac:dyDescent="0.2">
      <c r="A11" s="963" t="s">
        <v>1502</v>
      </c>
      <c r="B11" s="964"/>
      <c r="C11" s="965"/>
      <c r="D11" s="970"/>
      <c r="E11" s="965"/>
      <c r="F11" s="969"/>
      <c r="G11" s="2528" t="str">
        <f>COVER!T19</f>
        <v>Morris</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tmack@mackcpas.com</v>
      </c>
      <c r="J13" s="2550"/>
      <c r="K13" s="2550"/>
      <c r="L13" s="2551"/>
    </row>
    <row r="14" spans="1:29" ht="13.5" customHeight="1" x14ac:dyDescent="0.2">
      <c r="A14" s="2528" t="str">
        <f>COVER!A19</f>
        <v>209 Mitchell Street</v>
      </c>
      <c r="B14" s="2541"/>
      <c r="C14" s="2541"/>
      <c r="D14" s="2541"/>
      <c r="E14" s="2541"/>
      <c r="F14" s="2542"/>
      <c r="G14" s="974" t="s">
        <v>1175</v>
      </c>
      <c r="H14" s="972"/>
      <c r="I14" s="972"/>
      <c r="J14" s="972"/>
      <c r="K14" s="972"/>
      <c r="L14" s="973"/>
    </row>
    <row r="15" spans="1:29" ht="13.5" customHeight="1" x14ac:dyDescent="0.2">
      <c r="A15" s="2528" t="str">
        <f>COVER!A21</f>
        <v>Braceville</v>
      </c>
      <c r="B15" s="2541"/>
      <c r="C15" s="2541"/>
      <c r="D15" s="2541"/>
      <c r="E15" s="2541"/>
      <c r="F15" s="2542"/>
      <c r="G15" s="2538" t="str">
        <f>COVER!T15</f>
        <v>Tawnya Mack, CPA</v>
      </c>
      <c r="H15" s="2539"/>
      <c r="I15" s="2539"/>
      <c r="J15" s="2539"/>
      <c r="K15" s="2539"/>
      <c r="L15" s="2540"/>
    </row>
    <row r="16" spans="1:29" ht="12.2" customHeight="1" x14ac:dyDescent="0.2">
      <c r="A16" s="2518">
        <f>COVER!A25</f>
        <v>60407</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815-942-3306</v>
      </c>
      <c r="H18" s="2516"/>
      <c r="I18" s="2516"/>
      <c r="J18" s="2516"/>
      <c r="K18" s="2515" t="str">
        <f>COVER!X21</f>
        <v>815-942-9430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Braceville SD 75</v>
      </c>
      <c r="B1" s="2558"/>
      <c r="C1" s="2558"/>
      <c r="D1" s="2558"/>
    </row>
    <row r="2" spans="1:11" s="991" customFormat="1" ht="12.75" x14ac:dyDescent="0.2">
      <c r="A2" s="2559">
        <f>'Single Audit Cover'!E7</f>
        <v>24032075002</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Braceville SD 75</v>
      </c>
      <c r="B1" s="2562"/>
      <c r="C1" s="2562"/>
      <c r="D1" s="2562"/>
      <c r="E1" s="2562"/>
    </row>
    <row r="2" spans="1:5" x14ac:dyDescent="0.2">
      <c r="A2" s="2563">
        <f>'Single Audit Cover'!E7</f>
        <v>24032075002</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99772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3471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103243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103243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103243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Braceville SD 75</v>
      </c>
      <c r="C1" s="2566"/>
      <c r="D1" s="2566"/>
      <c r="E1" s="2566"/>
      <c r="F1" s="2566"/>
      <c r="G1" s="2566"/>
      <c r="H1" s="2566"/>
      <c r="I1" s="2566"/>
      <c r="J1" s="2566"/>
      <c r="K1" s="2566"/>
      <c r="L1" s="2566"/>
      <c r="M1" s="2566"/>
    </row>
    <row r="2" spans="2:14" ht="15" x14ac:dyDescent="0.2">
      <c r="B2" s="2567">
        <f>'Single Audit Cover'!E7</f>
        <v>24032075002</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Braceville SD 75</v>
      </c>
      <c r="B1" s="2571"/>
      <c r="C1" s="2571"/>
      <c r="D1" s="2571"/>
      <c r="E1" s="2571"/>
      <c r="F1" s="2571"/>
    </row>
    <row r="2" spans="1:7" ht="13.5" customHeight="1" x14ac:dyDescent="0.2">
      <c r="A2" s="2567">
        <f>'Single Audit Cover'!E7</f>
        <v>24032075002</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Braceville SD 75</v>
      </c>
      <c r="C1" s="2587"/>
      <c r="D1" s="2587"/>
      <c r="E1" s="2587"/>
      <c r="F1" s="2587"/>
      <c r="G1" s="2587"/>
      <c r="H1" s="2587"/>
      <c r="I1" s="2587"/>
      <c r="J1" s="1178"/>
    </row>
    <row r="2" spans="2:10" s="295" customFormat="1" ht="12.75" customHeight="1" x14ac:dyDescent="0.2">
      <c r="B2" s="2588">
        <f>'Single Audit Cover'!E7</f>
        <v>24032075002</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Braceville SD 75</v>
      </c>
      <c r="C1" s="2586"/>
      <c r="D1" s="2586"/>
      <c r="E1" s="2586"/>
      <c r="F1" s="2586"/>
      <c r="G1" s="2586"/>
      <c r="H1" s="2586"/>
      <c r="I1" s="2586"/>
      <c r="J1" s="2586"/>
      <c r="K1" s="2586"/>
      <c r="L1" s="1144"/>
      <c r="M1" s="1144"/>
    </row>
    <row r="2" spans="1:13" ht="12" customHeight="1" x14ac:dyDescent="0.2">
      <c r="B2" s="2588">
        <f>'Single Audit Cover'!E7</f>
        <v>24032075002</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Braceville SD 75</v>
      </c>
      <c r="C1" s="2613"/>
      <c r="D1" s="2613"/>
      <c r="E1" s="2613"/>
      <c r="F1" s="2613"/>
      <c r="G1" s="2613"/>
      <c r="H1" s="2613"/>
      <c r="I1" s="2613"/>
      <c r="J1" s="2613"/>
      <c r="K1" s="2613"/>
      <c r="L1" s="1221"/>
    </row>
    <row r="2" spans="1:12" ht="12.75" customHeight="1" x14ac:dyDescent="0.2">
      <c r="B2" s="2614">
        <f>'Single Audit Cover'!E7</f>
        <v>24032075002</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Braceville SD 75</v>
      </c>
      <c r="C1" s="2586"/>
      <c r="D1" s="2586"/>
      <c r="E1" s="1240"/>
    </row>
    <row r="2" spans="2:5" s="1058" customFormat="1" ht="12.75" customHeight="1" x14ac:dyDescent="0.2">
      <c r="B2" s="2588">
        <f>'Single Audit Cover'!E7</f>
        <v>24032075002</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http://www.w3.org/XML/1998/namespace"/>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2020-10-14T14:44:34Z</cp:lastPrinted>
  <dcterms:created xsi:type="dcterms:W3CDTF">2003-10-29T19:06:34Z</dcterms:created>
  <dcterms:modified xsi:type="dcterms:W3CDTF">2020-10-18T16:01:12Z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