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EF9A920-8BB0-4A58-ADE0-BA0647CF5E1B}"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D7886" i="106" l="1"/>
  <c r="B7886" i="106"/>
  <c r="F80" i="34"/>
  <c r="F75" i="34"/>
  <c r="C39" i="145" l="1"/>
  <c r="C33" i="145"/>
  <c r="K18" i="145" l="1"/>
  <c r="K17" i="145"/>
  <c r="K16" i="145"/>
  <c r="K15" i="145"/>
  <c r="K14" i="145"/>
  <c r="K13" i="145"/>
  <c r="K12" i="145"/>
  <c r="J19" i="145"/>
  <c r="B3674" i="106" l="1"/>
  <c r="B3635" i="106"/>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3" i="127"/>
  <c r="B64"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77" i="4" l="1"/>
  <c r="B3255" i="106" s="1"/>
  <c r="D3255" i="106" s="1"/>
  <c r="C342" i="29"/>
  <c r="B7216" i="106" s="1"/>
  <c r="D7216" i="106" s="1"/>
  <c r="F68" i="34"/>
  <c r="H76" i="4"/>
  <c r="B3298" i="106" s="1"/>
  <c r="D3298" i="106" s="1"/>
  <c r="C129" i="29"/>
  <c r="C151" i="29" s="1"/>
  <c r="B1226" i="106" s="1"/>
  <c r="D12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N23" i="3" l="1"/>
  <c r="B284" i="106" s="1"/>
  <c r="D284" i="106" s="1"/>
  <c r="L16" i="11"/>
  <c r="B2061" i="106" s="1"/>
  <c r="D2061" i="106" s="1"/>
  <c r="B7222" i="106"/>
  <c r="D7222" i="106" s="1"/>
  <c r="F76" i="34"/>
  <c r="B7887" i="106" s="1"/>
  <c r="D7887" i="106" s="1"/>
  <c r="K342" i="29"/>
  <c r="F13" i="34" s="1"/>
  <c r="H77" i="4"/>
  <c r="B3299" i="106" s="1"/>
  <c r="D3299" i="106" s="1"/>
  <c r="B5527" i="106"/>
  <c r="D5527" i="106" s="1"/>
  <c r="B1381" i="106"/>
  <c r="D1381" i="106" s="1"/>
  <c r="B1225" i="106"/>
  <c r="D1225" i="106" s="1"/>
  <c r="F41" i="108"/>
  <c r="G43" i="108" s="1"/>
  <c r="L114" i="29"/>
  <c r="D44" i="36"/>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30" i="106" s="1"/>
  <c r="D6230" i="106" s="1"/>
  <c r="B6223" i="106"/>
  <c r="D6223" i="106" s="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<sst xmlns="http://schemas.openxmlformats.org/spreadsheetml/2006/main" count="5147" uniqueCount="2069">
  <si>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</si>
  <si>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</si>
  <si>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</si>
  <si>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</si>
  <si>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</si>
  <si>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</si>
  <si>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</si>
  <si>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</si>
  <si>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</si>
  <si>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</si>
  <si>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</si>
  <si>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</si>
  <si>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</si>
  <si>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</si>
  <si>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</si>
  <si>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</si>
  <si>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</si>
  <si>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</si>
  <si>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</si>
  <si>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</si>
  <si>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</si>
  <si>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</si>
  <si>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</si>
  <si>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</si>
  <si>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</si>
  <si>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</si>
  <si>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</si>
  <si>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</si>
  <si>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</si>
  <si>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</si>
  <si>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</si>
  <si>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</si>
  <si>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</si>
  <si>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</si>
  <si>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</si>
  <si>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</si>
  <si>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</si>
  <si>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</si>
  <si>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</si>
  <si>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</si>
  <si>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</si>
  <si>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</si>
  <si>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</si>
  <si>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</si>
  <si>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</si>
  <si>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</si>
  <si>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</si>
  <si>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</si>
  <si>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</si>
  <si>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</si>
  <si>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</si>
  <si>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</si>
  <si>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</si>
  <si>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</si>
  <si>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</si>
  <si>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</si>
  <si>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</si>
  <si>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</si>
  <si>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</si>
  <si>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</si>
  <si>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</si>
  <si>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</si>
  <si>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</si>
  <si>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</si>
  <si>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</si>
  <si>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</si>
  <si>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</si>
  <si>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</si>
  <si>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</si>
  <si>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</si>
  <si>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</si>
  <si>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</si>
  <si>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</si>
  <si>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</si>
  <si>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</si>
  <si>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</si>
  <si>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</si>
  <si>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</si>
  <si>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</si>
  <si>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</si>
  <si>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</si>
  <si>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</si>
  <si>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</si>
  <si>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</si>
  <si>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</si>
  <si>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</si>
  <si>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</si>
  <si>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</si>
  <si>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</si>
  <si>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</si>
  <si>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</si>
  <si>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</si>
  <si>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</si>
  <si>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</si>
  <si>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</si>
  <si>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</si>
  <si>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</si>
  <si>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</si>
  <si>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</si>
  <si>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</si>
  <si>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</si>
  <si>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</si>
  <si>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</si>
  <si>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</si>
  <si>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</si>
  <si>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</si>
  <si>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</si>
  <si>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</si>
  <si>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</si>
  <si>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</si>
  <si>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</si>
  <si>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</si>
  <si>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</si>
  <si>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</si>
  <si>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</si>
  <si>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</si>
  <si>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</si>
  <si>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</si>
  <si>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</si>
  <si>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</si>
  <si>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</si>
  <si>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</si>
  <si>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</si>
  <si>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</si>
  <si>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</si>
  <si>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</si>
  <si>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</si>
  <si>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</si>
  <si>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</si>
  <si>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</si>
  <si>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</si>
  <si>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</si>
  <si>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</si>
  <si>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</si>
  <si>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</si>
  <si>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</si>
  <si>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</si>
  <si>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</si>
  <si>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</si>
  <si>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</si>
  <si>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</si>
  <si>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</si>
  <si>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</si>
  <si>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</si>
  <si>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</si>
  <si>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</si>
  <si>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</si>
  <si>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</si>
  <si>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</si>
  <si>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</si>
  <si>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</si>
  <si>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</si>
  <si>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</si>
  <si>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</si>
  <si>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</si>
  <si>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</si>
  <si>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</si>
  <si>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</si>
  <si>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</si>
  <si>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</si>
  <si>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</si>
  <si>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</si>
  <si>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</si>
  <si>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</si>
  <si>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</si>
  <si>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</si>
  <si>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</si>
  <si>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</si>
  <si>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</si>
  <si>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</si>
  <si>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</si>
  <si>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</si>
  <si>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</si>
  <si>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</si>
  <si>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</si>
  <si>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</si>
  <si>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</si>
  <si>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</si>
  <si>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</si>
  <si>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</si>
  <si>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</si>
  <si>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</si>
  <si>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</si>
  <si>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</si>
  <si>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</si>
  <si>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</si>
  <si>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</si>
  <si>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</si>
  <si>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</si>
  <si>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</si>
  <si>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</si>
  <si>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</si>
  <si>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</si>
  <si>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</si>
  <si>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</si>
  <si>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</si>
  <si>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</si>
  <si>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</si>
  <si>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</si>
  <si>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</si>
  <si>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</si>
  <si>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</si>
  <si>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</si>
  <si>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</si>
  <si>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</si>
  <si>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</si>
  <si>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</si>
  <si>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</si>
  <si>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</si>
  <si>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</si>
  <si>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</si>
  <si>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</si>
  <si>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</si>
  <si>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</si>
  <si>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</si>
  <si>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</si>
  <si>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</si>
  <si>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</si>
  <si>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</si>
  <si>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</si>
  <si>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</si>
  <si>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</si>
  <si>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</si>
  <si>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</si>
  <si>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</si>
  <si>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</si>
  <si>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</si>
  <si>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</si>
  <si>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</si>
  <si>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</si>
  <si>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</si>
  <si>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</si>
  <si>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</si>
  <si>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</si>
  <si>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</si>
  <si>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</si>
  <si>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</si>
  <si>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</si>
  <si>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</si>
  <si>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</si>
  <si>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</si>
  <si>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</si>
  <si>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</si>
  <si>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</si>
  <si>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</si>
  <si>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</si>
  <si>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</si>
  <si>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</si>
  <si>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</si>
  <si>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</si>
  <si>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</si>
  <si>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</si>
  <si>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</si>
  <si>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</si>
  <si>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</si>
  <si>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</si>
  <si>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</si>
  <si>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</si>
  <si>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</si>
  <si>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</si>
  <si>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</si>
  <si>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</si>
  <si>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</si>
  <si>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</si>
  <si>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</si>
  <si>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</si>
  <si>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</si>
  <si>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</si>
  <si>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</si>
  <si>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</si>
  <si>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</si>
  <si>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</si>
  <si>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</si>
  <si>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</si>
  <si>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</si>
  <si>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</si>
  <si>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</si>
  <si>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</si>
  <si>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</si>
  <si>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</si>
  <si>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</si>
  <si>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</si>
  <si>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</si>
  <si>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</si>
  <si>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</si>
  <si>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</si>
  <si>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</si>
  <si>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</si>
  <si>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</si>
  <si>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</si>
  <si>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</si>
  <si>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</si>
  <si>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</si>
  <si>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</si>
  <si>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</si>
  <si>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</si>
  <si>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</si>
  <si>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</si>
  <si>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</si>
  <si>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</si>
  <si>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</si>
  <si>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</si>
  <si>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</si>
  <si>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</si>
  <si>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</si>
  <si>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</si>
  <si>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</si>
  <si>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</si>
  <si>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</si>
  <si>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</si>
  <si>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</si>
  <si>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</si>
  <si>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</si>
  <si>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</si>
  <si>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</si>
  <si>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</si>
  <si>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</si>
  <si>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</si>
  <si>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</si>
  <si>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</si>
  <si>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</si>
  <si>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</si>
  <si>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</si>
  <si>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</si>
  <si>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</si>
  <si>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</si>
  <si>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</si>
  <si>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</si>
  <si>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</si>
  <si>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</si>
  <si>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</si>
  <si>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</si>
  <si>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</si>
  <si>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</si>
  <si>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</si>
  <si>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</si>
  <si>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</si>
  <si>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</si>
  <si>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</si>
  <si>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</si>
  <si>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</si>
  <si>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</si>
  <si>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</si>
  <si>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</si>
  <si>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</si>
  <si>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</si>
  <si>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</si>
  <si>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</si>
  <si>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</si>
  <si>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</si>
  <si>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</si>
  <si>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</si>
  <si>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</si>
  <si>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</si>
  <si>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</si>
  <si>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</si>
  <si>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</si>
  <si>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</si>
  <si>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</si>
  <si>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</si>
  <si>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</si>
  <si>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</si>
  <si>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</si>
  <si>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</si>
  <si>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</si>
  <si>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</si>
  <si>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</si>
  <si>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</si>
  <si>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</si>
  <si>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</si>
  <si>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</si>
  <si>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</si>
  <si>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</si>
  <si>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</si>
  <si>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</si>
  <si>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</si>
  <si>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</si>
  <si>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</si>
  <si>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</si>
  <si>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</si>
  <si>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</si>
  <si>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</si>
  <si>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</si>
  <si>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</si>
  <si>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</si>
  <si>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</si>
  <si>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</si>
  <si>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</si>
  <si>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</si>
  <si>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</si>
  <si>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</si>
  <si>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</si>
  <si>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</si>
  <si>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</si>
  <si>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</si>
  <si>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</si>
  <si>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</si>
  <si>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</si>
  <si>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</si>
  <si>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</si>
  <si>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</si>
  <si>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</si>
  <si>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</si>
  <si>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</si>
  <si>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</si>
  <si>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</si>
  <si>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</si>
  <si>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</si>
  <si>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</si>
  <si>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</si>
  <si>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</si>
  <si>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</si>
  <si>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</si>
  <si>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</si>
  <si>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</si>
  <si>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</si>
  <si>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</si>
  <si>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</si>
  <si>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</si>
  <si>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</si>
  <si>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</si>
  <si>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</si>
  <si>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</si>
  <si>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</si>
  <si>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</si>
  <si>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</si>
  <si>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</si>
  <si>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</si>
  <si>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</si>
  <si>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</si>
  <si>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</si>
  <si>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</si>
  <si>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</si>
  <si>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</si>
  <si>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</si>
  <si>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</si>
  <si>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</si>
  <si>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</si>
  <si>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</si>
  <si>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</si>
  <si>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</si>
  <si>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</si>
  <si>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</si>
  <si>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</si>
  <si>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</si>
  <si>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</si>
  <si>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</si>
  <si>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</si>
  <si>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</si>
  <si>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</si>
  <si>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</si>
  <si>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</si>
  <si>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</si>
  <si>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</si>
  <si>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</si>
  <si>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</si>
  <si>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</si>
  <si>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</si>
  <si>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</si>
  <si>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</si>
  <si>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</si>
  <si>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</si>
  <si>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</si>
  <si>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</si>
  <si>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</si>
  <si>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</si>
  <si>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</si>
  <si>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</si>
  <si>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</si>
  <si>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</si>
  <si>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</si>
  <si>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</si>
  <si>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</si>
  <si>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</si>
  <si>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</si>
  <si>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</si>
  <si>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</si>
  <si>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</si>
  <si>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</si>
  <si>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</si>
  <si>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</si>
  <si>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</si>
  <si>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</si>
  <si>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</si>
  <si>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</si>
  <si>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</si>
  <si>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</si>
  <si>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</si>
  <si>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</si>
  <si>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</si>
  <si>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</si>
  <si>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</si>
  <si>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</si>
  <si>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</si>
  <si>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</si>
  <si>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</si>
  <si>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</si>
  <si>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</si>
  <si>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</si>
  <si>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</si>
  <si>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</si>
  <si>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</si>
  <si>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</si>
  <si>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</si>
  <si>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</si>
  <si>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</si>
  <si>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</si>
  <si>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</si>
  <si>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</si>
  <si>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</si>
  <si>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</si>
  <si>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</si>
  <si>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</si>
  <si>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</si>
  <si>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</si>
  <si>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</si>
  <si>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</si>
  <si>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</si>
  <si>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</si>
  <si>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</si>
  <si>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</si>
  <si>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</si>
  <si>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</si>
  <si>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</si>
  <si>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</si>
  <si>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</si>
  <si>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</si>
  <si>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</si>
  <si>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</si>
  <si>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</si>
  <si>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</si>
  <si>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</si>
  <si>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</si>
  <si>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</si>
  <si>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</si>
  <si>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</si>
  <si>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</si>
  <si>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</si>
  <si>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</si>
  <si>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</si>
  <si>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</si>
  <si>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</si>
  <si>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</si>
  <si>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</si>
  <si>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</si>
  <si>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</si>
  <si>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</si>
  <si>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</si>
  <si>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</si>
  <si>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</si>
  <si>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</si>
  <si>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</si>
  <si>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</si>
  <si>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</si>
  <si>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</si>
  <si>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</si>
  <si>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</si>
  <si>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</si>
  <si>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</si>
  <si>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</si>
  <si>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</si>
  <si>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</si>
  <si>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</si>
  <si>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</si>
  <si>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</si>
  <si>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</si>
  <si>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</si>
  <si>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</si>
  <si>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</si>
  <si>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</si>
  <si>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</si>
  <si>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</si>
  <si>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</si>
  <si>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</si>
  <si>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</si>
  <si>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</si>
  <si>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</si>
  <si>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</si>
  <si>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</si>
  <si>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</si>
  <si>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</si>
  <si>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</si>
  <si>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</si>
  <si>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</si>
  <si>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</si>
  <si>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</si>
  <si>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</si>
  <si>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</si>
  <si>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</si>
  <si>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</si>
  <si>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</si>
  <si>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</si>
  <si>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</si>
  <si>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</si>
  <si>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</si>
  <si>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</si>
  <si>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</si>
  <si>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</si>
  <si>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</si>
  <si>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</si>
  <si>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</si>
  <si>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</si>
  <si>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</si>
  <si>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</si>
  <si>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</si>
  <si>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</si>
  <si>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</si>
  <si>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</si>
  <si>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</si>
  <si>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</si>
  <si>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</si>
  <si>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</si>
  <si>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</si>
  <si>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</si>
  <si>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</si>
  <si>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</si>
  <si>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</si>
  <si>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</si>
  <si>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</si>
  <si>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</si>
  <si>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</si>
  <si>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</si>
  <si>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</si>
  <si>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</si>
  <si>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</si>
  <si>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</si>
  <si>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</si>
  <si>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</si>
  <si>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</si>
  <si>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</si>
  <si>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</si>
  <si>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</si>
  <si>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</si>
  <si>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</si>
  <si>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</si>
  <si>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</si>
  <si>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</si>
  <si>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</si>
  <si>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</si>
  <si>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</si>
  <si>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</si>
  <si>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</si>
  <si>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</si>
  <si>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</si>
  <si>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</si>
  <si>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</si>
  <si>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</si>
  <si>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</si>
  <si>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</si>
  <si>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</si>
  <si>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</si>
  <si>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</si>
  <si>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</si>
  <si>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</si>
  <si>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</si>
  <si>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</si>
  <si>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</si>
  <si>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</si>
  <si>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</si>
  <si>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</si>
  <si>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</si>
  <si>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</si>
  <si>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</si>
  <si>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</si>
  <si>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</si>
  <si>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</si>
  <si>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</si>
  <si>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</si>
  <si>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</si>
  <si>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</si>
  <si>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</si>
  <si>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</si>
  <si>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</si>
  <si>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</si>
  <si>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</si>
  <si>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</si>
  <si>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</si>
  <si>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</si>
  <si>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</si>
  <si>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</si>
  <si>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</si>
  <si>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</si>
  <si>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</si>
  <si>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</si>
  <si>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</si>
  <si>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</si>
  <si>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</si>
  <si>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</si>
  <si>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</si>
  <si>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</si>
  <si>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</si>
  <si>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</si>
  <si>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</si>
  <si>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</si>
  <si>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</si>
  <si>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</si>
  <si>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</si>
  <si>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</si>
  <si>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</si>
  <si>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</si>
  <si>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</si>
  <si>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</si>
  <si>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</si>
  <si>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</si>
  <si>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</si>
  <si>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</si>
  <si>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</si>
  <si>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</si>
  <si>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</si>
  <si>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</si>
  <si>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</si>
  <si>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</si>
  <si>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</si>
  <si>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</si>
  <si>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</si>
  <si>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</si>
  <si>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</si>
  <si>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</si>
  <si>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</si>
  <si>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</si>
  <si>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</si>
  <si>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</si>
  <si>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</si>
  <si>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</si>
  <si>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</si>
  <si>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</si>
  <si>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</si>
  <si>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</si>
  <si>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</si>
  <si>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</si>
  <si>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</si>
  <si>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</si>
  <si>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</si>
  <si>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</si>
  <si>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</si>
  <si>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</si>
  <si>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</si>
  <si>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</si>
  <si>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</si>
  <si>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</si>
  <si>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</si>
  <si>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</si>
  <si>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</si>
  <si>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</si>
  <si>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</si>
  <si>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</si>
  <si>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</si>
  <si>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</si>
  <si>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</si>
  <si>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</si>
  <si>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</si>
  <si>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</si>
  <si>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</si>
  <si>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</si>
  <si>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</si>
  <si>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</si>
  <si>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</si>
  <si>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</si>
  <si>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</si>
  <si>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</si>
  <si>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</si>
  <si>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</si>
  <si>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</si>
  <si>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</si>
  <si>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</si>
  <si>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</si>
  <si>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</si>
  <si>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</si>
  <si>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</si>
  <si>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</si>
  <si>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</si>
  <si>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</si>
  <si>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</si>
  <si>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</si>
  <si>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</si>
  <si>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</si>
  <si>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</si>
  <si>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</si>
  <si>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</si>
  <si>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</si>
  <si>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</si>
  <si>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</si>
  <si>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</si>
  <si>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</si>
  <si>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</si>
  <si>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</si>
  <si>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</si>
  <si>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</si>
  <si>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</si>
  <si>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</si>
  <si>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</si>
  <si>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</si>
  <si>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</si>
  <si>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</si>
  <si>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</si>
  <si>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</si>
  <si>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</si>
  <si>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</si>
  <si>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</si>
  <si>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</si>
  <si>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</si>
  <si>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</si>
  <si>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</si>
  <si>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</si>
  <si>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</si>
  <si>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</si>
  <si>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</si>
  <si>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</si>
  <si>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</si>
  <si>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</si>
  <si>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</si>
  <si>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</si>
  <si>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</si>
  <si>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</si>
  <si>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</si>
  <si>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</si>
  <si>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</si>
  <si>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</si>
  <si>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</si>
  <si>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</si>
  <si>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</si>
  <si>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</si>
  <si>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</si>
  <si>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</si>
  <si>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</si>
  <si>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</si>
  <si>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</si>
  <si>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</si>
  <si>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</si>
  <si>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</si>
  <si>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</si>
  <si>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</si>
  <si>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</si>
  <si>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</si>
  <si>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</si>
  <si>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</si>
  <si>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</si>
  <si>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</si>
  <si>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</si>
  <si>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</si>
  <si>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</si>
  <si>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</si>
  <si>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</si>
  <si>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</si>
  <si>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</si>
  <si>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</si>
  <si>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</si>
  <si>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</si>
  <si>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</si>
  <si>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</si>
  <si>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</si>
  <si>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</si>
  <si>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</si>
  <si>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</si>
  <si>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</si>
  <si>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</si>
  <si>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</si>
  <si>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</si>
  <si>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</si>
  <si>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</si>
  <si>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</si>
  <si>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</si>
  <si>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</si>
  <si>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</si>
  <si>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</si>
  <si>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</si>
  <si>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</si>
  <si>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</si>
  <si>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</si>
  <si>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</si>
  <si>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</si>
  <si>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</si>
  <si>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</si>
  <si>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</si>
  <si>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</si>
  <si>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</si>
  <si>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</si>
  <si>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</si>
  <si>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</si>
  <si>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</si>
  <si>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</si>
  <si>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</si>
  <si>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</si>
  <si>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</si>
  <si>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</si>
  <si>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</si>
  <si>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</si>
  <si>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</si>
  <si>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</si>
  <si>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</si>
  <si>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</si>
  <si>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</si>
  <si>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</si>
  <si>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</si>
  <si>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</si>
  <si>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</si>
  <si>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</si>
  <si>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</si>
  <si>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</si>
  <si>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</si>
  <si>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</si>
  <si>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</si>
  <si>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</si>
  <si>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</si>
  <si>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</si>
  <si>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</si>
  <si>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</si>
  <si>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</si>
  <si>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</si>
  <si>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</si>
  <si>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</si>
  <si>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</si>
  <si>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</si>
  <si>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</si>
  <si>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</si>
  <si>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</si>
  <si>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</si>
  <si>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</si>
  <si>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</si>
  <si>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</si>
  <si>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</si>
  <si>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</si>
  <si>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</si>
  <si>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</si>
  <si>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</si>
  <si>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</si>
  <si>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</si>
  <si>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</si>
  <si>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</si>
  <si>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</si>
  <si>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</si>
  <si>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</si>
  <si>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</si>
  <si>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</si>
  <si>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</si>
  <si>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</si>
  <si>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</si>
  <si>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</si>
  <si>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</si>
  <si>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</si>
  <si>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</si>
  <si>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</si>
  <si>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</si>
  <si>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</si>
  <si>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</si>
  <si>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</si>
  <si>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</si>
  <si>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</si>
  <si>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</si>
  <si>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</si>
  <si>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</si>
  <si>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</si>
  <si>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</si>
  <si>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</si>
  <si>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</si>
  <si>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</si>
  <si>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</si>
  <si>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</si>
  <si>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</si>
  <si>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</si>
  <si>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</si>
  <si>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</si>
  <si>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</si>
  <si>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</si>
  <si>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</si>
  <si>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</si>
  <si>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</si>
  <si>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</si>
  <si>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</si>
  <si>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</si>
  <si>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</si>
  <si>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</si>
  <si>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</si>
  <si>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</si>
  <si>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</si>
  <si>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</si>
  <si>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</si>
  <si>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</si>
  <si>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</si>
  <si>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</si>
  <si>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</si>
  <si>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</si>
  <si>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</si>
  <si>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</si>
  <si>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</si>
  <si>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</si>
  <si>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</si>
  <si>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</si>
  <si>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</si>
  <si>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</si>
  <si>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</si>
  <si>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</si>
  <si>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</si>
  <si>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</si>
  <si>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</si>
  <si>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</si>
  <si>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</si>
  <si>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</si>
  <si>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</si>
  <si>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</si>
  <si>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</si>
  <si>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</si>
  <si>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</si>
  <si>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</si>
  <si>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</si>
  <si>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</si>
  <si>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</si>
  <si>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</si>
  <si>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</si>
  <si>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</si>
  <si>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</si>
  <si>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</si>
  <si>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</si>
  <si>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</si>
  <si>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</si>
  <si>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</si>
  <si>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</si>
  <si>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</si>
  <si>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</si>
  <si>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</si>
  <si>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</si>
  <si>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</si>
  <si>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</si>
  <si>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</si>
  <si>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</si>
  <si>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</si>
  <si>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</si>
  <si>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</si>
  <si>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</si>
  <si>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</si>
  <si>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</si>
  <si>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</si>
  <si>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</si>
  <si>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</si>
  <si>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</si>
  <si>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</si>
  <si>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</si>
  <si>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</si>
  <si>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</si>
  <si>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</si>
  <si>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</si>
  <si>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</si>
  <si>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</si>
  <si>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</si>
  <si>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</si>
  <si>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</si>
  <si>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</si>
  <si>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</si>
  <si>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</si>
  <si>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</si>
  <si>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</si>
  <si>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</si>
  <si>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</si>
  <si>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</si>
  <si>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</si>
  <si>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</si>
  <si>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</si>
  <si>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</si>
  <si>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</si>
  <si>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</si>
  <si>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</si>
  <si>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</si>
  <si>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</si>
  <si>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</si>
  <si>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</si>
  <si>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</si>
  <si>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</si>
  <si>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</si>
  <si>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</si>
  <si>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</si>
  <si>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</si>
  <si>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</si>
  <si>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</si>
  <si>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</si>
  <si>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</si>
  <si>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</si>
  <si>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</si>
  <si>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</si>
  <si>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</si>
  <si>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</si>
  <si>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</si>
  <si>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</si>
  <si>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</si>
  <si>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</si>
  <si>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</si>
  <si>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</si>
  <si>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</si>
  <si>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</si>
  <si>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</si>
  <si>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</si>
  <si>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</si>
  <si>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</si>
  <si>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</si>
  <si>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</si>
  <si>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</si>
  <si>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</si>
  <si>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</si>
  <si>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</si>
  <si>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</si>
  <si>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</si>
  <si>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</si>
  <si>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</si>
  <si>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</si>
  <si>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</si>
  <si>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</si>
  <si>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</si>
  <si>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</si>
  <si>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</si>
  <si>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</si>
  <si>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</si>
  <si>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</si>
  <si>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</si>
  <si>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</si>
  <si>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</si>
  <si>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</si>
  <si>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</si>
  <si>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</si>
  <si>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</si>
  <si>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</si>
  <si>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</si>
  <si>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</si>
  <si>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</si>
  <si>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</si>
  <si>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</si>
  <si>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</si>
  <si>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</si>
  <si>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</si>
  <si>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</si>
  <si>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</si>
  <si>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</si>
  <si>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</si>
  <si>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</si>
  <si>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</si>
  <si>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</si>
  <si>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</si>
  <si>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</si>
  <si>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</si>
  <si>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</si>
  <si>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</si>
  <si>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</si>
  <si>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</si>
  <si>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</si>
  <si>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</si>
  <si>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</si>
  <si>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</si>
  <si>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</si>
  <si>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</si>
  <si>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</si>
  <si>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</si>
  <si>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</si>
  <si>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</si>
  <si>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</si>
  <si>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</si>
  <si>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</si>
  <si>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</si>
  <si>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</si>
  <si>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</si>
  <si>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</si>
  <si>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</si>
  <si>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</si>
  <si>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</si>
  <si>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</si>
  <si>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</si>
  <si>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</si>
  <si>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</si>
  <si>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</si>
  <si>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</si>
  <si>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</si>
  <si>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</si>
  <si>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</si>
  <si>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</si>
  <si>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</si>
  <si>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</si>
  <si>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</si>
  <si>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</si>
  <si>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</si>
  <si>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</si>
  <si>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</si>
  <si>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</si>
  <si>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</si>
  <si>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</si>
  <si>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</si>
  <si>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</si>
  <si>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</si>
  <si>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</si>
  <si>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</si>
  <si>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</si>
  <si>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</si>
  <si>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</si>
  <si>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</si>
  <si>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</si>
  <si>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</si>
  <si>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</si>
  <si>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</si>
  <si>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</si>
  <si>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</si>
  <si>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</si>
  <si>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</si>
  <si>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</si>
  <si>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</si>
  <si>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</si>
  <si>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</si>
  <si>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</si>
  <si>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</si>
  <si>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</si>
  <si>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</si>
  <si>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</si>
  <si>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</si>
  <si>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</si>
  <si>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</si>
  <si>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</si>
  <si>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</si>
  <si>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</si>
  <si>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</si>
  <si>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</si>
  <si>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</si>
  <si>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</si>
  <si>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</si>
  <si>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</si>
  <si>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</si>
  <si>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</si>
  <si>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</si>
  <si>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</si>
  <si>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</si>
  <si>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</si>
  <si>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</si>
  <si>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</si>
  <si>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</si>
  <si>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</si>
  <si>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</si>
  <si>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</si>
  <si>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</si>
  <si>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</si>
  <si>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</si>
  <si>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</si>
  <si>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</si>
  <si>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</si>
  <si>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</si>
  <si>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</si>
  <si>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</si>
  <si>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</si>
  <si>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</si>
  <si>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</si>
  <si>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</si>
  <si>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</si>
  <si>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</si>
  <si>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</si>
  <si>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</si>
  <si>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</si>
  <si>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</si>
  <si>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</si>
  <si>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</si>
  <si>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</si>
  <si>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</si>
  <si>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</si>
  <si>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</si>
  <si>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</si>
  <si>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</si>
  <si>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</si>
  <si>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</si>
  <si>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</si>
  <si>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</si>
  <si>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</si>
  <si>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</si>
  <si>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</si>
  <si>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</si>
  <si>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</si>
  <si>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</si>
  <si>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</si>
  <si>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</si>
  <si>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</si>
  <si>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</si>
  <si>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</si>
  <si>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</si>
  <si>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</si>
  <si>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</si>
  <si>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</si>
  <si>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</si>
  <si>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</si>
  <si>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</si>
  <si>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</si>
  <si>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</si>
  <si>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</si>
  <si>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</si>
  <si>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</si>
  <si>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</si>
  <si>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</si>
  <si>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</si>
  <si>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</si>
  <si>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</si>
  <si>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</si>
  <si>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</si>
  <si>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</si>
  <si>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</si>
  <si>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</si>
  <si>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</si>
  <si>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</si>
  <si>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</si>
  <si>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</si>
  <si>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</si>
  <si>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</si>
  <si>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</si>
  <si>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</si>
  <si>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</si>
  <si>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</si>
  <si>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</si>
  <si>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</si>
  <si>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</si>
  <si>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</si>
  <si>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</si>
  <si>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</si>
  <si>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</si>
  <si>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</si>
  <si>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</si>
  <si>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</si>
  <si>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</si>
  <si>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</si>
  <si>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</si>
  <si>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</si>
  <si>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</si>
  <si>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</si>
  <si>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</si>
  <si>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</si>
  <si>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</si>
  <si>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</si>
  <si>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</si>
  <si>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</si>
  <si>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</si>
  <si>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</si>
  <si>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</si>
  <si>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</si>
  <si>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</si>
  <si>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</si>
  <si>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</si>
  <si>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</si>
  <si>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</si>
  <si>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</si>
  <si>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</si>
  <si>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</si>
  <si>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</si>
  <si>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</si>
  <si>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</si>
  <si>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</si>
  <si>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</si>
  <si>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</si>
  <si>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</si>
  <si>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</si>
  <si>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</si>
  <si>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</si>
  <si>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</si>
  <si>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</si>
  <si>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</si>
  <si>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</si>
  <si>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</si>
  <si>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</si>
  <si>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</si>
  <si>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</si>
  <si>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</si>
  <si>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</si>
  <si>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</si>
  <si>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</si>
  <si>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</si>
  <si>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</si>
  <si>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</si>
  <si>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</si>
  <si>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</si>
  <si>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</si>
  <si>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</si>
  <si>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</si>
  <si>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</si>
  <si>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</si>
  <si>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</si>
  <si>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</si>
  <si>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</si>
  <si>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</si>
  <si>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</si>
  <si>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</si>
  <si>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</si>
  <si>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</si>
  <si>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</si>
  <si>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</si>
  <si>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</si>
  <si>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</si>
  <si>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</si>
  <si>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</si>
  <si>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</si>
  <si>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</si>
  <si>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</si>
  <si>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</si>
  <si>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</si>
  <si>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</si>
  <si>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</si>
  <si>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</si>
  <si>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</si>
  <si>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</si>
  <si>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</si>
  <si>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</si>
  <si>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</si>
  <si>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</si>
  <si>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</si>
  <si>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</si>
  <si>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</si>
  <si>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</si>
  <si>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</si>
  <si>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</si>
  <si>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</si>
  <si>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</si>
  <si>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</si>
  <si>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</si>
  <si>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</si>
  <si>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</si>
  <si>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</si>
  <si>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</si>
  <si>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</si>
  <si>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</si>
  <si>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</si>
  <si>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</si>
  <si>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</si>
  <si>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</si>
  <si>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</si>
  <si>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</si>
  <si>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</si>
  <si>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</si>
  <si>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</si>
  <si>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</si>
  <si>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</si>
  <si>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</si>
  <si>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</si>
  <si>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</si>
  <si>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</si>
  <si>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</si>
  <si>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</si>
  <si>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</si>
  <si>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</si>
  <si>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</si>
  <si>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</si>
  <si>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</si>
  <si>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</si>
  <si>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</si>
  <si>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</si>
  <si>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</si>
  <si>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</si>
  <si>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</si>
  <si>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</si>
  <si>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</si>
  <si>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</si>
  <si>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</si>
  <si>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</si>
  <si>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</si>
  <si>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</si>
  <si>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</si>
  <si>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</si>
  <si>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</si>
  <si>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</si>
  <si>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</si>
  <si>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</si>
  <si>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</si>
  <si>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</si>
  <si>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</si>
  <si>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</si>
  <si>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</si>
  <si>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</si>
  <si>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</si>
  <si>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</si>
  <si>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</si>
  <si>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</si>
  <si>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</si>
  <si>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</si>
  <si>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</si>
  <si>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</si>
  <si>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</si>
  <si>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</si>
  <si>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</si>
  <si>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</si>
  <si>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</si>
  <si>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</si>
  <si>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</si>
  <si>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</si>
  <si>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</si>
  <si>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</si>
  <si>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</si>
  <si>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</si>
  <si>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</si>
  <si>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</si>
  <si>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</si>
  <si>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</si>
  <si>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</si>
  <si>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</si>
  <si>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</si>
  <si>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</si>
  <si>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</si>
  <si>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</si>
  <si>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</si>
  <si>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</si>
  <si>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</si>
  <si>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</si>
  <si>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</si>
  <si>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</si>
  <si>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</si>
  <si>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</si>
  <si>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</si>
  <si>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</si>
  <si>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</si>
  <si>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</si>
  <si>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</si>
  <si>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</si>
  <si>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</si>
  <si>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</si>
  <si>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</si>
  <si>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</si>
  <si>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</si>
  <si>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</si>
  <si>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</si>
  <si>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</si>
  <si>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</si>
  <si>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</si>
  <si>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</si>
  <si>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</si>
  <si>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</si>
  <si>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</si>
  <si>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</si>
  <si>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</si>
  <si>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</si>
  <si>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</si>
  <si>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</si>
  <si>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</si>
  <si>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</si>
  <si>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</si>
  <si>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</si>
  <si>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</si>
  <si>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</si>
  <si>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</si>
  <si>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</si>
  <si>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</si>
  <si>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</si>
  <si>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</si>
  <si>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</si>
  <si>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</si>
  <si>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</si>
  <si>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</si>
  <si>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</si>
  <si>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</si>
  <si>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</si>
  <si>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</si>
  <si>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</si>
  <si>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</si>
  <si>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</si>
  <si>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</si>
  <si>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</si>
  <si>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</si>
  <si>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</si>
  <si>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</si>
  <si>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</si>
  <si>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</si>
  <si>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</si>
  <si>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</si>
  <si>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</si>
  <si>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</si>
  <si>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</si>
  <si>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</si>
  <si>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</si>
  <si>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</si>
  <si>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</si>
  <si>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</si>
  <si>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</si>
  <si>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</si>
  <si>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</si>
  <si>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</si>
  <si>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</si>
  <si>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</si>
  <si>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</si>
  <si>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</si>
  <si>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</si>
  <si>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</si>
  <si>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</si>
  <si>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</si>
  <si>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</si>
  <si>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</si>
  <si>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</si>
  <si>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</si>
  <si>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</si>
  <si>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</si>
  <si>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</si>
  <si>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</si>
  <si>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</si>
  <si>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</si>
  <si>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</si>
  <si>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</si>
  <si>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</si>
  <si>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</si>
  <si>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</si>
  <si>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</si>
  <si>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</si>
  <si>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</si>
  <si>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</si>
  <si>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</si>
  <si>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</si>
  <si>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</si>
  <si>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</si>
  <si>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</si>
  <si>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</si>
  <si>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</si>
  <si>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</si>
  <si>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</si>
  <si>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</si>
  <si>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</si>
  <si>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</si>
  <si>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</si>
  <si>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</si>
  <si>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</si>
  <si>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</si>
  <si>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</si>
  <si>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</si>
  <si>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</si>
  <si>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</si>
  <si>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</si>
  <si>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</si>
  <si>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</si>
  <si>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</si>
  <si>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</si>
  <si>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</si>
  <si>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</si>
  <si>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</si>
  <si>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</si>
  <si>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</si>
  <si>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</si>
  <si>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</si>
  <si>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</si>
  <si>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</si>
  <si>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</si>
  <si>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</si>
  <si>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</si>
  <si>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</si>
  <si>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</si>
  <si>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</si>
  <si>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</si>
  <si>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</si>
  <si>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</si>
  <si>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</si>
  <si>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</si>
  <si>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</si>
  <si>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</si>
  <si>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</si>
  <si>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</si>
  <si>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</si>
  <si>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</si>
  <si>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</si>
  <si>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</si>
  <si>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</si>
  <si>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</si>
  <si>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</si>
  <si>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</si>
  <si>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</si>
  <si>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</si>
  <si>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</si>
  <si>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</si>
  <si>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</si>
  <si>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</si>
  <si>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</si>
  <si>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</si>
  <si>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</si>
  <si>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</si>
  <si>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</si>
  <si>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</si>
  <si>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</si>
  <si>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</si>
  <si>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</si>
  <si>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</si>
  <si>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</si>
  <si>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</si>
  <si>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</si>
  <si>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</si>
  <si>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</si>
  <si>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</si>
  <si>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</si>
  <si>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</si>
  <si>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</si>
  <si>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</si>
  <si>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</si>
  <si>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</si>
  <si>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</si>
  <si>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</si>
  <si>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</si>
  <si>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</si>
  <si>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</si>
  <si>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</si>
  <si>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</si>
  <si>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</si>
  <si>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</si>
  <si>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</si>
  <si>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</si>
  <si>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</si>
  <si>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</si>
  <si>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</si>
  <si>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</si>
  <si>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</si>
  <si>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</si>
  <si>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</si>
  <si>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</si>
  <si>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</si>
  <si>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</si>
  <si>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</si>
  <si>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</si>
  <si>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</si>
  <si>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</si>
  <si>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</si>
  <si>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</si>
  <si>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</si>
  <si>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</si>
  <si>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</si>
  <si>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</si>
  <si>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</si>
  <si>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</si>
  <si>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</si>
  <si>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</si>
  <si>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</si>
  <si>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</si>
  <si>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</si>
  <si>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</si>
  <si>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</si>
  <si>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</si>
  <si>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</si>
  <si>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</si>
  <si>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</si>
  <si>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</si>
  <si>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</si>
  <si>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</si>
  <si>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</si>
  <si>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</si>
  <si>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</si>
  <si>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</si>
  <si>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</si>
  <si>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</si>
  <si>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</si>
  <si>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</si>
  <si>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</si>
  <si>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</si>
  <si>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</si>
  <si>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</si>
  <si>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</si>
  <si>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</si>
  <si>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</si>
  <si>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</si>
  <si>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</si>
  <si>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</si>
  <si>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</si>
  <si>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</si>
  <si>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</si>
  <si>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</si>
  <si>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</si>
  <si>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</si>
  <si>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</si>
  <si>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</si>
  <si>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</si>
  <si>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</si>
  <si>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</si>
  <si>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</si>
  <si>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</si>
  <si>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</si>
  <si>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</si>
  <si>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</si>
  <si>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</si>
  <si>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</si>
  <si>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</si>
  <si>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</si>
  <si>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</si>
  <si>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</si>
  <si>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</si>
  <si>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</si>
  <si>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</si>
  <si>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</si>
  <si>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</si>
  <si>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</si>
  <si>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</si>
  <si>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</si>
  <si>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</si>
  <si>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</si>
  <si>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</si>
  <si>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</si>
  <si>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</si>
  <si>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</si>
  <si>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</si>
  <si>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</si>
  <si>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</si>
  <si>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</si>
  <si>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</si>
  <si>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</si>
  <si>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</si>
  <si>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</si>
  <si>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</si>
  <si>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</si>
  <si>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</si>
  <si>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</si>
  <si>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</si>
  <si>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</si>
  <si>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</si>
  <si>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</si>
  <si>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</si>
  <si>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</si>
  <si>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</si>
  <si>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</si>
  <si>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</si>
  <si>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</si>
  <si>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</si>
  <si>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</si>
  <si>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</si>
  <si>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</si>
  <si>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</si>
  <si>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</si>
  <si>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</si>
  <si>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</si>
  <si>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</si>
  <si>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</si>
  <si>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</si>
  <si>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</si>
  <si>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</si>
  <si>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</si>
  <si>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</si>
  <si>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</si>
  <si>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</si>
  <si>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</si>
  <si>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</si>
  <si>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</si>
  <si>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</si>
  <si>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</si>
  <si>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</si>
  <si>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</si>
  <si>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</si>
  <si>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</si>
  <si>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</si>
  <si>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</si>
  <si>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</si>
  <si>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</si>
  <si>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</si>
  <si>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</si>
  <si>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</si>
  <si>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</si>
  <si>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</si>
  <si>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</si>
  <si>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</si>
  <si>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</si>
  <si>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</si>
  <si>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</si>
  <si>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</si>
  <si>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</si>
  <si>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</si>
  <si>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</si>
  <si>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</si>
  <si>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</si>
  <si>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</si>
  <si>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</si>
  <si>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</si>
  <si>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</si>
  <si>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</si>
  <si>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</si>
  <si>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</si>
  <si>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</si>
  <si>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</si>
  <si>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</si>
  <si>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</si>
  <si>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</si>
  <si>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</si>
  <si>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</si>
  <si>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</si>
  <si>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</si>
  <si>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</si>
  <si>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</si>
  <si>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</si>
  <si>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</si>
  <si>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</si>
  <si>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</si>
  <si>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</si>
  <si>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</si>
  <si>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</si>
  <si>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</si>
  <si>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</si>
  <si>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</si>
  <si>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</si>
  <si>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</si>
  <si>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</si>
  <si>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</si>
  <si>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</si>
  <si>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</si>
  <si>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</si>
  <si>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</si>
  <si>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</si>
  <si>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</si>
  <si>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</si>
  <si>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</si>
  <si>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</si>
  <si>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</si>
  <si>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</si>
  <si>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</si>
  <si>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</si>
  <si>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</si>
  <si>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</si>
  <si>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</si>
  <si>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</si>
  <si>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</si>
  <si>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</si>
  <si>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</si>
  <si>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</si>
  <si>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</si>
  <si>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</si>
  <si>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</si>
  <si>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</si>
  <si>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</si>
  <si>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</si>
  <si>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</si>
  <si>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</si>
  <si>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</si>
  <si>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</si>
  <si>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</si>
  <si>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</si>
  <si>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</si>
  <si>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</si>
  <si>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</si>
  <si>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</si>
  <si>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</si>
  <si>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</si>
  <si>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</si>
  <si>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</si>
  <si>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</si>
  <si>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</si>
  <si>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</si>
  <si>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</si>
  <si>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</si>
  <si>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</si>
  <si>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</si>
  <si>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</si>
  <si>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</si>
  <si>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</si>
  <si>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</si>
  <si>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</si>
  <si>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</si>
  <si>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</si>
  <si>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</si>
  <si>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</si>
  <si>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</si>
  <si>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</si>
  <si>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</si>
  <si>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</si>
  <si>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</si>
  <si>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</si>
  <si>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</si>
  <si>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</si>
  <si>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</si>
  <si>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</si>
  <si>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</si>
  <si>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</si>
  <si>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</si>
  <si>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</si>
  <si>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</si>
  <si>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</si>
  <si>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</si>
  <si>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</si>
  <si>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</si>
  <si>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</si>
  <si>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</si>
  <si>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</si>
  <si>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</si>
  <si>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</si>
  <si>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</si>
  <si>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</si>
  <si>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</si>
  <si>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</si>
  <si>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</si>
  <si>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</si>
  <si>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</si>
  <si>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</si>
  <si>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</si>
  <si>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</si>
  <si>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</si>
  <si>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</si>
  <si>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</si>
  <si>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</si>
  <si>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</si>
  <si>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</si>
  <si>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</si>
  <si>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</si>
  <si>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</si>
  <si>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</si>
  <si>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</si>
  <si>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</si>
  <si>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</si>
  <si>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</si>
  <si>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</si>
  <si>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</si>
  <si>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</si>
  <si>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</si>
  <si>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</si>
  <si>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</si>
  <si>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</si>
  <si>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</si>
  <si>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</si>
  <si>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</si>
  <si>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</si>
  <si>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</si>
  <si>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</si>
  <si>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</si>
  <si>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</si>
  <si>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</si>
  <si>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</si>
  <si>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</si>
  <si>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</si>
  <si>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</si>
  <si>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</si>
  <si>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</si>
  <si>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</si>
  <si>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</si>
  <si>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</si>
  <si>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</si>
  <si>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</si>
  <si>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</si>
  <si>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</si>
  <si>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</si>
  <si>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</si>
  <si>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</si>
  <si>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</si>
  <si>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</si>
  <si>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</si>
  <si>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Mack &amp; Associates, P.C.</t>
  </si>
  <si>
    <t>Tawnya Mack, CPA</t>
  </si>
  <si>
    <t>116 E Washington St., Suite 1</t>
  </si>
  <si>
    <t>Morris</t>
  </si>
  <si>
    <t>IL</t>
  </si>
  <si>
    <t>815-942-3306</t>
  </si>
  <si>
    <t>815-942-9430</t>
  </si>
  <si>
    <t>tmack@mackcpas.com</t>
  </si>
  <si>
    <t>x</t>
  </si>
  <si>
    <t>Grundy</t>
  </si>
  <si>
    <t>Route 47, 4040 N. Division Street</t>
  </si>
  <si>
    <t>kperry@sd60c.org</t>
  </si>
  <si>
    <t>Kathy Perry</t>
  </si>
  <si>
    <t>815-942-2128</t>
  </si>
  <si>
    <t>815-942-0301</t>
  </si>
  <si>
    <t>2019 G.O. Bond, Series 2019 School Bond</t>
  </si>
  <si>
    <t>2016 G.O. Bond, Series 2016 School Bond</t>
  </si>
  <si>
    <t>X</t>
  </si>
  <si>
    <t>Transportation - District #54, Morris HS #101, Nettle Creek #24C, Seneca CCSD#170, Coal City CUSD No. 1, Grundy County Coop</t>
  </si>
  <si>
    <t>District #54</t>
  </si>
  <si>
    <t>District #54, Morris High School #101, Nettle Creek #24C, Premier Academy</t>
  </si>
  <si>
    <t>District #54; Morris HS #101</t>
  </si>
  <si>
    <t xml:space="preserve">District #54 </t>
  </si>
  <si>
    <t>Grundy County Special Education Cooperative</t>
  </si>
  <si>
    <t>District #54; Morris HS #101, Nettle Creek #24C</t>
  </si>
  <si>
    <t>Morris HS #101</t>
  </si>
  <si>
    <t>See Below</t>
  </si>
  <si>
    <t>Page 10, Acct. #1719 - Admissions - Other - Tournament admissions</t>
  </si>
  <si>
    <t>Page 10, Acct. #1790 - Other District Activity - Student Activity Fees</t>
  </si>
  <si>
    <t>Page 21, Acct. #4190 - Other Payments to In-State Gov't Units - School Site Payments</t>
  </si>
  <si>
    <t>Page 16, Acct. 2900 - Other Support - Miscellaneous Expenses</t>
  </si>
  <si>
    <t>Page 12, Acct. #3999 - Other Restricted State Revenues - Library Grant</t>
  </si>
  <si>
    <t>Page 11, Acct. #1999 - Other Local Revenues - EZ School Convenience Fee, Trust Distribution</t>
  </si>
  <si>
    <t>Page 7, Acct. #8990 - Debt Service - Bond Closing Fees</t>
  </si>
  <si>
    <t>Page 18, Acct. #5400 - Administrative Fees</t>
  </si>
  <si>
    <t>See PDF in Opinion Page for signature</t>
  </si>
  <si>
    <t>O&amp;M - O&amp;M PLANT - PURCHASED SERVICES</t>
  </si>
  <si>
    <t>JOHANSEN &amp; ANDERSEN, INC.</t>
  </si>
  <si>
    <t>MORRIS ELEMENTARY DISTRICT #54</t>
  </si>
  <si>
    <t>AUTOMATED LOGIC CHICAGO</t>
  </si>
  <si>
    <t>WASTE MANAGEMENT</t>
  </si>
  <si>
    <t>ED - FOOD SERVICES - PURCHASED SERVICES</t>
  </si>
  <si>
    <t>SUMMIT FINANCIAL RESOURCE</t>
  </si>
  <si>
    <t>065-029342</t>
  </si>
  <si>
    <t>Page 12, Acct. #3999 - Life Safety - Maintenance Grant</t>
  </si>
  <si>
    <t>Page 14, Acct. #4999 - O&amp;M - Medicaid Matching Fund</t>
  </si>
  <si>
    <t>24032060C04</t>
  </si>
  <si>
    <t xml:space="preserve">Saratoga CCSD 60C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</si>
</sst>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3">
        <f>+'AFR20'!E4</f>
        <v>44119</v>
      </c>
      <c r="C1" s="2073"/>
      <c r="D1" s="2074"/>
      <c r="I1" s="2032" t="s">
        <v>402</v>
      </c>
      <c r="J1" s="2033"/>
      <c r="K1" s="2033"/>
      <c r="L1" s="2033"/>
      <c r="M1" s="2033"/>
      <c r="N1" s="2033"/>
      <c r="O1" s="2033"/>
      <c r="P1" s="2033"/>
      <c r="Q1" s="2033"/>
      <c r="R1" s="2033"/>
      <c r="S1" s="2033"/>
    </row>
    <row r="2" spans="1:32" ht="12" customHeight="1" x14ac:dyDescent="0.2">
      <c r="A2" s="1889" t="str">
        <f>"Due to ISBE on "</f>
        <v xml:space="preserve">Due to ISBE on </v>
      </c>
      <c r="B2" s="2075">
        <f>+'AFR20'!F4</f>
        <v>44151</v>
      </c>
      <c r="C2" s="2075"/>
      <c r="D2" s="2076"/>
      <c r="I2" s="2034" t="s">
        <v>2006</v>
      </c>
      <c r="J2" s="2033"/>
      <c r="K2" s="2033"/>
      <c r="L2" s="2033"/>
      <c r="M2" s="2033"/>
      <c r="N2" s="2033"/>
      <c r="O2" s="2033"/>
      <c r="P2" s="2033"/>
      <c r="Q2" s="2033"/>
      <c r="R2" s="2033"/>
      <c r="S2" s="2033"/>
    </row>
    <row r="3" spans="1:32" ht="12" customHeight="1" x14ac:dyDescent="0.2">
      <c r="A3" s="1892" t="str">
        <f>"SD/JA"&amp;MID('AFR20'!E2,3,2)</f>
        <v>SD/JA20</v>
      </c>
      <c r="B3" s="151"/>
      <c r="C3" s="151"/>
      <c r="D3" s="152"/>
      <c r="I3" s="2034" t="s">
        <v>52</v>
      </c>
      <c r="J3" s="2033"/>
      <c r="K3" s="2033"/>
      <c r="L3" s="2033"/>
      <c r="M3" s="2033"/>
      <c r="N3" s="2033"/>
      <c r="O3" s="2033"/>
      <c r="P3" s="2033"/>
      <c r="Q3" s="2033"/>
      <c r="R3" s="2033"/>
      <c r="S3" s="2033"/>
    </row>
    <row r="4" spans="1:32" ht="12" customHeight="1" x14ac:dyDescent="0.2">
      <c r="A4" s="37"/>
      <c r="I4" s="2034" t="s">
        <v>521</v>
      </c>
      <c r="J4" s="2033"/>
      <c r="K4" s="2033"/>
      <c r="L4" s="2033"/>
      <c r="M4" s="2033"/>
      <c r="N4" s="2033"/>
      <c r="O4" s="2033"/>
      <c r="P4" s="2033"/>
      <c r="Q4" s="2033"/>
      <c r="R4" s="2033"/>
      <c r="S4" s="2033"/>
    </row>
    <row r="5" spans="1:32" ht="14.1" customHeight="1" x14ac:dyDescent="0.2">
      <c r="B5" s="101" t="s">
        <v>2029</v>
      </c>
      <c r="C5" s="26" t="s">
        <v>904</v>
      </c>
      <c r="D5" s="81"/>
      <c r="E5" s="81"/>
      <c r="H5" s="38"/>
      <c r="I5" s="2042" t="s">
        <v>675</v>
      </c>
      <c r="J5" s="2041"/>
      <c r="K5" s="2041"/>
      <c r="L5" s="2041"/>
      <c r="M5" s="2041"/>
      <c r="N5" s="2041"/>
      <c r="O5" s="2041"/>
      <c r="P5" s="2041"/>
      <c r="Q5" s="2041"/>
      <c r="R5" s="2041"/>
      <c r="S5" s="2041"/>
      <c r="AF5" s="1885"/>
    </row>
    <row r="6" spans="1:32" ht="14.1" customHeight="1" x14ac:dyDescent="0.2">
      <c r="B6" s="101"/>
      <c r="C6" s="26" t="s">
        <v>905</v>
      </c>
      <c r="D6" s="81"/>
      <c r="E6" s="81"/>
      <c r="I6" s="2040" t="s">
        <v>877</v>
      </c>
      <c r="J6" s="2041"/>
      <c r="K6" s="2041"/>
      <c r="L6" s="2041"/>
      <c r="M6" s="2041"/>
      <c r="N6" s="2041"/>
      <c r="O6" s="2041"/>
      <c r="P6" s="2041"/>
      <c r="Q6" s="2041"/>
      <c r="R6" s="2041"/>
      <c r="S6" s="2041"/>
    </row>
    <row r="7" spans="1:32" ht="12.2" customHeight="1" x14ac:dyDescent="0.2">
      <c r="I7" s="2035" t="str">
        <f>"June 30, "&amp;'AFR20'!E2</f>
        <v>June 30, 2020</v>
      </c>
      <c r="J7" s="2036"/>
      <c r="K7" s="2036"/>
      <c r="L7" s="2036"/>
      <c r="M7" s="2036"/>
      <c r="N7" s="2036"/>
      <c r="O7" s="2036"/>
      <c r="P7" s="2036"/>
      <c r="Q7" s="2036"/>
      <c r="R7" s="2036"/>
      <c r="S7" s="20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7" t="s">
        <v>669</v>
      </c>
      <c r="J9" s="2038"/>
      <c r="K9" s="2038"/>
      <c r="L9" s="2038"/>
      <c r="M9" s="2038"/>
      <c r="N9" s="2038"/>
      <c r="O9" s="2038"/>
      <c r="P9" s="2038"/>
      <c r="Q9" s="2038"/>
      <c r="R9" s="2038"/>
      <c r="S9" s="2039"/>
      <c r="T9" s="2090" t="s">
        <v>530</v>
      </c>
      <c r="U9" s="2091"/>
      <c r="V9" s="2091"/>
      <c r="W9" s="2091"/>
      <c r="X9" s="2091"/>
      <c r="Y9" s="2091"/>
      <c r="Z9" s="2091"/>
      <c r="AA9" s="2092"/>
    </row>
    <row r="10" spans="1:32" ht="13.5" customHeight="1" x14ac:dyDescent="0.2">
      <c r="A10" s="2097" t="s">
        <v>670</v>
      </c>
      <c r="B10" s="2098"/>
      <c r="C10" s="2098"/>
      <c r="D10" s="2098"/>
      <c r="E10" s="2098"/>
      <c r="F10" s="2098"/>
      <c r="G10" s="2098"/>
      <c r="H10" s="2099"/>
      <c r="I10" s="29"/>
      <c r="J10" s="30"/>
      <c r="K10" s="28"/>
      <c r="R10" s="30"/>
      <c r="S10" s="30"/>
      <c r="T10" s="2093"/>
      <c r="U10" s="2041"/>
      <c r="V10" s="2041"/>
      <c r="W10" s="2041"/>
      <c r="X10" s="2041"/>
      <c r="Y10" s="2041"/>
      <c r="Z10" s="2041"/>
      <c r="AA10" s="2047"/>
    </row>
    <row r="11" spans="1:32" ht="14.25" customHeight="1" x14ac:dyDescent="0.2">
      <c r="A11" s="2100" t="s">
        <v>949</v>
      </c>
      <c r="B11" s="2101"/>
      <c r="C11" s="2101"/>
      <c r="D11" s="2101"/>
      <c r="E11" s="2101"/>
      <c r="F11" s="2101"/>
      <c r="G11" s="2101"/>
      <c r="H11" s="2102"/>
      <c r="I11" s="27"/>
      <c r="J11" s="71"/>
      <c r="K11" s="27"/>
      <c r="O11" s="144" t="s">
        <v>2029</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3" t="s">
        <v>2067</v>
      </c>
      <c r="B13" s="2054"/>
      <c r="C13" s="2054"/>
      <c r="D13" s="2054"/>
      <c r="E13" s="2054"/>
      <c r="F13" s="2054"/>
      <c r="G13" s="2054"/>
      <c r="H13" s="2055"/>
      <c r="I13" s="31"/>
      <c r="J13" s="30"/>
      <c r="K13" s="28"/>
      <c r="L13" s="30"/>
      <c r="M13" s="30"/>
      <c r="N13" s="30"/>
      <c r="O13" s="30"/>
      <c r="P13" s="30"/>
      <c r="Q13" s="30"/>
      <c r="R13" s="30"/>
      <c r="S13" s="30"/>
      <c r="T13" s="2059" t="s">
        <v>2021</v>
      </c>
      <c r="U13" s="2060"/>
      <c r="V13" s="2060"/>
      <c r="W13" s="2060"/>
      <c r="X13" s="2060"/>
      <c r="Y13" s="2061"/>
      <c r="Z13" s="2061"/>
      <c r="AA13" s="206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6" t="s">
        <v>2030</v>
      </c>
      <c r="B15" s="2057"/>
      <c r="C15" s="2057"/>
      <c r="D15" s="2057"/>
      <c r="E15" s="2057"/>
      <c r="F15" s="2057"/>
      <c r="G15" s="2057"/>
      <c r="H15" s="2058"/>
      <c r="T15" s="2063" t="s">
        <v>2022</v>
      </c>
      <c r="U15" s="2020"/>
      <c r="V15" s="2020"/>
      <c r="W15" s="2020"/>
      <c r="X15" s="2020"/>
      <c r="Y15" s="2064"/>
      <c r="Z15" s="2064"/>
      <c r="AA15" s="20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6" t="s">
        <v>2068</v>
      </c>
      <c r="B17" s="2027"/>
      <c r="C17" s="2027"/>
      <c r="D17" s="2027"/>
      <c r="E17" s="2027"/>
      <c r="F17" s="2027"/>
      <c r="G17" s="2027"/>
      <c r="H17" s="2052"/>
      <c r="T17" s="2070" t="s">
        <v>2023</v>
      </c>
      <c r="U17" s="2071"/>
      <c r="V17" s="2071"/>
      <c r="W17" s="2071"/>
      <c r="X17" s="2071"/>
      <c r="Y17" s="2071"/>
      <c r="Z17" s="2071"/>
      <c r="AA17" s="2072"/>
    </row>
    <row r="18" spans="1:27" ht="13.5" customHeight="1" x14ac:dyDescent="0.2">
      <c r="A18" s="82" t="s">
        <v>527</v>
      </c>
      <c r="B18" s="73"/>
      <c r="C18" s="69"/>
      <c r="D18" s="73"/>
      <c r="E18" s="73"/>
      <c r="F18" s="73"/>
      <c r="G18" s="73"/>
      <c r="H18" s="53"/>
      <c r="I18" s="2051" t="s">
        <v>671</v>
      </c>
      <c r="J18" s="2002"/>
      <c r="K18" s="2002"/>
      <c r="L18" s="2002"/>
      <c r="M18" s="2002"/>
      <c r="N18" s="2002"/>
      <c r="O18" s="2002"/>
      <c r="P18" s="2002"/>
      <c r="Q18" s="2002"/>
      <c r="R18" s="2002"/>
      <c r="S18" s="2003"/>
      <c r="T18" s="82" t="s">
        <v>706</v>
      </c>
      <c r="U18" s="48"/>
      <c r="V18" s="69"/>
      <c r="W18" s="47"/>
      <c r="X18" s="82" t="s">
        <v>264</v>
      </c>
      <c r="Y18" s="78"/>
      <c r="Z18" s="154" t="s">
        <v>672</v>
      </c>
      <c r="AA18" s="44"/>
    </row>
    <row r="19" spans="1:27" ht="13.5" customHeight="1" x14ac:dyDescent="0.2">
      <c r="A19" s="2056" t="s">
        <v>2031</v>
      </c>
      <c r="B19" s="2012"/>
      <c r="C19" s="2012"/>
      <c r="D19" s="2012"/>
      <c r="E19" s="2012"/>
      <c r="F19" s="2012"/>
      <c r="G19" s="2012"/>
      <c r="H19" s="1992"/>
      <c r="I19" s="30"/>
      <c r="J19" s="96"/>
      <c r="K19" s="40"/>
      <c r="L19" s="38"/>
      <c r="M19" s="109" t="s">
        <v>312</v>
      </c>
      <c r="P19" s="27"/>
      <c r="Q19" s="27"/>
      <c r="R19" s="27"/>
      <c r="S19" s="31"/>
      <c r="T19" s="2056" t="s">
        <v>2024</v>
      </c>
      <c r="U19" s="1991"/>
      <c r="V19" s="1991"/>
      <c r="W19" s="1992"/>
      <c r="X19" s="2068" t="s">
        <v>2025</v>
      </c>
      <c r="Y19" s="2069"/>
      <c r="Z19" s="2066">
        <v>60450</v>
      </c>
      <c r="AA19" s="20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0" t="s">
        <v>2024</v>
      </c>
      <c r="B21" s="1991"/>
      <c r="C21" s="1991"/>
      <c r="D21" s="1991"/>
      <c r="E21" s="1991"/>
      <c r="F21" s="1991"/>
      <c r="G21" s="1991"/>
      <c r="H21" s="1992"/>
      <c r="I21" s="2046" t="s">
        <v>673</v>
      </c>
      <c r="J21" s="2041"/>
      <c r="K21" s="2041"/>
      <c r="L21" s="2041"/>
      <c r="M21" s="2041"/>
      <c r="N21" s="2041"/>
      <c r="O21" s="2041"/>
      <c r="P21" s="2041"/>
      <c r="Q21" s="2041"/>
      <c r="R21" s="2041"/>
      <c r="S21" s="2047"/>
      <c r="T21" s="2081" t="s">
        <v>2026</v>
      </c>
      <c r="U21" s="2082"/>
      <c r="V21" s="2082"/>
      <c r="W21" s="2082"/>
      <c r="X21" s="2087" t="s">
        <v>2027</v>
      </c>
      <c r="Y21" s="2088"/>
      <c r="Z21" s="2088"/>
      <c r="AA21" s="2089"/>
    </row>
    <row r="22" spans="1:27" ht="13.5" customHeight="1" x14ac:dyDescent="0.2">
      <c r="A22" s="84" t="s">
        <v>528</v>
      </c>
      <c r="B22" s="56"/>
      <c r="C22" s="56"/>
      <c r="D22" s="56"/>
      <c r="E22" s="56"/>
      <c r="F22" s="56"/>
      <c r="G22" s="56"/>
      <c r="H22" s="57"/>
      <c r="I22" s="2048" t="s">
        <v>1415</v>
      </c>
      <c r="J22" s="2049"/>
      <c r="K22" s="2049"/>
      <c r="L22" s="2049"/>
      <c r="M22" s="2049"/>
      <c r="N22" s="2049"/>
      <c r="O22" s="2049"/>
      <c r="P22" s="2049"/>
      <c r="Q22" s="2049"/>
      <c r="R22" s="2049"/>
      <c r="S22" s="2050"/>
      <c r="T22" s="82" t="s">
        <v>1502</v>
      </c>
      <c r="U22" s="48"/>
      <c r="V22" s="69"/>
      <c r="W22" s="48"/>
      <c r="X22" s="155" t="s">
        <v>1309</v>
      </c>
      <c r="Z22" s="43"/>
      <c r="AA22" s="44"/>
    </row>
    <row r="23" spans="1:27" ht="13.5" customHeight="1" x14ac:dyDescent="0.2">
      <c r="A23" s="2043" t="s">
        <v>2032</v>
      </c>
      <c r="B23" s="2044"/>
      <c r="C23" s="2044"/>
      <c r="D23" s="2044"/>
      <c r="E23" s="2044"/>
      <c r="F23" s="2044"/>
      <c r="G23" s="2044"/>
      <c r="H23" s="2045"/>
      <c r="T23" s="2026" t="s">
        <v>2064</v>
      </c>
      <c r="U23" s="2080"/>
      <c r="V23" s="2080"/>
      <c r="W23" s="2080"/>
      <c r="X23" s="2084">
        <v>44469</v>
      </c>
      <c r="Y23" s="2085"/>
      <c r="Z23" s="2085"/>
      <c r="AA23" s="2086"/>
    </row>
    <row r="24" spans="1:27" ht="14.1" customHeight="1" x14ac:dyDescent="0.2">
      <c r="A24" s="85" t="s">
        <v>672</v>
      </c>
      <c r="B24" s="46"/>
      <c r="C24" s="46"/>
      <c r="D24" s="46"/>
      <c r="E24" s="46"/>
      <c r="F24" s="46"/>
      <c r="G24" s="46"/>
      <c r="H24" s="58"/>
      <c r="J24" s="2013">
        <f>IF(B5="x",IF(AUDITCHECK!D29="AFR form Incomplete.","",IF(AUDITCHECK!D29="Deficit reduction plan is required.","School District must complete a deficit reduction plan in the 2019-2020 Budget",)),"")</f>
        <v>0</v>
      </c>
      <c r="K24" s="2013"/>
      <c r="L24" s="2013"/>
      <c r="M24" s="2013"/>
      <c r="N24" s="2013"/>
      <c r="O24" s="2013"/>
      <c r="P24" s="2013"/>
      <c r="Q24" s="2013"/>
      <c r="R24" s="2013"/>
      <c r="S24" s="2014"/>
      <c r="T24" s="102" t="s">
        <v>528</v>
      </c>
      <c r="U24" s="103"/>
      <c r="V24" s="103"/>
      <c r="W24" s="103"/>
      <c r="X24" s="104"/>
      <c r="Y24" s="104"/>
      <c r="Z24" s="104"/>
      <c r="AA24" s="105"/>
    </row>
    <row r="25" spans="1:27" ht="14.1" customHeight="1" x14ac:dyDescent="0.2">
      <c r="A25" s="1990">
        <v>60450</v>
      </c>
      <c r="B25" s="1991"/>
      <c r="C25" s="1991"/>
      <c r="D25" s="1991"/>
      <c r="E25" s="1991"/>
      <c r="F25" s="1991"/>
      <c r="G25" s="1991"/>
      <c r="H25" s="1992"/>
      <c r="I25" s="110"/>
      <c r="J25" s="2015"/>
      <c r="K25" s="2015"/>
      <c r="L25" s="2015"/>
      <c r="M25" s="2015"/>
      <c r="N25" s="2015"/>
      <c r="O25" s="2015"/>
      <c r="P25" s="2015"/>
      <c r="Q25" s="2015"/>
      <c r="R25" s="2015"/>
      <c r="S25" s="2016"/>
      <c r="T25" s="2077" t="s">
        <v>2028</v>
      </c>
      <c r="U25" s="2078"/>
      <c r="V25" s="2078"/>
      <c r="W25" s="2078"/>
      <c r="X25" s="2078"/>
      <c r="Y25" s="2078"/>
      <c r="Z25" s="2078"/>
      <c r="AA25" s="207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1" t="s">
        <v>1497</v>
      </c>
      <c r="J27" s="2002"/>
      <c r="K27" s="2002"/>
      <c r="L27" s="2002"/>
      <c r="M27" s="2002"/>
      <c r="N27" s="2002"/>
      <c r="O27" s="2002"/>
      <c r="P27" s="2002"/>
      <c r="Q27" s="2002"/>
      <c r="R27" s="2002"/>
      <c r="S27" s="20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2029</v>
      </c>
      <c r="F29" s="137" t="s">
        <v>1307</v>
      </c>
      <c r="G29" s="111"/>
      <c r="I29" s="51"/>
      <c r="J29" s="99"/>
      <c r="K29" s="28" t="s">
        <v>572</v>
      </c>
      <c r="L29" s="144" t="s">
        <v>2029</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2029</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2"/>
      <c r="Q35" s="1991"/>
      <c r="R35" s="19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6" t="s">
        <v>2033</v>
      </c>
      <c r="B38" s="2027"/>
      <c r="C38" s="2027"/>
      <c r="D38" s="2027"/>
      <c r="E38" s="2027"/>
      <c r="F38" s="1991"/>
      <c r="G38" s="1991"/>
      <c r="H38" s="1992"/>
      <c r="I38" s="2019"/>
      <c r="J38" s="2020"/>
      <c r="K38" s="2020"/>
      <c r="L38" s="2020"/>
      <c r="M38" s="2020"/>
      <c r="N38" s="2020"/>
      <c r="O38" s="2020"/>
      <c r="P38" s="2021"/>
      <c r="Q38" s="2021"/>
      <c r="R38" s="2021"/>
      <c r="S38" s="2022"/>
      <c r="T38" s="2063"/>
      <c r="U38" s="2020"/>
      <c r="V38" s="2020"/>
      <c r="W38" s="2020"/>
      <c r="X38" s="2021"/>
      <c r="Y38" s="2021"/>
      <c r="Z38" s="2021"/>
      <c r="AA38" s="2022"/>
    </row>
    <row r="39" spans="1:27" ht="12" customHeight="1" x14ac:dyDescent="0.2">
      <c r="A39" s="1996" t="s">
        <v>528</v>
      </c>
      <c r="B39" s="1997"/>
      <c r="C39" s="69"/>
      <c r="D39" s="66"/>
      <c r="E39" s="66"/>
      <c r="F39" s="76"/>
      <c r="G39" s="66"/>
      <c r="H39" s="53"/>
      <c r="I39" s="1996" t="s">
        <v>528</v>
      </c>
      <c r="J39" s="1997"/>
      <c r="K39" s="1997"/>
      <c r="L39" s="1997"/>
      <c r="M39" s="1997"/>
      <c r="N39" s="64"/>
      <c r="O39" s="69"/>
      <c r="P39" s="69"/>
      <c r="Q39" s="75"/>
      <c r="R39" s="69"/>
      <c r="S39" s="53"/>
      <c r="T39" s="69" t="s">
        <v>528</v>
      </c>
      <c r="U39" s="48"/>
      <c r="V39" s="69"/>
      <c r="W39" s="47"/>
      <c r="X39" s="75"/>
      <c r="Y39" s="43"/>
      <c r="Z39" s="43"/>
      <c r="AA39" s="44"/>
    </row>
    <row r="40" spans="1:27" ht="13.5" customHeight="1" x14ac:dyDescent="0.2">
      <c r="A40" s="2004" t="s">
        <v>2032</v>
      </c>
      <c r="B40" s="2005"/>
      <c r="C40" s="2006"/>
      <c r="D40" s="2006"/>
      <c r="E40" s="2006"/>
      <c r="F40" s="2007"/>
      <c r="G40" s="2007"/>
      <c r="H40" s="2008"/>
      <c r="I40" s="2029"/>
      <c r="J40" s="2030"/>
      <c r="K40" s="2030"/>
      <c r="L40" s="2030"/>
      <c r="M40" s="2030"/>
      <c r="N40" s="2030"/>
      <c r="O40" s="2030"/>
      <c r="P40" s="2030"/>
      <c r="Q40" s="2030"/>
      <c r="R40" s="2030"/>
      <c r="S40" s="2031"/>
      <c r="T40" s="2029"/>
      <c r="U40" s="2083"/>
      <c r="V40" s="2030"/>
      <c r="W40" s="2030"/>
      <c r="X40" s="2030"/>
      <c r="Y40" s="2030"/>
      <c r="Z40" s="2030"/>
      <c r="AA40" s="203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8" t="s">
        <v>2034</v>
      </c>
      <c r="B42" s="2010"/>
      <c r="C42" s="2011"/>
      <c r="D42" s="2009" t="s">
        <v>2035</v>
      </c>
      <c r="E42" s="2010"/>
      <c r="F42" s="2010"/>
      <c r="G42" s="2010"/>
      <c r="H42" s="2011"/>
      <c r="I42" s="1993"/>
      <c r="J42" s="1994"/>
      <c r="K42" s="1994"/>
      <c r="L42" s="1994"/>
      <c r="M42" s="1994"/>
      <c r="N42" s="1994"/>
      <c r="O42" s="1995"/>
      <c r="P42" s="2028"/>
      <c r="Q42" s="1994"/>
      <c r="R42" s="1994"/>
      <c r="S42" s="1995"/>
      <c r="T42" s="1993"/>
      <c r="U42" s="1994"/>
      <c r="V42" s="1994"/>
      <c r="W42" s="1995"/>
      <c r="X42" s="2028"/>
      <c r="Y42" s="1994"/>
      <c r="Z42" s="1994"/>
      <c r="AA42" s="199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3"/>
      <c r="B44" s="2024"/>
      <c r="C44" s="2024"/>
      <c r="D44" s="2024"/>
      <c r="E44" s="2024"/>
      <c r="F44" s="2024"/>
      <c r="G44" s="2024"/>
      <c r="H44" s="2025"/>
      <c r="I44" s="1998"/>
      <c r="J44" s="1999"/>
      <c r="K44" s="1999"/>
      <c r="L44" s="1999"/>
      <c r="M44" s="1999"/>
      <c r="N44" s="1999"/>
      <c r="O44" s="1999"/>
      <c r="P44" s="1999"/>
      <c r="Q44" s="1999"/>
      <c r="R44" s="1999"/>
      <c r="S44" s="2000"/>
      <c r="T44" s="1998"/>
      <c r="U44" s="2017"/>
      <c r="V44" s="2017"/>
      <c r="W44" s="2017"/>
      <c r="X44" s="2017"/>
      <c r="Y44" s="2017"/>
      <c r="Z44" s="1999"/>
      <c r="AA44" s="200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6"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6" t="s">
        <v>1058</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686</v>
      </c>
      <c r="B40" s="2103"/>
      <c r="C40" s="2103"/>
      <c r="D40" s="2103"/>
      <c r="E40" s="2103"/>
    </row>
    <row r="41" spans="1:5" x14ac:dyDescent="0.2">
      <c r="A41" s="2104" t="s">
        <v>1594</v>
      </c>
      <c r="B41" s="2104"/>
      <c r="C41" s="2104"/>
      <c r="D41" s="2104"/>
      <c r="E41" s="2104"/>
    </row>
    <row r="42" spans="1:5" ht="12.75" customHeight="1" x14ac:dyDescent="0.2">
      <c r="A42" s="2105" t="s">
        <v>1015</v>
      </c>
      <c r="B42" s="2105"/>
      <c r="C42" s="2105"/>
      <c r="D42" s="2105"/>
      <c r="E42" s="210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4"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1160</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1" t="s">
        <v>1619</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1" t="s">
        <v>310</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8"/>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 customHeight="1" x14ac:dyDescent="0.2">
      <c r="A67" s="249"/>
      <c r="B67" s="2134"/>
      <c r="C67" s="2135"/>
      <c r="D67" s="2135"/>
      <c r="E67" s="2135"/>
      <c r="F67" s="2135"/>
      <c r="G67" s="2135"/>
      <c r="H67" s="2135"/>
      <c r="I67" s="2135"/>
      <c r="J67" s="213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1" t="s">
        <v>1314</v>
      </c>
      <c r="B70" s="2124"/>
      <c r="C70" s="2124"/>
      <c r="D70" s="2124"/>
      <c r="E70" s="2125"/>
      <c r="F70" s="2125"/>
      <c r="G70" s="2125"/>
      <c r="H70" s="2125"/>
      <c r="I70" s="212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6" t="s">
        <v>1311</v>
      </c>
      <c r="B83" s="2126"/>
      <c r="C83" s="2126"/>
      <c r="D83" s="212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7" t="s">
        <v>1992</v>
      </c>
      <c r="B85" s="2137"/>
      <c r="C85" s="2137"/>
      <c r="D85" s="2138"/>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9" t="s">
        <v>1992</v>
      </c>
      <c r="B88" s="2140"/>
      <c r="C88" s="2140"/>
      <c r="D88" s="2141"/>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2021</v>
      </c>
      <c r="D114" s="211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1321</v>
      </c>
      <c r="D117" s="2119"/>
      <c r="E117" s="2120"/>
      <c r="F117" s="2120"/>
      <c r="G117" s="2120"/>
      <c r="H117" s="2120"/>
      <c r="I117" s="282"/>
    </row>
    <row r="118" spans="1:9" s="176" customFormat="1" ht="24" customHeight="1" x14ac:dyDescent="0.2">
      <c r="A118" s="294"/>
      <c r="B118" s="294"/>
      <c r="C118" s="294"/>
      <c r="D118" s="301" t="s">
        <v>2056</v>
      </c>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383</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308561524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1.7899999999999999E-2</v>
      </c>
      <c r="E10" s="333" t="s">
        <v>998</v>
      </c>
      <c r="F10" s="332">
        <v>2.5000000000000001E-3</v>
      </c>
      <c r="G10" s="333" t="s">
        <v>998</v>
      </c>
      <c r="H10" s="332">
        <v>1.1999999999999999E-3</v>
      </c>
      <c r="I10" s="333" t="s">
        <v>999</v>
      </c>
      <c r="J10" s="1473">
        <f>ROUND(D10+F10+H10,5)</f>
        <v>2.1600000000000001E-2</v>
      </c>
      <c r="K10" s="217"/>
      <c r="L10" s="332">
        <v>5.0000000000000001E-4</v>
      </c>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8596306</v>
      </c>
      <c r="E16" s="1597"/>
      <c r="F16" s="1596">
        <f>SUM('Acct Summary 7-8'!C17,'Acct Summary 7-8'!D17,'Acct Summary 7-8'!F17)</f>
        <v>8398358</v>
      </c>
      <c r="G16" s="1597"/>
      <c r="H16" s="1596">
        <f>SUM(D16-F16)</f>
        <v>197948</v>
      </c>
      <c r="I16" s="1598"/>
      <c r="J16" s="1596">
        <f>SUM('Acct Summary 7-8'!C81,'Acct Summary 7-8'!D81,'Acct Summary 7-8'!F81,'Acct Summary 7-8'!I81)</f>
        <v>4737946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2029</v>
      </c>
      <c r="C31" s="344" t="s">
        <v>582</v>
      </c>
      <c r="D31" s="232" t="s">
        <v>1065</v>
      </c>
      <c r="E31" s="217"/>
      <c r="F31" s="217"/>
      <c r="G31" s="340"/>
      <c r="H31" s="1474">
        <f>IF(B31="X",(J7*0.069),IF(B32="X",(J7*0.138),"Enter x in a.or b."))</f>
        <v>21290745.156000003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18985000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75" customHeight="1" x14ac:dyDescent="0.2">
      <c r="B55" s="2146"/>
      <c r="C55" s="2147"/>
      <c r="D55" s="2147"/>
      <c r="E55" s="2147"/>
      <c r="F55" s="2147"/>
      <c r="G55" s="2147"/>
      <c r="H55" s="2147"/>
      <c r="I55" s="2147"/>
      <c r="J55" s="2147"/>
      <c r="K55" s="2147"/>
      <c r="L55" s="2148"/>
      <c r="M55" s="357"/>
    </row>
    <row r="56" spans="1:13" ht="12.75" customHeight="1" x14ac:dyDescent="0.2">
      <c r="B56" s="2146"/>
      <c r="C56" s="2147"/>
      <c r="D56" s="2147"/>
      <c r="E56" s="2147"/>
      <c r="F56" s="2147"/>
      <c r="G56" s="2147"/>
      <c r="H56" s="2147"/>
      <c r="I56" s="2147"/>
      <c r="J56" s="2147"/>
      <c r="K56" s="2147"/>
      <c r="L56" s="2148"/>
      <c r="M56" s="217"/>
    </row>
    <row r="57" spans="1:13" ht="12.7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2" sqref="H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552</v>
      </c>
      <c r="B2" s="2161"/>
      <c r="C2" s="2161"/>
      <c r="D2" s="2161"/>
      <c r="E2" s="2161"/>
      <c r="F2" s="2161"/>
      <c r="G2" s="2161"/>
      <c r="H2" s="2161"/>
      <c r="I2" s="2161"/>
      <c r="J2" s="2161"/>
      <c r="K2" s="2161"/>
      <c r="L2" s="2161"/>
      <c r="M2" s="2161"/>
      <c r="N2" s="2161"/>
      <c r="O2" s="2161"/>
      <c r="P2" s="2161"/>
      <c r="Q2" s="2161"/>
      <c r="R2" s="2161"/>
    </row>
    <row r="3" spans="1:18" ht="12.75" x14ac:dyDescent="0.2">
      <c r="A3" s="2162" t="s">
        <v>1399</v>
      </c>
      <c r="B3" s="2162"/>
      <c r="C3" s="2162"/>
      <c r="D3" s="2162"/>
      <c r="E3" s="2162"/>
      <c r="F3" s="2162"/>
      <c r="G3" s="2162"/>
      <c r="H3" s="2162"/>
      <c r="I3" s="2162"/>
      <c r="J3" s="2162"/>
      <c r="K3" s="2162"/>
      <c r="L3" s="2162"/>
      <c r="M3" s="2162"/>
      <c r="N3" s="2162"/>
      <c r="O3" s="2162"/>
      <c r="P3" s="2162"/>
      <c r="Q3" s="2162"/>
      <c r="R3" s="2162"/>
    </row>
    <row r="4" spans="1:18" x14ac:dyDescent="0.2">
      <c r="A4" s="2163" t="s">
        <v>1540</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Saratoga CCSD 60C </v>
      </c>
      <c r="E7" s="368"/>
      <c r="G7" s="247"/>
      <c r="H7" s="364"/>
      <c r="I7" s="364"/>
      <c r="J7" s="364"/>
      <c r="K7" s="364"/>
      <c r="L7" s="307"/>
      <c r="M7" s="307"/>
      <c r="N7" s="307"/>
      <c r="O7" s="307"/>
      <c r="P7" s="307"/>
    </row>
    <row r="8" spans="1:18" ht="12.75" x14ac:dyDescent="0.2">
      <c r="A8" s="307"/>
      <c r="B8" s="307"/>
      <c r="C8" s="366" t="s">
        <v>1117</v>
      </c>
      <c r="D8" s="369" t="str">
        <f>COVER!A13</f>
        <v>24032060C04</v>
      </c>
      <c r="E8" s="370"/>
      <c r="G8" s="307"/>
      <c r="H8" s="307"/>
      <c r="I8" s="307"/>
      <c r="J8" s="307"/>
      <c r="K8" s="307"/>
      <c r="L8" s="307"/>
      <c r="M8" s="307"/>
      <c r="N8" s="307"/>
      <c r="O8" s="307"/>
      <c r="P8" s="307"/>
    </row>
    <row r="9" spans="1:18" ht="12.75" x14ac:dyDescent="0.2">
      <c r="A9" s="307"/>
      <c r="B9" s="307"/>
      <c r="C9" s="366" t="s">
        <v>708</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4737946</v>
      </c>
      <c r="I12" s="380"/>
      <c r="J12" s="380"/>
      <c r="K12" s="1609">
        <f>TRUNC((H12/H13*100000),5)/100000</f>
        <v>0.55116069619999997</v>
      </c>
      <c r="L12" s="381"/>
      <c r="M12" s="337" t="s">
        <v>1136</v>
      </c>
      <c r="N12" s="337"/>
      <c r="O12" s="1612">
        <v>0.35</v>
      </c>
      <c r="P12" s="213"/>
      <c r="Q12" s="213"/>
    </row>
    <row r="13" spans="1:18" s="382" customFormat="1" ht="12.75" x14ac:dyDescent="0.2">
      <c r="A13" s="213"/>
      <c r="B13" s="377"/>
      <c r="C13" s="2159" t="s">
        <v>1315</v>
      </c>
      <c r="D13" s="2160"/>
      <c r="E13" s="213"/>
      <c r="F13" s="383" t="s">
        <v>788</v>
      </c>
      <c r="G13" s="378"/>
      <c r="H13" s="1601">
        <f>SUM('Acct Summary 7-8'!C8+'Acct Summary 7-8'!D8+'Acct Summary 7-8'!F8+'Acct Summary 7-8'!I8)+H14</f>
        <v>8596306</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8398358</v>
      </c>
      <c r="I17" s="380"/>
      <c r="J17" s="389"/>
      <c r="K17" s="1609">
        <f>TRUNC((H17/H18*100000),5)/100000</f>
        <v>0.97697289970000001</v>
      </c>
      <c r="L17" s="381"/>
      <c r="M17" s="390" t="s">
        <v>1163</v>
      </c>
      <c r="O17" s="1615" t="str">
        <f>IF(AND(O16="2", J20 &gt; 2),"1",IF(AND(O16 = "1", J20 &gt; 2),"2",IF(AND(O16="1", J20 &gt;1),"1","0")))</f>
        <v>0</v>
      </c>
      <c r="P17" s="213"/>
    </row>
    <row r="18" spans="1:18" s="382" customFormat="1" ht="11.25" x14ac:dyDescent="0.2">
      <c r="A18" s="213"/>
      <c r="B18" s="377"/>
      <c r="C18" s="2159" t="s">
        <v>1308</v>
      </c>
      <c r="D18" s="2160"/>
      <c r="E18" s="213"/>
      <c r="F18" s="391" t="s">
        <v>789</v>
      </c>
      <c r="G18" s="378"/>
      <c r="H18" s="1601">
        <f>SUM('Acct Summary 7-8'!C8+'Acct Summary 7-8'!D8+'Acct Summary 7-8'!F8+'Acct Summary 7-8'!I8)+H19</f>
        <v>8596306</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6" t="s">
        <v>1398</v>
      </c>
      <c r="D24" s="2156"/>
      <c r="E24" s="213"/>
      <c r="F24" s="213" t="s">
        <v>442</v>
      </c>
      <c r="G24" s="378"/>
      <c r="H24" s="1601">
        <f>SUM('Assets-Liab 5-6'!C4+'Assets-Liab 5-6'!D4+'Assets-Liab 5-6'!F4+'Assets-Liab 5-6'!I4+'Assets-Liab 5-6'!C5+'Assets-Liab 5-6'!D5+'Assets-Liab 5-6'!F5+'Assets-Liab 5-6'!I5)</f>
        <v>4737946</v>
      </c>
      <c r="I24" s="394"/>
      <c r="J24" s="394"/>
      <c r="K24" s="1605">
        <f>TRUNC(((H24/H25*100000)/100000),2)</f>
        <v>203.09</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23328.772219999999</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5665189.5806400003</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f>IF(K32&gt;=75,"4",IF(K32&gt;=50,"3",IF(K32&gt;=25,"2",1)))</f>
        <v>1</v>
      </c>
      <c r="P31" s="211"/>
    </row>
    <row r="32" spans="1:18" s="382" customFormat="1" ht="11.25" x14ac:dyDescent="0.2">
      <c r="A32" s="213"/>
      <c r="B32" s="377"/>
      <c r="C32" s="213" t="s">
        <v>842</v>
      </c>
      <c r="D32" s="213"/>
      <c r="E32" s="213"/>
      <c r="F32" s="213"/>
      <c r="G32" s="378"/>
      <c r="H32" s="1601">
        <f>'FP Info 3'!H37</f>
        <v>18985000</v>
      </c>
      <c r="I32" s="392"/>
      <c r="J32" s="392"/>
      <c r="K32" s="1605">
        <f>TRUNC(100-((((H32/H33*100))*100)/100),2)</f>
        <v>10.82</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21290745.156000003</v>
      </c>
      <c r="I33" s="392"/>
      <c r="J33" s="392"/>
      <c r="K33" s="379"/>
      <c r="L33" s="213"/>
      <c r="M33" s="401" t="s">
        <v>1137</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6" t="s">
        <v>967</v>
      </c>
      <c r="B3" s="2167"/>
      <c r="C3" s="1351"/>
      <c r="D3" s="1352"/>
      <c r="E3" s="1352"/>
      <c r="F3" s="1352"/>
      <c r="G3" s="1352"/>
      <c r="H3" s="1352"/>
      <c r="I3" s="1352"/>
      <c r="J3" s="1352"/>
      <c r="K3" s="1352"/>
      <c r="L3" s="1352"/>
      <c r="M3" s="1353"/>
      <c r="N3" s="1354"/>
    </row>
    <row r="4" spans="1:14" ht="13.5" customHeight="1" x14ac:dyDescent="0.2">
      <c r="A4" s="427" t="s">
        <v>1635</v>
      </c>
      <c r="B4" s="428"/>
      <c r="C4" s="1622">
        <v>684935</v>
      </c>
      <c r="D4" s="1623">
        <v>652142</v>
      </c>
      <c r="E4" s="1623">
        <v>1262899</v>
      </c>
      <c r="F4" s="1623">
        <v>444281</v>
      </c>
      <c r="G4" s="1623">
        <v>97276</v>
      </c>
      <c r="H4" s="1623">
        <v>678775</v>
      </c>
      <c r="I4" s="1623">
        <v>262779</v>
      </c>
      <c r="J4" s="1624">
        <v>141802</v>
      </c>
      <c r="K4" s="1623">
        <v>217003</v>
      </c>
      <c r="L4" s="1623">
        <v>82964</v>
      </c>
      <c r="M4" s="1625"/>
      <c r="N4" s="1626"/>
    </row>
    <row r="5" spans="1:14" x14ac:dyDescent="0.2">
      <c r="A5" s="427" t="s">
        <v>985</v>
      </c>
      <c r="B5" s="429">
        <v>120</v>
      </c>
      <c r="C5" s="1622">
        <v>2044389</v>
      </c>
      <c r="D5" s="1623">
        <v>127016</v>
      </c>
      <c r="E5" s="1623">
        <v>225072</v>
      </c>
      <c r="F5" s="1623">
        <v>135757</v>
      </c>
      <c r="G5" s="1623">
        <v>8008</v>
      </c>
      <c r="H5" s="1623">
        <v>6331327</v>
      </c>
      <c r="I5" s="1623">
        <v>386647</v>
      </c>
      <c r="J5" s="1624">
        <v>176</v>
      </c>
      <c r="K5" s="1627">
        <v>36532</v>
      </c>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2729324</v>
      </c>
      <c r="D13" s="1637">
        <f t="shared" ref="D13:L13" si="0">SUM(D4:D12)</f>
        <v>779158</v>
      </c>
      <c r="E13" s="1637">
        <f t="shared" si="0"/>
        <v>1487971</v>
      </c>
      <c r="F13" s="1637">
        <f t="shared" si="0"/>
        <v>580038</v>
      </c>
      <c r="G13" s="1637">
        <f t="shared" si="0"/>
        <v>105284</v>
      </c>
      <c r="H13" s="1637">
        <f t="shared" si="0"/>
        <v>7010102</v>
      </c>
      <c r="I13" s="1637">
        <f t="shared" si="0"/>
        <v>649426</v>
      </c>
      <c r="J13" s="1637">
        <f t="shared" si="0"/>
        <v>141978</v>
      </c>
      <c r="K13" s="1637">
        <f t="shared" si="0"/>
        <v>253535</v>
      </c>
      <c r="L13" s="1637">
        <f t="shared" si="0"/>
        <v>82964</v>
      </c>
      <c r="M13" s="1625"/>
      <c r="N13" s="1626"/>
    </row>
    <row r="14" spans="1:14" ht="18" customHeight="1" thickTop="1" x14ac:dyDescent="0.2">
      <c r="A14" s="2168" t="s">
        <v>146</v>
      </c>
      <c r="B14" s="2169"/>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510156</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12543955</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241342</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298956</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v>7469402</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1487971</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17497029</v>
      </c>
    </row>
    <row r="23" spans="1:14" ht="13.5" customHeight="1" thickBot="1" x14ac:dyDescent="0.25">
      <c r="A23" s="1475" t="s">
        <v>638</v>
      </c>
      <c r="B23" s="1478"/>
      <c r="C23" s="1625"/>
      <c r="D23" s="1625"/>
      <c r="E23" s="1625"/>
      <c r="F23" s="1625"/>
      <c r="G23" s="1625"/>
      <c r="H23" s="1625"/>
      <c r="I23" s="1625"/>
      <c r="J23" s="1625"/>
      <c r="K23" s="1625"/>
      <c r="L23" s="1625"/>
      <c r="M23" s="1644">
        <f>SUM(M15:M22)</f>
        <v>21063811</v>
      </c>
      <c r="N23" s="1644">
        <f>SUM(N21:N22)</f>
        <v>18985000</v>
      </c>
    </row>
    <row r="24" spans="1:14" ht="18" customHeight="1" thickTop="1" x14ac:dyDescent="0.2">
      <c r="A24" s="2170" t="s">
        <v>594</v>
      </c>
      <c r="B24" s="2171"/>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82964</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82964</v>
      </c>
      <c r="M34" s="1625"/>
      <c r="N34" s="1635"/>
    </row>
    <row r="35" spans="1:14" ht="18" customHeight="1" thickTop="1" x14ac:dyDescent="0.2">
      <c r="A35" s="2172" t="s">
        <v>526</v>
      </c>
      <c r="B35" s="217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18985000</v>
      </c>
    </row>
    <row r="37" spans="1:14" ht="13.5" thickBot="1" x14ac:dyDescent="0.25">
      <c r="A37" s="1475" t="s">
        <v>648</v>
      </c>
      <c r="B37" s="1478"/>
      <c r="C37" s="1632"/>
      <c r="D37" s="1632"/>
      <c r="E37" s="1632"/>
      <c r="F37" s="1632"/>
      <c r="G37" s="1632"/>
      <c r="H37" s="1632"/>
      <c r="I37" s="1632"/>
      <c r="J37" s="1632"/>
      <c r="K37" s="1632"/>
      <c r="L37" s="1635"/>
      <c r="M37" s="1625"/>
      <c r="N37" s="1644">
        <f>SUM(N36:N36)</f>
        <v>18985000</v>
      </c>
    </row>
    <row r="38" spans="1:14" s="307" customFormat="1" ht="13.5" customHeight="1" thickTop="1" x14ac:dyDescent="0.2">
      <c r="A38" s="438" t="s">
        <v>417</v>
      </c>
      <c r="B38" s="432">
        <v>714</v>
      </c>
      <c r="C38" s="1623">
        <v>555819</v>
      </c>
      <c r="D38" s="1623"/>
      <c r="E38" s="1623">
        <v>1487971</v>
      </c>
      <c r="F38" s="1623"/>
      <c r="G38" s="1623">
        <v>121523</v>
      </c>
      <c r="H38" s="1623">
        <v>6571774</v>
      </c>
      <c r="I38" s="1623"/>
      <c r="J38" s="1624">
        <v>141978</v>
      </c>
      <c r="K38" s="1623">
        <v>253535</v>
      </c>
      <c r="L38" s="1636"/>
      <c r="M38" s="1654"/>
      <c r="N38" s="1654"/>
    </row>
    <row r="39" spans="1:14" s="307" customFormat="1" ht="13.5" customHeight="1" x14ac:dyDescent="0.2">
      <c r="A39" s="438" t="s">
        <v>339</v>
      </c>
      <c r="B39" s="432">
        <v>730</v>
      </c>
      <c r="C39" s="1623">
        <v>2173505</v>
      </c>
      <c r="D39" s="1623">
        <v>779158</v>
      </c>
      <c r="E39" s="1623"/>
      <c r="F39" s="1623">
        <v>580038</v>
      </c>
      <c r="G39" s="1623">
        <v>-16239</v>
      </c>
      <c r="H39" s="1623">
        <v>438328</v>
      </c>
      <c r="I39" s="1623">
        <v>649426</v>
      </c>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21063811</v>
      </c>
      <c r="N40" s="1654"/>
    </row>
    <row r="41" spans="1:14" ht="13.5" customHeight="1" thickBot="1" x14ac:dyDescent="0.25">
      <c r="A41" s="1475" t="s">
        <v>650</v>
      </c>
      <c r="B41" s="1454"/>
      <c r="C41" s="1644">
        <f>(SUM(C34,C37,C38,C39))</f>
        <v>2729324</v>
      </c>
      <c r="D41" s="1644">
        <f t="shared" ref="D41:L41" si="2">SUM(D34,D37,D38:D39)</f>
        <v>779158</v>
      </c>
      <c r="E41" s="1644">
        <f t="shared" si="2"/>
        <v>1487971</v>
      </c>
      <c r="F41" s="1644">
        <f t="shared" si="2"/>
        <v>580038</v>
      </c>
      <c r="G41" s="1644">
        <f t="shared" si="2"/>
        <v>105284</v>
      </c>
      <c r="H41" s="1644">
        <f t="shared" si="2"/>
        <v>7010102</v>
      </c>
      <c r="I41" s="1644">
        <f t="shared" si="2"/>
        <v>649426</v>
      </c>
      <c r="J41" s="1644">
        <f t="shared" si="2"/>
        <v>141978</v>
      </c>
      <c r="K41" s="1644">
        <f t="shared" si="2"/>
        <v>253535</v>
      </c>
      <c r="L41" s="1644">
        <f t="shared" si="2"/>
        <v>82964</v>
      </c>
      <c r="M41" s="1644">
        <f>SUM(M40)</f>
        <v>21063811</v>
      </c>
      <c r="N41" s="1644">
        <f>SUM(N37)</f>
        <v>18985000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pane="bottomLeft" activeCell="F37" sqref="F3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4" t="s">
        <v>1167</v>
      </c>
      <c r="B3" s="2195"/>
      <c r="C3" s="1356"/>
      <c r="D3" s="1357"/>
      <c r="E3" s="1357"/>
      <c r="F3" s="1357"/>
      <c r="G3" s="1357"/>
      <c r="H3" s="1357"/>
      <c r="I3" s="1357"/>
      <c r="J3" s="1357"/>
      <c r="K3" s="1358"/>
      <c r="L3" s="446"/>
    </row>
    <row r="4" spans="1:13" ht="15.75" customHeight="1" x14ac:dyDescent="0.2">
      <c r="A4" s="1587" t="s">
        <v>1485</v>
      </c>
      <c r="B4" s="1588">
        <v>1000</v>
      </c>
      <c r="C4" s="1656">
        <f>'Revenues 9-14'!C109</f>
        <v>4573848</v>
      </c>
      <c r="D4" s="1656">
        <f>'Revenues 9-14'!D109</f>
        <v>595272</v>
      </c>
      <c r="E4" s="1656">
        <f>'Revenues 9-14'!E109</f>
        <v>1537039</v>
      </c>
      <c r="F4" s="1656">
        <f>'Revenues 9-14'!F109</f>
        <v>1413194</v>
      </c>
      <c r="G4" s="1656">
        <f>'Revenues 9-14'!G109</f>
        <v>278467</v>
      </c>
      <c r="H4" s="1656">
        <f>'Revenues 9-14'!H109</f>
        <v>100577</v>
      </c>
      <c r="I4" s="1656">
        <f>'Revenues 9-14'!I109</f>
        <v>118899</v>
      </c>
      <c r="J4" s="1656">
        <f>'Revenues 9-14'!J109</f>
        <v>339795</v>
      </c>
      <c r="K4" s="1656">
        <f>'Revenues 9-14'!K109</f>
        <v>113600</v>
      </c>
      <c r="L4" s="325"/>
    </row>
    <row r="5" spans="1:13" ht="15.75" customHeight="1" x14ac:dyDescent="0.2">
      <c r="A5" s="1359" t="s">
        <v>1486</v>
      </c>
      <c r="B5" s="1360">
        <v>2000</v>
      </c>
      <c r="C5" s="1657">
        <f>'Revenues 9-14'!C114</f>
        <v>8390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1343817</v>
      </c>
      <c r="D6" s="1657">
        <f>'Revenues 9-14'!D170</f>
        <v>0</v>
      </c>
      <c r="E6" s="1657">
        <f>'Revenues 9-14'!E170</f>
        <v>0</v>
      </c>
      <c r="F6" s="1657">
        <f>'Revenues 9-14'!F170</f>
        <v>240263</v>
      </c>
      <c r="G6" s="1657">
        <f>'Revenues 9-14'!G170</f>
        <v>0</v>
      </c>
      <c r="H6" s="1657">
        <f>'Revenues 9-14'!H170</f>
        <v>0</v>
      </c>
      <c r="I6" s="1657">
        <f>'Revenues 9-14'!I170</f>
        <v>0</v>
      </c>
      <c r="J6" s="1657">
        <f>'Revenues 9-14'!J170</f>
        <v>0</v>
      </c>
      <c r="K6" s="1657">
        <f>'Revenues 9-14'!K170</f>
        <v>50000</v>
      </c>
      <c r="L6" s="325"/>
      <c r="M6" s="448"/>
    </row>
    <row r="7" spans="1:13" ht="15.75" customHeight="1" x14ac:dyDescent="0.2">
      <c r="A7" s="1359" t="s">
        <v>1488</v>
      </c>
      <c r="B7" s="1361">
        <v>4000</v>
      </c>
      <c r="C7" s="1657">
        <f>'Revenues 9-14'!C267</f>
        <v>300551</v>
      </c>
      <c r="D7" s="1657">
        <f>'Revenues 9-14'!D267</f>
        <v>2072</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6226606</v>
      </c>
      <c r="D8" s="1644">
        <f t="shared" ref="D8:K8" si="0">SUM(D4:D7)</f>
        <v>597344</v>
      </c>
      <c r="E8" s="1644">
        <f t="shared" si="0"/>
        <v>1537039</v>
      </c>
      <c r="F8" s="1644">
        <f t="shared" si="0"/>
        <v>1653457</v>
      </c>
      <c r="G8" s="1644">
        <f t="shared" si="0"/>
        <v>278467</v>
      </c>
      <c r="H8" s="1644">
        <f t="shared" si="0"/>
        <v>100577</v>
      </c>
      <c r="I8" s="1644">
        <f t="shared" si="0"/>
        <v>118899</v>
      </c>
      <c r="J8" s="1644">
        <f t="shared" si="0"/>
        <v>339795</v>
      </c>
      <c r="K8" s="1644">
        <f t="shared" si="0"/>
        <v>163600</v>
      </c>
      <c r="L8" s="325"/>
    </row>
    <row r="9" spans="1:13" ht="15.75" thickTop="1" x14ac:dyDescent="0.2">
      <c r="A9" s="449" t="s">
        <v>1637</v>
      </c>
      <c r="B9" s="450">
        <v>3998</v>
      </c>
      <c r="C9" s="1636">
        <v>443839</v>
      </c>
      <c r="D9" s="1663">
        <v>3170</v>
      </c>
      <c r="E9" s="1636"/>
      <c r="F9" s="1636">
        <v>2048</v>
      </c>
      <c r="G9" s="1664"/>
      <c r="H9" s="1636"/>
      <c r="I9" s="1659" t="s">
        <v>1161</v>
      </c>
      <c r="J9" s="1633">
        <v>6206</v>
      </c>
      <c r="K9" s="1636"/>
      <c r="L9" s="325"/>
    </row>
    <row r="10" spans="1:13" s="452" customFormat="1" ht="13.5" thickBot="1" x14ac:dyDescent="0.25">
      <c r="A10" s="1475" t="s">
        <v>1165</v>
      </c>
      <c r="B10" s="1456"/>
      <c r="C10" s="1644">
        <f>SUM(C8:C9)</f>
        <v>6670445</v>
      </c>
      <c r="D10" s="1644">
        <f t="shared" ref="D10:K10" si="1">SUM(D8:D9)</f>
        <v>600514</v>
      </c>
      <c r="E10" s="1644">
        <f t="shared" si="1"/>
        <v>1537039</v>
      </c>
      <c r="F10" s="1644">
        <f t="shared" si="1"/>
        <v>1655505</v>
      </c>
      <c r="G10" s="1644">
        <f t="shared" si="1"/>
        <v>278467</v>
      </c>
      <c r="H10" s="1644">
        <f t="shared" si="1"/>
        <v>100577</v>
      </c>
      <c r="I10" s="1644">
        <f t="shared" si="1"/>
        <v>118899</v>
      </c>
      <c r="J10" s="1644">
        <f t="shared" si="1"/>
        <v>346001</v>
      </c>
      <c r="K10" s="1644">
        <f t="shared" si="1"/>
        <v>163600</v>
      </c>
      <c r="L10" s="451"/>
    </row>
    <row r="11" spans="1:13" s="452" customFormat="1" ht="16.7" customHeight="1" thickTop="1" x14ac:dyDescent="0.2">
      <c r="A11" s="2168" t="s">
        <v>1168</v>
      </c>
      <c r="B11" s="2169"/>
      <c r="C11" s="1652"/>
      <c r="D11" s="1653"/>
      <c r="E11" s="1653"/>
      <c r="F11" s="1653"/>
      <c r="G11" s="1653"/>
      <c r="H11" s="1653"/>
      <c r="I11" s="1653"/>
      <c r="J11" s="1653"/>
      <c r="K11" s="1665"/>
      <c r="L11" s="451"/>
    </row>
    <row r="12" spans="1:13" ht="15.75" customHeight="1" x14ac:dyDescent="0.2">
      <c r="A12" s="1359" t="s">
        <v>453</v>
      </c>
      <c r="B12" s="1361">
        <v>1000</v>
      </c>
      <c r="C12" s="1656">
        <f>'Expenditures 15-22'!K33</f>
        <v>4130505</v>
      </c>
      <c r="D12" s="1666" t="s">
        <v>1161</v>
      </c>
      <c r="E12" s="1625" t="s">
        <v>1161</v>
      </c>
      <c r="F12" s="1625" t="s">
        <v>1161</v>
      </c>
      <c r="G12" s="1656">
        <f>'Expenditures 15-22'!K229</f>
        <v>93353</v>
      </c>
      <c r="H12" s="1667"/>
      <c r="I12" s="1625" t="s">
        <v>1161</v>
      </c>
      <c r="J12" s="1625" t="s">
        <v>1161</v>
      </c>
      <c r="K12" s="1667" t="s">
        <v>1161</v>
      </c>
      <c r="L12" s="325"/>
    </row>
    <row r="13" spans="1:13" ht="15.75" customHeight="1" x14ac:dyDescent="0.2">
      <c r="A13" s="1359" t="s">
        <v>454</v>
      </c>
      <c r="B13" s="1361">
        <v>2000</v>
      </c>
      <c r="C13" s="1657">
        <f>'Expenditures 15-22'!K74</f>
        <v>1501480</v>
      </c>
      <c r="D13" s="1657">
        <f>'Expenditures 15-22'!K129</f>
        <v>477244</v>
      </c>
      <c r="E13" s="1626" t="s">
        <v>1161</v>
      </c>
      <c r="F13" s="1657">
        <f>'Expenditures 15-22'!K184</f>
        <v>1786659</v>
      </c>
      <c r="G13" s="1657">
        <f>'Expenditures 15-22'!K279</f>
        <v>236688</v>
      </c>
      <c r="H13" s="1657">
        <f>'Expenditures 15-22'!K303</f>
        <v>7208283</v>
      </c>
      <c r="I13" s="1625" t="s">
        <v>1161</v>
      </c>
      <c r="J13" s="1657">
        <f>'Expenditures 15-22'!K330</f>
        <v>335444</v>
      </c>
      <c r="K13" s="1668">
        <f>'Expenditures 15-22'!K352</f>
        <v>239909</v>
      </c>
      <c r="L13" s="325"/>
    </row>
    <row r="14" spans="1:13" ht="15.75" customHeight="1" x14ac:dyDescent="0.2">
      <c r="A14" s="1359" t="s">
        <v>446</v>
      </c>
      <c r="B14" s="1361">
        <v>3000</v>
      </c>
      <c r="C14" s="1657">
        <f>'Expenditures 15-22'!K75</f>
        <v>11048</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491422</v>
      </c>
      <c r="D15" s="1657">
        <f>'Expenditures 15-22'!K139</f>
        <v>0</v>
      </c>
      <c r="E15" s="1657">
        <f>'Expenditures 15-22'!K160</f>
        <v>0</v>
      </c>
      <c r="F15" s="1657">
        <f>'Expenditures 15-22'!K196</f>
        <v>0</v>
      </c>
      <c r="G15" s="1657">
        <f>'Expenditures 15-22'!K285</f>
        <v>0</v>
      </c>
      <c r="H15" s="1657">
        <f>'Expenditures 15-22'!K310</f>
        <v>60685</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999050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6134455</v>
      </c>
      <c r="D17" s="1644">
        <f t="shared" si="2"/>
        <v>477244</v>
      </c>
      <c r="E17" s="1644">
        <f t="shared" si="2"/>
        <v>999050</v>
      </c>
      <c r="F17" s="1644">
        <f t="shared" si="2"/>
        <v>1786659</v>
      </c>
      <c r="G17" s="1644">
        <f t="shared" si="2"/>
        <v>330041</v>
      </c>
      <c r="H17" s="1644">
        <f t="shared" si="2"/>
        <v>7268968</v>
      </c>
      <c r="I17" s="1625"/>
      <c r="J17" s="1644">
        <f>SUM(J12:J16)</f>
        <v>335444</v>
      </c>
      <c r="K17" s="1644">
        <f>SUM(K12:K16)</f>
        <v>239909</v>
      </c>
      <c r="L17" s="325"/>
    </row>
    <row r="18" spans="1:12" ht="15" customHeight="1" thickTop="1" x14ac:dyDescent="0.2">
      <c r="A18" s="1479" t="s">
        <v>1638</v>
      </c>
      <c r="B18" s="1480">
        <v>4180</v>
      </c>
      <c r="C18" s="1656">
        <f t="shared" ref="C18:H18" si="3">C9</f>
        <v>443839</v>
      </c>
      <c r="D18" s="1656">
        <f t="shared" si="3"/>
        <v>3170</v>
      </c>
      <c r="E18" s="1656">
        <f t="shared" si="3"/>
        <v>0</v>
      </c>
      <c r="F18" s="1656">
        <f t="shared" si="3"/>
        <v>2048</v>
      </c>
      <c r="G18" s="1656">
        <f t="shared" si="3"/>
        <v>0</v>
      </c>
      <c r="H18" s="1656">
        <f t="shared" si="3"/>
        <v>0</v>
      </c>
      <c r="I18" s="1625"/>
      <c r="J18" s="1656">
        <f>J9</f>
        <v>6206</v>
      </c>
      <c r="K18" s="1656">
        <f>K9</f>
        <v>0</v>
      </c>
      <c r="L18" s="325"/>
    </row>
    <row r="19" spans="1:12" ht="13.5" thickBot="1" x14ac:dyDescent="0.25">
      <c r="A19" s="1455" t="s">
        <v>502</v>
      </c>
      <c r="B19" s="1456"/>
      <c r="C19" s="1644">
        <f t="shared" ref="C19:H19" si="4">SUM(C17:C18)</f>
        <v>6578294</v>
      </c>
      <c r="D19" s="1644">
        <f t="shared" si="4"/>
        <v>480414</v>
      </c>
      <c r="E19" s="1644">
        <f t="shared" si="4"/>
        <v>999050</v>
      </c>
      <c r="F19" s="1644">
        <f t="shared" si="4"/>
        <v>1788707</v>
      </c>
      <c r="G19" s="1644">
        <f t="shared" si="4"/>
        <v>330041</v>
      </c>
      <c r="H19" s="1644">
        <f t="shared" si="4"/>
        <v>7268968</v>
      </c>
      <c r="I19" s="1625"/>
      <c r="J19" s="1644">
        <f>SUM(J17:J18)</f>
        <v>341650</v>
      </c>
      <c r="K19" s="1644">
        <f>SUM(K17:K18)</f>
        <v>239909</v>
      </c>
      <c r="L19" s="325"/>
    </row>
    <row r="20" spans="1:12" ht="16.5" thickTop="1" thickBot="1" x14ac:dyDescent="0.25">
      <c r="A20" s="2184" t="s">
        <v>1639</v>
      </c>
      <c r="B20" s="2185"/>
      <c r="C20" s="1672">
        <f>C8-C17</f>
        <v>92151</v>
      </c>
      <c r="D20" s="1672">
        <f t="shared" ref="D20:K20" si="5">D8-D17</f>
        <v>120100</v>
      </c>
      <c r="E20" s="1672">
        <f t="shared" si="5"/>
        <v>537989</v>
      </c>
      <c r="F20" s="1672">
        <f t="shared" si="5"/>
        <v>-133202</v>
      </c>
      <c r="G20" s="1672">
        <f t="shared" si="5"/>
        <v>-51574</v>
      </c>
      <c r="H20" s="1672">
        <f t="shared" si="5"/>
        <v>-7168391</v>
      </c>
      <c r="I20" s="1672">
        <f t="shared" si="5"/>
        <v>118899</v>
      </c>
      <c r="J20" s="1672">
        <f t="shared" si="5"/>
        <v>4351</v>
      </c>
      <c r="K20" s="1672">
        <f t="shared" si="5"/>
        <v>-76309</v>
      </c>
      <c r="L20" s="325"/>
    </row>
    <row r="21" spans="1:12" ht="16.7" customHeight="1" thickTop="1" x14ac:dyDescent="0.2">
      <c r="A21" s="2196" t="s">
        <v>591</v>
      </c>
      <c r="B21" s="2197"/>
      <c r="C21" s="1652"/>
      <c r="D21" s="1653"/>
      <c r="E21" s="1653"/>
      <c r="F21" s="1653"/>
      <c r="G21" s="1653"/>
      <c r="H21" s="1653"/>
      <c r="I21" s="1653"/>
      <c r="J21" s="1653"/>
      <c r="K21" s="1665"/>
      <c r="L21" s="453"/>
    </row>
    <row r="22" spans="1:12" ht="15.75" customHeight="1" collapsed="1" x14ac:dyDescent="0.2">
      <c r="A22" s="2192" t="s">
        <v>592</v>
      </c>
      <c r="B22" s="2193"/>
      <c r="C22" s="1632"/>
      <c r="D22" s="1632"/>
      <c r="E22" s="1632"/>
      <c r="F22" s="1632"/>
      <c r="G22" s="1632"/>
      <c r="H22" s="1632"/>
      <c r="I22" s="1632"/>
      <c r="J22" s="1632"/>
      <c r="K22" s="1632"/>
      <c r="L22" s="325"/>
    </row>
    <row r="23" spans="1:12" s="433" customFormat="1" ht="15.75" customHeight="1" x14ac:dyDescent="0.2">
      <c r="A23" s="2188" t="s">
        <v>290</v>
      </c>
      <c r="B23" s="2189"/>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v>3051677</v>
      </c>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v>-3091677</v>
      </c>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0" t="s">
        <v>974</v>
      </c>
      <c r="B32" s="2191"/>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v>10300000</v>
      </c>
      <c r="I33" s="1624">
        <v>2700000</v>
      </c>
      <c r="J33" s="1624"/>
      <c r="K33" s="1624"/>
      <c r="L33" s="453"/>
    </row>
    <row r="34" spans="1:12" s="433" customFormat="1" x14ac:dyDescent="0.2">
      <c r="A34" s="1305" t="s">
        <v>994</v>
      </c>
      <c r="B34" s="454">
        <v>7220</v>
      </c>
      <c r="C34" s="1624"/>
      <c r="D34" s="1624"/>
      <c r="E34" s="1624"/>
      <c r="F34" s="1624"/>
      <c r="G34" s="1632"/>
      <c r="H34" s="1633">
        <v>627698</v>
      </c>
      <c r="I34" s="1633">
        <v>541176</v>
      </c>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v>17000</v>
      </c>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8" t="s">
        <v>371</v>
      </c>
      <c r="B44" s="2199"/>
      <c r="C44" s="1674">
        <f>SUM(C24:C43)</f>
        <v>0</v>
      </c>
      <c r="D44" s="1674">
        <f t="shared" ref="D44:K44" si="6">SUM(D24:D43)</f>
        <v>-40000</v>
      </c>
      <c r="E44" s="1674">
        <f t="shared" si="6"/>
        <v>0</v>
      </c>
      <c r="F44" s="1674">
        <f t="shared" si="6"/>
        <v>17000</v>
      </c>
      <c r="G44" s="1674">
        <f t="shared" si="6"/>
        <v>0</v>
      </c>
      <c r="H44" s="1674">
        <f t="shared" si="6"/>
        <v>10927698</v>
      </c>
      <c r="I44" s="1674">
        <f t="shared" si="6"/>
        <v>3241176</v>
      </c>
      <c r="J44" s="1674">
        <f t="shared" si="6"/>
        <v>0</v>
      </c>
      <c r="K44" s="1674">
        <f t="shared" si="6"/>
        <v>0</v>
      </c>
      <c r="L44" s="453"/>
    </row>
    <row r="45" spans="1:12" ht="15.75" customHeight="1" thickTop="1" x14ac:dyDescent="0.2">
      <c r="A45" s="2192" t="s">
        <v>108</v>
      </c>
      <c r="B45" s="2193"/>
      <c r="C45" s="1675"/>
      <c r="D45" s="1675"/>
      <c r="E45" s="1675"/>
      <c r="F45" s="1675"/>
      <c r="G45" s="1675"/>
      <c r="H45" s="1675"/>
      <c r="I45" s="1675"/>
      <c r="J45" s="1675"/>
      <c r="K45" s="1675"/>
      <c r="L45" s="325"/>
    </row>
    <row r="46" spans="1:12" s="433" customFormat="1" ht="15.75" customHeight="1" x14ac:dyDescent="0.2">
      <c r="A46" s="2200" t="s">
        <v>109</v>
      </c>
      <c r="B46" s="2201"/>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3051677</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-3091677</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v>189499</v>
      </c>
      <c r="J75" s="1676"/>
      <c r="K75" s="1678"/>
      <c r="L75" s="453"/>
    </row>
    <row r="76" spans="1:12" s="433" customFormat="1" ht="14.25" thickTop="1" thickBot="1" x14ac:dyDescent="0.25">
      <c r="A76" s="2174" t="s">
        <v>437</v>
      </c>
      <c r="B76" s="2175"/>
      <c r="C76" s="1674">
        <f t="shared" ref="C76:K76" si="7">SUM(C47:C75)</f>
        <v>0</v>
      </c>
      <c r="D76" s="1674">
        <f t="shared" si="7"/>
        <v>0</v>
      </c>
      <c r="E76" s="1674">
        <f t="shared" si="7"/>
        <v>0</v>
      </c>
      <c r="F76" s="1674">
        <f t="shared" si="7"/>
        <v>0</v>
      </c>
      <c r="G76" s="1674">
        <f t="shared" si="7"/>
        <v>0</v>
      </c>
      <c r="H76" s="1674">
        <f t="shared" si="7"/>
        <v>-3091677</v>
      </c>
      <c r="I76" s="1674">
        <f t="shared" si="7"/>
        <v>3241176</v>
      </c>
      <c r="J76" s="1674">
        <f t="shared" si="7"/>
        <v>0</v>
      </c>
      <c r="K76" s="1674">
        <f t="shared" si="7"/>
        <v>0</v>
      </c>
      <c r="L76" s="453"/>
    </row>
    <row r="77" spans="1:12" ht="14.25" thickTop="1" thickBot="1" x14ac:dyDescent="0.25">
      <c r="A77" s="2176" t="s">
        <v>1169</v>
      </c>
      <c r="B77" s="2177"/>
      <c r="C77" s="1674">
        <f t="shared" ref="C77:K77" si="8">C44-C76</f>
        <v>0</v>
      </c>
      <c r="D77" s="1674">
        <f t="shared" si="8"/>
        <v>-40000</v>
      </c>
      <c r="E77" s="1674">
        <f t="shared" si="8"/>
        <v>0</v>
      </c>
      <c r="F77" s="1674">
        <f t="shared" si="8"/>
        <v>17000</v>
      </c>
      <c r="G77" s="1674">
        <f t="shared" si="8"/>
        <v>0</v>
      </c>
      <c r="H77" s="1674">
        <f t="shared" si="8"/>
        <v>14019375</v>
      </c>
      <c r="I77" s="1674">
        <f t="shared" si="8"/>
        <v>0</v>
      </c>
      <c r="J77" s="1674">
        <f t="shared" si="8"/>
        <v>0</v>
      </c>
      <c r="K77" s="1674">
        <f t="shared" si="8"/>
        <v>0</v>
      </c>
      <c r="L77" s="325"/>
    </row>
    <row r="78" spans="1:12" ht="21.75" customHeight="1" thickTop="1" thickBot="1" x14ac:dyDescent="0.25">
      <c r="A78" s="2180" t="s">
        <v>593</v>
      </c>
      <c r="B78" s="2181"/>
      <c r="C78" s="1679">
        <f t="shared" ref="C78:K78" si="9">C20+C77</f>
        <v>92151</v>
      </c>
      <c r="D78" s="1679">
        <f t="shared" si="9"/>
        <v>80100</v>
      </c>
      <c r="E78" s="1679">
        <f t="shared" si="9"/>
        <v>537989</v>
      </c>
      <c r="F78" s="1679">
        <f t="shared" si="9"/>
        <v>-116202</v>
      </c>
      <c r="G78" s="1679">
        <f t="shared" si="9"/>
        <v>-51574</v>
      </c>
      <c r="H78" s="1679">
        <f t="shared" si="9"/>
        <v>6850984</v>
      </c>
      <c r="I78" s="1679">
        <f t="shared" si="9"/>
        <v>118899</v>
      </c>
      <c r="J78" s="1679">
        <f t="shared" si="9"/>
        <v>4351</v>
      </c>
      <c r="K78" s="1679">
        <f t="shared" si="9"/>
        <v>-76309</v>
      </c>
      <c r="L78" s="457"/>
    </row>
    <row r="79" spans="1:12" ht="13.5" thickTop="1" x14ac:dyDescent="0.2">
      <c r="A79" s="1902" t="str">
        <f>"Fund Balances - July 1, "&amp;'AFR20'!E2-1</f>
        <v>Fund Balances - July 1, 2019</v>
      </c>
      <c r="B79" s="458"/>
      <c r="C79" s="1633">
        <v>2637173</v>
      </c>
      <c r="D79" s="1680">
        <v>699058</v>
      </c>
      <c r="E79" s="1680">
        <v>949982</v>
      </c>
      <c r="F79" s="1680">
        <v>696240</v>
      </c>
      <c r="G79" s="1680">
        <v>156858</v>
      </c>
      <c r="H79" s="1680">
        <v>159118</v>
      </c>
      <c r="I79" s="1680">
        <v>530527</v>
      </c>
      <c r="J79" s="1680">
        <v>137627</v>
      </c>
      <c r="K79" s="1680">
        <v>329844</v>
      </c>
      <c r="L79" s="325"/>
    </row>
    <row r="80" spans="1:12" x14ac:dyDescent="0.2">
      <c r="A80" s="2186" t="s">
        <v>1775</v>
      </c>
      <c r="B80" s="2187"/>
      <c r="C80" s="1624"/>
      <c r="D80" s="1624"/>
      <c r="E80" s="1624"/>
      <c r="F80" s="1624"/>
      <c r="G80" s="1624"/>
      <c r="H80" s="1624"/>
      <c r="I80" s="1624"/>
      <c r="J80" s="1624"/>
      <c r="K80" s="1624"/>
      <c r="L80" s="325"/>
    </row>
    <row r="81" spans="1:12" ht="13.5" thickBot="1" x14ac:dyDescent="0.25">
      <c r="A81" s="2178" t="str">
        <f>"Fund Balances - June 30, "&amp;'AFR20'!E2</f>
        <v>Fund Balances - June 30, 2020</v>
      </c>
      <c r="B81" s="2179"/>
      <c r="C81" s="1644">
        <f>(SUM(C78:C80))</f>
        <v>2729324</v>
      </c>
      <c r="D81" s="1644">
        <f>SUM(D78:D80)</f>
        <v>779158</v>
      </c>
      <c r="E81" s="1644">
        <f t="shared" ref="E81:K81" si="10">SUM(E78:E80)</f>
        <v>1487971</v>
      </c>
      <c r="F81" s="1644">
        <f t="shared" si="10"/>
        <v>580038</v>
      </c>
      <c r="G81" s="1644">
        <f t="shared" si="10"/>
        <v>105284</v>
      </c>
      <c r="H81" s="1644">
        <f t="shared" si="10"/>
        <v>7010102</v>
      </c>
      <c r="I81" s="1644">
        <f t="shared" si="10"/>
        <v>649426</v>
      </c>
      <c r="J81" s="1644">
        <f t="shared" si="10"/>
        <v>141978</v>
      </c>
      <c r="K81" s="1644">
        <f t="shared" si="10"/>
        <v>253535</v>
      </c>
      <c r="L81" s="325"/>
    </row>
    <row r="82" spans="1:12" ht="0.75" customHeight="1" thickTop="1" thickBot="1" x14ac:dyDescent="0.25">
      <c r="A82" s="459" t="s">
        <v>340</v>
      </c>
      <c r="B82" s="460"/>
      <c r="C82" s="461">
        <f>(C81-C79)</f>
        <v>92151</v>
      </c>
      <c r="D82" s="461">
        <f t="shared" ref="D82:K82" si="11">(D81-D79)</f>
        <v>80100</v>
      </c>
      <c r="E82" s="461">
        <f t="shared" si="11"/>
        <v>537989</v>
      </c>
      <c r="F82" s="461">
        <f t="shared" si="11"/>
        <v>-116202</v>
      </c>
      <c r="G82" s="461">
        <f t="shared" si="11"/>
        <v>-51574</v>
      </c>
      <c r="H82" s="461">
        <f t="shared" si="11"/>
        <v>6850984</v>
      </c>
      <c r="I82" s="461">
        <f t="shared" si="11"/>
        <v>118899</v>
      </c>
      <c r="J82" s="461">
        <f t="shared" si="11"/>
        <v>4351</v>
      </c>
      <c r="K82" s="461">
        <f t="shared" si="11"/>
        <v>-76309</v>
      </c>
    </row>
    <row r="83" spans="1:12" ht="14.25" hidden="1" thickTop="1" thickBot="1" x14ac:dyDescent="0.25">
      <c r="A83" s="462" t="s">
        <v>341</v>
      </c>
      <c r="B83" s="428"/>
      <c r="C83" s="463">
        <f>C82/C81</f>
        <v>3.3763305492495579E-2</v>
      </c>
      <c r="D83" s="463">
        <f t="shared" ref="D83:K83" si="12">D82/D81</f>
        <v>0.10280328251779484</v>
      </c>
      <c r="E83" s="463">
        <f t="shared" si="12"/>
        <v>0.36155879382057848</v>
      </c>
      <c r="F83" s="463">
        <f t="shared" si="12"/>
        <v>-0.20033515045565981</v>
      </c>
      <c r="G83" s="463">
        <f t="shared" si="12"/>
        <v>-0.48985600851031497</v>
      </c>
      <c r="H83" s="463">
        <f t="shared" si="12"/>
        <v>0.97730161415625616</v>
      </c>
      <c r="I83" s="463">
        <f t="shared" si="12"/>
        <v>0.18308321502372865</v>
      </c>
      <c r="J83" s="463">
        <f t="shared" si="12"/>
        <v>3.0645592979193961E-2</v>
      </c>
      <c r="K83" s="463">
        <f t="shared" si="12"/>
        <v>-0.30098014080896129</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40" activePane="bottomLeft" state="frozen"/>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1782</v>
      </c>
      <c r="B1" s="416"/>
      <c r="C1" s="417" t="s">
        <v>422</v>
      </c>
      <c r="D1" s="417" t="s">
        <v>423</v>
      </c>
      <c r="E1" s="417" t="s">
        <v>424</v>
      </c>
      <c r="F1" s="417" t="s">
        <v>425</v>
      </c>
      <c r="G1" s="417" t="s">
        <v>426</v>
      </c>
      <c r="H1" s="417" t="s">
        <v>427</v>
      </c>
      <c r="I1" s="417" t="s">
        <v>428</v>
      </c>
      <c r="J1" s="417" t="s">
        <v>429</v>
      </c>
      <c r="K1" s="417" t="s">
        <v>751</v>
      </c>
    </row>
    <row r="2" spans="1:12" ht="36" x14ac:dyDescent="0.2">
      <c r="A2" s="218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3859097</v>
      </c>
      <c r="D5" s="1636">
        <v>538975</v>
      </c>
      <c r="E5" s="1623">
        <v>996078</v>
      </c>
      <c r="F5" s="1681">
        <v>258708</v>
      </c>
      <c r="G5" s="1623">
        <v>71171</v>
      </c>
      <c r="H5" s="1623"/>
      <c r="I5" s="1623">
        <v>107795</v>
      </c>
      <c r="J5" s="1624">
        <v>249092</v>
      </c>
      <c r="K5" s="1623">
        <v>107795</v>
      </c>
    </row>
    <row r="6" spans="1:12" ht="15" x14ac:dyDescent="0.2">
      <c r="A6" s="427" t="s">
        <v>1646</v>
      </c>
      <c r="B6" s="429">
        <v>1130</v>
      </c>
      <c r="C6" s="1623">
        <v>107795</v>
      </c>
      <c r="D6" s="1623"/>
      <c r="E6" s="1630"/>
      <c r="F6" s="1630"/>
      <c r="G6" s="1625"/>
      <c r="H6" s="1625"/>
      <c r="I6" s="1625"/>
      <c r="J6" s="1625"/>
      <c r="K6" s="1625"/>
    </row>
    <row r="7" spans="1:12" x14ac:dyDescent="0.2">
      <c r="A7" s="427" t="s">
        <v>110</v>
      </c>
      <c r="B7" s="471">
        <v>1140</v>
      </c>
      <c r="C7" s="1623">
        <v>43118</v>
      </c>
      <c r="D7" s="1623"/>
      <c r="E7" s="1625"/>
      <c r="F7" s="1624"/>
      <c r="G7" s="1624"/>
      <c r="H7" s="1624"/>
      <c r="I7" s="1625"/>
      <c r="J7" s="1625"/>
      <c r="K7" s="1625"/>
    </row>
    <row r="8" spans="1:12" x14ac:dyDescent="0.2">
      <c r="A8" s="427" t="s">
        <v>410</v>
      </c>
      <c r="B8" s="429">
        <v>1150</v>
      </c>
      <c r="C8" s="1630"/>
      <c r="D8" s="1630"/>
      <c r="E8" s="1632"/>
      <c r="F8" s="1632"/>
      <c r="G8" s="1636">
        <v>93457</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4010010</v>
      </c>
      <c r="D12" s="1683">
        <f t="shared" si="0"/>
        <v>538975</v>
      </c>
      <c r="E12" s="1683">
        <f t="shared" si="0"/>
        <v>996078</v>
      </c>
      <c r="F12" s="1683">
        <f t="shared" si="0"/>
        <v>258708</v>
      </c>
      <c r="G12" s="1683">
        <f t="shared" si="0"/>
        <v>164628</v>
      </c>
      <c r="H12" s="1683">
        <f t="shared" si="0"/>
        <v>0</v>
      </c>
      <c r="I12" s="1683">
        <f t="shared" si="0"/>
        <v>107795</v>
      </c>
      <c r="J12" s="1683">
        <f t="shared" si="0"/>
        <v>249092</v>
      </c>
      <c r="K12" s="1644">
        <f t="shared" si="0"/>
        <v>107795</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124302</v>
      </c>
      <c r="D16" s="1623"/>
      <c r="E16" s="1623"/>
      <c r="F16" s="1623"/>
      <c r="G16" s="1623">
        <v>5179</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124302</v>
      </c>
      <c r="D18" s="1685">
        <f t="shared" ref="D18:K18" si="1">SUM(D14:D17)</f>
        <v>0</v>
      </c>
      <c r="E18" s="1685">
        <f t="shared" si="1"/>
        <v>0</v>
      </c>
      <c r="F18" s="1685">
        <f t="shared" si="1"/>
        <v>0</v>
      </c>
      <c r="G18" s="1685">
        <f t="shared" si="1"/>
        <v>5179</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5931</v>
      </c>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5931</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v>468209</v>
      </c>
      <c r="G43" s="1625"/>
      <c r="H43" s="1625"/>
      <c r="I43" s="1625"/>
      <c r="J43" s="1625"/>
      <c r="K43" s="1625"/>
    </row>
    <row r="44" spans="1:11" ht="12.75" customHeight="1" x14ac:dyDescent="0.2">
      <c r="A44" s="427" t="s">
        <v>381</v>
      </c>
      <c r="B44" s="429">
        <v>1413</v>
      </c>
      <c r="C44" s="1625"/>
      <c r="D44" s="1625"/>
      <c r="E44" s="1625"/>
      <c r="F44" s="1623">
        <v>13083</v>
      </c>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v>670083</v>
      </c>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1151375</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69827</v>
      </c>
      <c r="D65" s="1623">
        <v>20257</v>
      </c>
      <c r="E65" s="1623">
        <v>15961</v>
      </c>
      <c r="F65" s="1624">
        <v>2836</v>
      </c>
      <c r="G65" s="1623">
        <v>1764</v>
      </c>
      <c r="H65" s="1623">
        <v>27480</v>
      </c>
      <c r="I65" s="1623">
        <v>11104</v>
      </c>
      <c r="J65" s="1624">
        <v>1744</v>
      </c>
      <c r="K65" s="1623">
        <v>5805</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69827</v>
      </c>
      <c r="D67" s="1644">
        <f t="shared" ref="D67:K67" si="2">SUM(D65:D66)</f>
        <v>20257</v>
      </c>
      <c r="E67" s="1644">
        <f t="shared" si="2"/>
        <v>15961</v>
      </c>
      <c r="F67" s="1644">
        <f t="shared" si="2"/>
        <v>2836</v>
      </c>
      <c r="G67" s="1644">
        <f t="shared" si="2"/>
        <v>1764</v>
      </c>
      <c r="H67" s="1644">
        <f t="shared" si="2"/>
        <v>27480</v>
      </c>
      <c r="I67" s="1644">
        <f t="shared" si="2"/>
        <v>11104</v>
      </c>
      <c r="J67" s="1644">
        <f t="shared" si="2"/>
        <v>1744</v>
      </c>
      <c r="K67" s="1644">
        <f t="shared" si="2"/>
        <v>5805</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40590</v>
      </c>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v>5582</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v>230</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46402</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15101</v>
      </c>
      <c r="D77" s="1623"/>
      <c r="E77" s="1625"/>
      <c r="F77" s="1625"/>
      <c r="G77" s="1625"/>
      <c r="H77" s="1625"/>
      <c r="I77" s="1625"/>
      <c r="J77" s="1625"/>
      <c r="K77" s="1625"/>
    </row>
    <row r="78" spans="1:11" ht="12.75" customHeight="1" x14ac:dyDescent="0.2">
      <c r="A78" s="427" t="s">
        <v>76</v>
      </c>
      <c r="B78" s="429">
        <v>1719</v>
      </c>
      <c r="C78" s="1682">
        <v>4741</v>
      </c>
      <c r="D78" s="1623"/>
      <c r="E78" s="1625"/>
      <c r="F78" s="1625"/>
      <c r="G78" s="1625"/>
      <c r="H78" s="1625"/>
      <c r="I78" s="1625"/>
      <c r="J78" s="1625"/>
      <c r="K78" s="1625"/>
    </row>
    <row r="79" spans="1:11" ht="12.75" customHeight="1" x14ac:dyDescent="0.2">
      <c r="A79" s="427" t="s">
        <v>546</v>
      </c>
      <c r="B79" s="429">
        <v>1720</v>
      </c>
      <c r="C79" s="1682">
        <v>9710</v>
      </c>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v>13435</v>
      </c>
      <c r="D81" s="1623"/>
      <c r="E81" s="1625"/>
      <c r="F81" s="1625"/>
      <c r="G81" s="1625"/>
      <c r="H81" s="1625"/>
      <c r="I81" s="1625"/>
      <c r="J81" s="1625"/>
      <c r="K81" s="1625"/>
    </row>
    <row r="82" spans="1:11" ht="12.75" customHeight="1" thickBot="1" x14ac:dyDescent="0.25">
      <c r="A82" s="1455" t="s">
        <v>239</v>
      </c>
      <c r="B82" s="1456"/>
      <c r="C82" s="1683">
        <f>SUM(C77:C81)</f>
        <v>42987</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67925</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67925</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v>1588</v>
      </c>
      <c r="E95" s="1667"/>
      <c r="F95" s="1667"/>
      <c r="G95" s="1667"/>
      <c r="H95" s="1667"/>
      <c r="I95" s="1667"/>
      <c r="J95" s="1667"/>
      <c r="K95" s="1667"/>
    </row>
    <row r="96" spans="1:11" ht="12.75" customHeight="1" x14ac:dyDescent="0.2">
      <c r="A96" s="427" t="s">
        <v>388</v>
      </c>
      <c r="B96" s="429">
        <v>1920</v>
      </c>
      <c r="C96" s="1682">
        <v>1000</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v>29541</v>
      </c>
      <c r="I97" s="1624"/>
      <c r="J97" s="1624"/>
      <c r="K97" s="1624"/>
    </row>
    <row r="98" spans="1:12" ht="12.75" customHeight="1" x14ac:dyDescent="0.2">
      <c r="A98" s="427" t="s">
        <v>188</v>
      </c>
      <c r="B98" s="429">
        <v>1940</v>
      </c>
      <c r="C98" s="1648">
        <v>5582</v>
      </c>
      <c r="D98" s="1623">
        <v>34452</v>
      </c>
      <c r="E98" s="1662"/>
      <c r="F98" s="1623"/>
      <c r="G98" s="1662"/>
      <c r="H98" s="1662"/>
      <c r="I98" s="1660"/>
      <c r="J98" s="1662"/>
      <c r="K98" s="1662"/>
    </row>
    <row r="99" spans="1:12" ht="12.75" customHeight="1" x14ac:dyDescent="0.2">
      <c r="A99" s="427" t="s">
        <v>816</v>
      </c>
      <c r="B99" s="429">
        <v>1950</v>
      </c>
      <c r="C99" s="1648">
        <v>65000</v>
      </c>
      <c r="D99" s="1623"/>
      <c r="E99" s="1623"/>
      <c r="F99" s="1623"/>
      <c r="G99" s="1623"/>
      <c r="H99" s="1623"/>
      <c r="I99" s="1625"/>
      <c r="J99" s="1624"/>
      <c r="K99" s="1623"/>
    </row>
    <row r="100" spans="1:12" ht="12.75" customHeight="1" x14ac:dyDescent="0.2">
      <c r="A100" s="427" t="s">
        <v>243</v>
      </c>
      <c r="B100" s="429">
        <v>1960</v>
      </c>
      <c r="C100" s="1648">
        <v>117321</v>
      </c>
      <c r="D100" s="1648"/>
      <c r="E100" s="1648">
        <v>525000</v>
      </c>
      <c r="F100" s="1648"/>
      <c r="G100" s="1648"/>
      <c r="H100" s="1648">
        <v>43556</v>
      </c>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v>106896</v>
      </c>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17561</v>
      </c>
      <c r="D107" s="1623"/>
      <c r="E107" s="1623"/>
      <c r="F107" s="1623">
        <v>275</v>
      </c>
      <c r="G107" s="1623"/>
      <c r="H107" s="1623"/>
      <c r="I107" s="1623"/>
      <c r="J107" s="1624">
        <v>88959</v>
      </c>
      <c r="K107" s="1623"/>
    </row>
    <row r="108" spans="1:12" ht="12.75" customHeight="1" thickBot="1" x14ac:dyDescent="0.25">
      <c r="A108" s="1455" t="s">
        <v>484</v>
      </c>
      <c r="B108" s="1457"/>
      <c r="C108" s="1683">
        <f>SUM(C95:C107)</f>
        <v>206464</v>
      </c>
      <c r="D108" s="1683">
        <f t="shared" ref="D108:K108" si="3">SUM(D95:D107)</f>
        <v>36040</v>
      </c>
      <c r="E108" s="1683">
        <f t="shared" si="3"/>
        <v>525000</v>
      </c>
      <c r="F108" s="1683">
        <f t="shared" si="3"/>
        <v>275</v>
      </c>
      <c r="G108" s="1683">
        <f t="shared" si="3"/>
        <v>106896</v>
      </c>
      <c r="H108" s="1683">
        <f t="shared" si="3"/>
        <v>73097</v>
      </c>
      <c r="I108" s="1683">
        <f t="shared" si="3"/>
        <v>0</v>
      </c>
      <c r="J108" s="1683">
        <f t="shared" si="3"/>
        <v>88959</v>
      </c>
      <c r="K108" s="1644">
        <f t="shared" si="3"/>
        <v>0</v>
      </c>
    </row>
    <row r="109" spans="1:12" ht="14.25" thickTop="1" thickBot="1" x14ac:dyDescent="0.25">
      <c r="A109" s="1458" t="s">
        <v>246</v>
      </c>
      <c r="B109" s="1459" t="s">
        <v>566</v>
      </c>
      <c r="C109" s="1691">
        <f t="shared" ref="C109:K109" si="4">SUM(C12,C18,C40,C63,C67,C75,C82,C93,C108,)</f>
        <v>4573848</v>
      </c>
      <c r="D109" s="1691">
        <f t="shared" si="4"/>
        <v>595272</v>
      </c>
      <c r="E109" s="1691">
        <f t="shared" si="4"/>
        <v>1537039</v>
      </c>
      <c r="F109" s="1691">
        <f t="shared" si="4"/>
        <v>1413194</v>
      </c>
      <c r="G109" s="1691">
        <f t="shared" si="4"/>
        <v>278467</v>
      </c>
      <c r="H109" s="1691">
        <f t="shared" si="4"/>
        <v>100577</v>
      </c>
      <c r="I109" s="1691">
        <f t="shared" si="4"/>
        <v>118899</v>
      </c>
      <c r="J109" s="1691">
        <f t="shared" si="4"/>
        <v>339795</v>
      </c>
      <c r="K109" s="1679">
        <f t="shared" si="4"/>
        <v>113600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v>8390</v>
      </c>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8390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1091660</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1091660</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113912</v>
      </c>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113912</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902</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56383</v>
      </c>
      <c r="G152" s="1624"/>
      <c r="H152" s="1625"/>
      <c r="I152" s="1625"/>
      <c r="J152" s="1625"/>
      <c r="K152" s="1625"/>
    </row>
    <row r="153" spans="1:11" ht="12.75" customHeight="1" x14ac:dyDescent="0.2">
      <c r="A153" s="427" t="s">
        <v>1050</v>
      </c>
      <c r="B153" s="478">
        <v>3510</v>
      </c>
      <c r="C153" s="1682"/>
      <c r="D153" s="1623"/>
      <c r="E153" s="1690"/>
      <c r="F153" s="1623">
        <v>148346</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204729</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136593</v>
      </c>
      <c r="D159" s="1703"/>
      <c r="E159" s="1690"/>
      <c r="F159" s="1701">
        <v>35534</v>
      </c>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750</v>
      </c>
      <c r="D168" s="1705"/>
      <c r="E168" s="1705"/>
      <c r="F168" s="1705"/>
      <c r="G168" s="1706"/>
      <c r="H168" s="1707"/>
      <c r="I168" s="1706"/>
      <c r="J168" s="1706"/>
      <c r="K168" s="1707">
        <v>50000</v>
      </c>
    </row>
    <row r="169" spans="1:11" ht="12.75" customHeight="1" thickTop="1" thickBot="1" x14ac:dyDescent="0.25">
      <c r="A169" s="2202" t="s">
        <v>395</v>
      </c>
      <c r="B169" s="2203"/>
      <c r="C169" s="1708">
        <f t="shared" ref="C169:K169" si="6">SUM(C132,C141,C145,C146:C150,C155,C156:C167,C168)</f>
        <v>252157</v>
      </c>
      <c r="D169" s="1708">
        <f t="shared" si="6"/>
        <v>0</v>
      </c>
      <c r="E169" s="1708">
        <f t="shared" si="6"/>
        <v>0</v>
      </c>
      <c r="F169" s="1708">
        <f t="shared" si="6"/>
        <v>240263</v>
      </c>
      <c r="G169" s="1708">
        <f t="shared" si="6"/>
        <v>0</v>
      </c>
      <c r="H169" s="1708">
        <f t="shared" si="6"/>
        <v>0</v>
      </c>
      <c r="I169" s="1708">
        <f t="shared" si="6"/>
        <v>0</v>
      </c>
      <c r="J169" s="1708">
        <f t="shared" si="6"/>
        <v>0</v>
      </c>
      <c r="K169" s="1674">
        <f t="shared" si="6"/>
        <v>50000</v>
      </c>
    </row>
    <row r="170" spans="1:11" ht="12.75" customHeight="1" thickTop="1" thickBot="1" x14ac:dyDescent="0.25">
      <c r="A170" s="1455" t="s">
        <v>396</v>
      </c>
      <c r="B170" s="1459" t="s">
        <v>571</v>
      </c>
      <c r="C170" s="1691">
        <f t="shared" ref="C170:K170" si="7">SUM(C122,C169)</f>
        <v>1343817</v>
      </c>
      <c r="D170" s="1691">
        <f t="shared" si="7"/>
        <v>0</v>
      </c>
      <c r="E170" s="1691">
        <f t="shared" si="7"/>
        <v>0</v>
      </c>
      <c r="F170" s="1691">
        <f t="shared" si="7"/>
        <v>240263</v>
      </c>
      <c r="G170" s="1691">
        <f t="shared" si="7"/>
        <v>0</v>
      </c>
      <c r="H170" s="1691">
        <f t="shared" si="7"/>
        <v>0</v>
      </c>
      <c r="I170" s="1691">
        <f t="shared" si="7"/>
        <v>0</v>
      </c>
      <c r="J170" s="1691">
        <f t="shared" si="7"/>
        <v>0</v>
      </c>
      <c r="K170" s="1679">
        <f t="shared" si="7"/>
        <v>50000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4" t="s">
        <v>1478</v>
      </c>
      <c r="B172" s="2205"/>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8" t="s">
        <v>1649</v>
      </c>
      <c r="B175" s="220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2" t="s">
        <v>1648</v>
      </c>
      <c r="B176" s="2213"/>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0" t="s">
        <v>780</v>
      </c>
      <c r="B181" s="221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6" t="s">
        <v>1783</v>
      </c>
      <c r="B182" s="2207"/>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64542</v>
      </c>
      <c r="D191" s="1625"/>
      <c r="E191" s="1690"/>
      <c r="F191" s="1625"/>
      <c r="G191" s="1714"/>
      <c r="H191" s="1625"/>
      <c r="I191" s="1625"/>
      <c r="J191" s="1625"/>
      <c r="K191" s="1625"/>
    </row>
    <row r="192" spans="1:11" ht="12.75" customHeight="1" x14ac:dyDescent="0.2">
      <c r="A192" s="427" t="s">
        <v>1040</v>
      </c>
      <c r="B192" s="429">
        <v>4215</v>
      </c>
      <c r="C192" s="1682">
        <v>653</v>
      </c>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65195</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81100</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81100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13886</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13886</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83745</v>
      </c>
      <c r="D213" s="1623"/>
      <c r="E213" s="1625"/>
      <c r="F213" s="1623"/>
      <c r="G213" s="1623"/>
      <c r="H213" s="1625"/>
      <c r="I213" s="1625"/>
      <c r="J213" s="1625"/>
      <c r="K213" s="1625"/>
    </row>
    <row r="214" spans="1:11" ht="12.75" customHeight="1" x14ac:dyDescent="0.2">
      <c r="A214" s="427" t="s">
        <v>1047</v>
      </c>
      <c r="B214" s="429">
        <v>4625</v>
      </c>
      <c r="C214" s="1682">
        <v>3355</v>
      </c>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87100</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v>5629</v>
      </c>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18129</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22008</v>
      </c>
      <c r="D263" s="1701"/>
      <c r="E263" s="1625"/>
      <c r="F263" s="1701"/>
      <c r="G263" s="1701"/>
      <c r="H263" s="1625"/>
      <c r="I263" s="1625"/>
      <c r="J263" s="1625"/>
      <c r="K263" s="1625"/>
    </row>
    <row r="264" spans="1:11" ht="12.75" customHeight="1" thickTop="1" thickBot="1" x14ac:dyDescent="0.25">
      <c r="A264" s="427" t="s">
        <v>374</v>
      </c>
      <c r="B264" s="429">
        <v>4992</v>
      </c>
      <c r="C264" s="1700">
        <v>7504</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v>2072</v>
      </c>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300551</v>
      </c>
      <c r="D266" s="1691">
        <f t="shared" si="10"/>
        <v>2072</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300551</v>
      </c>
      <c r="D267" s="1691">
        <f>SUM(D175,D181,D266)</f>
        <v>2072</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6226606</v>
      </c>
      <c r="D268" s="1691">
        <f t="shared" si="12"/>
        <v>597344</v>
      </c>
      <c r="E268" s="1691">
        <f t="shared" si="12"/>
        <v>1537039</v>
      </c>
      <c r="F268" s="1691">
        <f t="shared" si="12"/>
        <v>1653457</v>
      </c>
      <c r="G268" s="1691">
        <f t="shared" si="12"/>
        <v>278467</v>
      </c>
      <c r="H268" s="1691">
        <f t="shared" si="12"/>
        <v>100577</v>
      </c>
      <c r="I268" s="1691">
        <f t="shared" si="12"/>
        <v>118899</v>
      </c>
      <c r="J268" s="1691">
        <f t="shared" si="12"/>
        <v>339795</v>
      </c>
      <c r="K268" s="1679">
        <f t="shared" si="12"/>
        <v>163600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50" activePane="bottomLeft" state="frozen"/>
      <selection pane="bottomLeft" activeCell="L269" sqref="L26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2" t="s">
        <v>294</v>
      </c>
      <c r="B3" s="2223"/>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2208881</v>
      </c>
      <c r="D5" s="1623">
        <v>481550</v>
      </c>
      <c r="E5" s="1623">
        <v>23365</v>
      </c>
      <c r="F5" s="1623">
        <v>206406</v>
      </c>
      <c r="G5" s="1623"/>
      <c r="H5" s="1623">
        <v>436</v>
      </c>
      <c r="I5" s="1624"/>
      <c r="J5" s="1624"/>
      <c r="K5" s="1722">
        <f>SUM(C5:J5)</f>
        <v>2920638</v>
      </c>
      <c r="L5" s="1623">
        <v>2962625</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v>96995</v>
      </c>
      <c r="D7" s="1624">
        <v>8764</v>
      </c>
      <c r="E7" s="1624">
        <v>384</v>
      </c>
      <c r="F7" s="1624">
        <v>20436</v>
      </c>
      <c r="G7" s="1624"/>
      <c r="H7" s="1624"/>
      <c r="I7" s="1624"/>
      <c r="J7" s="1624"/>
      <c r="K7" s="1722">
        <f t="shared" ref="K7:K32" si="0">SUM(C7:J7)</f>
        <v>126579</v>
      </c>
      <c r="L7" s="1623">
        <v>127515</v>
      </c>
    </row>
    <row r="8" spans="1:14" x14ac:dyDescent="0.2">
      <c r="A8" s="1319" t="s">
        <v>163</v>
      </c>
      <c r="B8" s="503">
        <v>1200</v>
      </c>
      <c r="C8" s="1623">
        <v>512517</v>
      </c>
      <c r="D8" s="1623">
        <v>51416</v>
      </c>
      <c r="E8" s="1623">
        <v>631</v>
      </c>
      <c r="F8" s="1623">
        <v>2757</v>
      </c>
      <c r="G8" s="1623"/>
      <c r="H8" s="1623"/>
      <c r="I8" s="1624"/>
      <c r="J8" s="1624"/>
      <c r="K8" s="1722">
        <f t="shared" si="0"/>
        <v>567321</v>
      </c>
      <c r="L8" s="1623">
        <v>578815</v>
      </c>
    </row>
    <row r="9" spans="1:14" x14ac:dyDescent="0.2">
      <c r="A9" s="1319" t="s">
        <v>716</v>
      </c>
      <c r="B9" s="503" t="s">
        <v>962</v>
      </c>
      <c r="C9" s="1624">
        <v>45325</v>
      </c>
      <c r="D9" s="1624">
        <v>3239</v>
      </c>
      <c r="E9" s="1624"/>
      <c r="F9" s="1624">
        <v>294</v>
      </c>
      <c r="G9" s="1624"/>
      <c r="H9" s="1624"/>
      <c r="I9" s="1624"/>
      <c r="J9" s="1624"/>
      <c r="K9" s="1722">
        <f t="shared" si="0"/>
        <v>48858</v>
      </c>
      <c r="L9" s="1623">
        <v>51810</v>
      </c>
    </row>
    <row r="10" spans="1:14" x14ac:dyDescent="0.2">
      <c r="A10" s="1319" t="s">
        <v>717</v>
      </c>
      <c r="B10" s="503">
        <v>1250</v>
      </c>
      <c r="C10" s="1623">
        <v>132474</v>
      </c>
      <c r="D10" s="1623">
        <v>12920</v>
      </c>
      <c r="E10" s="1623">
        <v>7095</v>
      </c>
      <c r="F10" s="1623">
        <v>124</v>
      </c>
      <c r="G10" s="1623"/>
      <c r="H10" s="1623"/>
      <c r="I10" s="1624"/>
      <c r="J10" s="1624"/>
      <c r="K10" s="1722">
        <f t="shared" si="0"/>
        <v>152613</v>
      </c>
      <c r="L10" s="1623">
        <v>162065</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c r="D13" s="1623"/>
      <c r="E13" s="1623"/>
      <c r="F13" s="1623"/>
      <c r="G13" s="1623"/>
      <c r="H13" s="1623"/>
      <c r="I13" s="1624"/>
      <c r="J13" s="1624"/>
      <c r="K13" s="1722">
        <f t="shared" si="0"/>
        <v>0</v>
      </c>
      <c r="L13" s="1623"/>
    </row>
    <row r="14" spans="1:14" x14ac:dyDescent="0.2">
      <c r="A14" s="1319" t="s">
        <v>957</v>
      </c>
      <c r="B14" s="503">
        <v>1500</v>
      </c>
      <c r="C14" s="1623">
        <v>68535</v>
      </c>
      <c r="D14" s="1623">
        <v>7913</v>
      </c>
      <c r="E14" s="1623">
        <v>17796</v>
      </c>
      <c r="F14" s="1623">
        <v>3919</v>
      </c>
      <c r="G14" s="1623"/>
      <c r="H14" s="1623">
        <v>4022</v>
      </c>
      <c r="I14" s="1624"/>
      <c r="J14" s="1624"/>
      <c r="K14" s="1722">
        <f t="shared" si="0"/>
        <v>102185</v>
      </c>
      <c r="L14" s="1623">
        <v>110160</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v>49980</v>
      </c>
      <c r="D18" s="1623">
        <v>5683</v>
      </c>
      <c r="E18" s="1623"/>
      <c r="F18" s="1623"/>
      <c r="G18" s="1623"/>
      <c r="H18" s="1623"/>
      <c r="I18" s="1624"/>
      <c r="J18" s="1624"/>
      <c r="K18" s="1722">
        <f t="shared" si="0"/>
        <v>55663</v>
      </c>
      <c r="L18" s="1623">
        <v>57060</v>
      </c>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v>156648</v>
      </c>
      <c r="I24" s="1723"/>
      <c r="J24" s="1632"/>
      <c r="K24" s="1722">
        <f t="shared" si="0"/>
        <v>156648</v>
      </c>
      <c r="L24" s="1627">
        <v>160500</v>
      </c>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3114707</v>
      </c>
      <c r="D33" s="1724">
        <f t="shared" ref="D33:L33" si="1">SUM(D5:D32)</f>
        <v>571485</v>
      </c>
      <c r="E33" s="1724">
        <f t="shared" si="1"/>
        <v>49271</v>
      </c>
      <c r="F33" s="1724">
        <f t="shared" si="1"/>
        <v>233936</v>
      </c>
      <c r="G33" s="1724">
        <f t="shared" si="1"/>
        <v>0</v>
      </c>
      <c r="H33" s="1724">
        <f t="shared" si="1"/>
        <v>161106</v>
      </c>
      <c r="I33" s="1724">
        <f t="shared" si="1"/>
        <v>0</v>
      </c>
      <c r="J33" s="1724">
        <f t="shared" si="1"/>
        <v>0</v>
      </c>
      <c r="K33" s="1724">
        <f t="shared" si="1"/>
        <v>4130505</v>
      </c>
      <c r="L33" s="1724">
        <f t="shared" si="1"/>
        <v>4210550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121267</v>
      </c>
      <c r="D36" s="1636">
        <v>15157</v>
      </c>
      <c r="E36" s="1636">
        <v>3029</v>
      </c>
      <c r="F36" s="1636">
        <v>3826</v>
      </c>
      <c r="G36" s="1636"/>
      <c r="H36" s="1636"/>
      <c r="I36" s="1624"/>
      <c r="J36" s="1624"/>
      <c r="K36" s="1722">
        <f t="shared" ref="K36:K41" si="2">SUM(C36:J36)</f>
        <v>143279</v>
      </c>
      <c r="L36" s="1623">
        <v>148500</v>
      </c>
    </row>
    <row r="37" spans="1:14" x14ac:dyDescent="0.2">
      <c r="A37" s="1319" t="s">
        <v>1083</v>
      </c>
      <c r="B37" s="503">
        <v>2120</v>
      </c>
      <c r="C37" s="1623"/>
      <c r="D37" s="1623"/>
      <c r="E37" s="1623"/>
      <c r="F37" s="1623"/>
      <c r="G37" s="1623"/>
      <c r="H37" s="1623"/>
      <c r="I37" s="1624"/>
      <c r="J37" s="1624"/>
      <c r="K37" s="1722">
        <f t="shared" si="2"/>
        <v>0</v>
      </c>
      <c r="L37" s="1623"/>
    </row>
    <row r="38" spans="1:14" x14ac:dyDescent="0.2">
      <c r="A38" s="1319" t="s">
        <v>196</v>
      </c>
      <c r="B38" s="503">
        <v>2130</v>
      </c>
      <c r="C38" s="1623">
        <v>68881</v>
      </c>
      <c r="D38" s="1623"/>
      <c r="E38" s="1623">
        <v>550</v>
      </c>
      <c r="F38" s="1623">
        <v>1632</v>
      </c>
      <c r="G38" s="1623"/>
      <c r="H38" s="1623"/>
      <c r="I38" s="1624"/>
      <c r="J38" s="1624"/>
      <c r="K38" s="1722">
        <f t="shared" si="2"/>
        <v>71063</v>
      </c>
      <c r="L38" s="1623">
        <v>73425</v>
      </c>
    </row>
    <row r="39" spans="1:14" x14ac:dyDescent="0.2">
      <c r="A39" s="1319" t="s">
        <v>197</v>
      </c>
      <c r="B39" s="503">
        <v>2140</v>
      </c>
      <c r="C39" s="1623">
        <v>58573</v>
      </c>
      <c r="D39" s="1623">
        <v>9463</v>
      </c>
      <c r="E39" s="1623"/>
      <c r="F39" s="1623"/>
      <c r="G39" s="1623"/>
      <c r="H39" s="1623"/>
      <c r="I39" s="1624"/>
      <c r="J39" s="1624"/>
      <c r="K39" s="1722">
        <f t="shared" si="2"/>
        <v>68036</v>
      </c>
      <c r="L39" s="1623">
        <v>71915</v>
      </c>
    </row>
    <row r="40" spans="1:14" x14ac:dyDescent="0.2">
      <c r="A40" s="1319" t="s">
        <v>198</v>
      </c>
      <c r="B40" s="503">
        <v>2150</v>
      </c>
      <c r="C40" s="1623">
        <v>97993</v>
      </c>
      <c r="D40" s="1623">
        <v>24811</v>
      </c>
      <c r="E40" s="1623"/>
      <c r="F40" s="1623">
        <v>95</v>
      </c>
      <c r="G40" s="1623"/>
      <c r="H40" s="1623">
        <v>679</v>
      </c>
      <c r="I40" s="1624"/>
      <c r="J40" s="1624"/>
      <c r="K40" s="1722">
        <f t="shared" si="2"/>
        <v>123578</v>
      </c>
      <c r="L40" s="1623">
        <v>126045</v>
      </c>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346714</v>
      </c>
      <c r="D42" s="1724">
        <f t="shared" ref="D42:L42" si="3">SUM(D36:D41)</f>
        <v>49431</v>
      </c>
      <c r="E42" s="1724">
        <f t="shared" si="3"/>
        <v>3579</v>
      </c>
      <c r="F42" s="1724">
        <f t="shared" si="3"/>
        <v>5553</v>
      </c>
      <c r="G42" s="1724">
        <f t="shared" si="3"/>
        <v>0</v>
      </c>
      <c r="H42" s="1724">
        <f t="shared" si="3"/>
        <v>679</v>
      </c>
      <c r="I42" s="1724">
        <f t="shared" si="3"/>
        <v>0</v>
      </c>
      <c r="J42" s="1724">
        <f t="shared" si="3"/>
        <v>0</v>
      </c>
      <c r="K42" s="1724">
        <f t="shared" si="3"/>
        <v>405956</v>
      </c>
      <c r="L42" s="1724">
        <f t="shared" si="3"/>
        <v>419885</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25525</v>
      </c>
      <c r="D44" s="1636">
        <v>3178</v>
      </c>
      <c r="E44" s="1636">
        <v>30114</v>
      </c>
      <c r="F44" s="1636"/>
      <c r="G44" s="1636"/>
      <c r="H44" s="1636"/>
      <c r="I44" s="1624"/>
      <c r="J44" s="1624"/>
      <c r="K44" s="1728">
        <f>SUM(C44:J44)</f>
        <v>58817</v>
      </c>
      <c r="L44" s="1636">
        <v>68245</v>
      </c>
    </row>
    <row r="45" spans="1:14" x14ac:dyDescent="0.2">
      <c r="A45" s="1319" t="s">
        <v>810</v>
      </c>
      <c r="B45" s="503">
        <v>2220</v>
      </c>
      <c r="C45" s="1623">
        <v>170616</v>
      </c>
      <c r="D45" s="1623">
        <v>20974</v>
      </c>
      <c r="E45" s="1623">
        <v>11112</v>
      </c>
      <c r="F45" s="1623">
        <v>14387</v>
      </c>
      <c r="G45" s="1623"/>
      <c r="H45" s="1623"/>
      <c r="I45" s="1624">
        <v>118634</v>
      </c>
      <c r="J45" s="1624"/>
      <c r="K45" s="1728">
        <f>SUM(C45:J45)</f>
        <v>335723</v>
      </c>
      <c r="L45" s="1623">
        <v>347135</v>
      </c>
    </row>
    <row r="46" spans="1:14" x14ac:dyDescent="0.2">
      <c r="A46" s="1319" t="s">
        <v>811</v>
      </c>
      <c r="B46" s="503">
        <v>2230</v>
      </c>
      <c r="C46" s="1623"/>
      <c r="D46" s="1623"/>
      <c r="E46" s="1623">
        <v>1105</v>
      </c>
      <c r="F46" s="1623">
        <v>776</v>
      </c>
      <c r="G46" s="1623"/>
      <c r="H46" s="1623"/>
      <c r="I46" s="1624"/>
      <c r="J46" s="1624"/>
      <c r="K46" s="1728">
        <f>SUM(C46:J46)</f>
        <v>1881</v>
      </c>
      <c r="L46" s="1623">
        <v>1885</v>
      </c>
    </row>
    <row r="47" spans="1:14" ht="12.75" customHeight="1" thickBot="1" x14ac:dyDescent="0.25">
      <c r="A47" s="1429" t="s">
        <v>557</v>
      </c>
      <c r="B47" s="1430" t="s">
        <v>32</v>
      </c>
      <c r="C47" s="1724">
        <f>SUM(C44:C46)</f>
        <v>196141</v>
      </c>
      <c r="D47" s="1724">
        <f t="shared" ref="D47:K47" si="4">SUM(D44:D46)</f>
        <v>24152</v>
      </c>
      <c r="E47" s="1724">
        <f t="shared" si="4"/>
        <v>42331</v>
      </c>
      <c r="F47" s="1724">
        <f t="shared" si="4"/>
        <v>15163</v>
      </c>
      <c r="G47" s="1724">
        <f t="shared" si="4"/>
        <v>0</v>
      </c>
      <c r="H47" s="1724">
        <f t="shared" si="4"/>
        <v>0</v>
      </c>
      <c r="I47" s="1724">
        <f t="shared" si="4"/>
        <v>118634</v>
      </c>
      <c r="J47" s="1724">
        <f t="shared" si="4"/>
        <v>0</v>
      </c>
      <c r="K47" s="1724">
        <f t="shared" si="4"/>
        <v>396421</v>
      </c>
      <c r="L47" s="1724">
        <f>SUM(L44:L46)</f>
        <v>417265</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3461</v>
      </c>
      <c r="D49" s="1636"/>
      <c r="E49" s="1636">
        <v>41132</v>
      </c>
      <c r="F49" s="1636">
        <v>9215</v>
      </c>
      <c r="G49" s="1636"/>
      <c r="H49" s="1636">
        <v>3820</v>
      </c>
      <c r="I49" s="1624"/>
      <c r="J49" s="1624"/>
      <c r="K49" s="1728">
        <f>SUM(C49:J49)</f>
        <v>57628</v>
      </c>
      <c r="L49" s="1636">
        <v>60885</v>
      </c>
    </row>
    <row r="50" spans="1:14" x14ac:dyDescent="0.2">
      <c r="A50" s="1319" t="s">
        <v>813</v>
      </c>
      <c r="B50" s="503">
        <v>2320</v>
      </c>
      <c r="C50" s="1623">
        <v>115878</v>
      </c>
      <c r="D50" s="1623">
        <v>17471</v>
      </c>
      <c r="E50" s="1623">
        <v>219</v>
      </c>
      <c r="F50" s="1623">
        <v>275</v>
      </c>
      <c r="G50" s="1623"/>
      <c r="H50" s="1623">
        <v>1931</v>
      </c>
      <c r="I50" s="1624"/>
      <c r="J50" s="1624"/>
      <c r="K50" s="1728">
        <f>SUM(C50:J50)</f>
        <v>135774</v>
      </c>
      <c r="L50" s="1623">
        <v>136515</v>
      </c>
    </row>
    <row r="51" spans="1:14" x14ac:dyDescent="0.2">
      <c r="A51" s="1319" t="s">
        <v>42</v>
      </c>
      <c r="B51" s="503">
        <v>2330</v>
      </c>
      <c r="C51" s="1623">
        <v>36824</v>
      </c>
      <c r="D51" s="1623">
        <v>7727</v>
      </c>
      <c r="E51" s="1623"/>
      <c r="F51" s="1623"/>
      <c r="G51" s="1623"/>
      <c r="H51" s="1623"/>
      <c r="I51" s="1624"/>
      <c r="J51" s="1624"/>
      <c r="K51" s="1728">
        <f>SUM(C51:J51)</f>
        <v>44551</v>
      </c>
      <c r="L51" s="1623">
        <v>45425</v>
      </c>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156163</v>
      </c>
      <c r="D53" s="1724">
        <f t="shared" ref="D53:L53" si="5">SUM(D49:D52)</f>
        <v>25198</v>
      </c>
      <c r="E53" s="1724">
        <f t="shared" si="5"/>
        <v>41351</v>
      </c>
      <c r="F53" s="1724">
        <f t="shared" si="5"/>
        <v>9490</v>
      </c>
      <c r="G53" s="1724">
        <f t="shared" si="5"/>
        <v>0</v>
      </c>
      <c r="H53" s="1724">
        <f t="shared" si="5"/>
        <v>5751</v>
      </c>
      <c r="I53" s="1724">
        <f t="shared" si="5"/>
        <v>0</v>
      </c>
      <c r="J53" s="1724">
        <f t="shared" si="5"/>
        <v>0</v>
      </c>
      <c r="K53" s="1724">
        <f t="shared" si="5"/>
        <v>237953</v>
      </c>
      <c r="L53" s="1724">
        <f t="shared" si="5"/>
        <v>242825</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196333</v>
      </c>
      <c r="D55" s="1636">
        <v>14229</v>
      </c>
      <c r="E55" s="1636"/>
      <c r="F55" s="1636">
        <v>59</v>
      </c>
      <c r="G55" s="1636"/>
      <c r="H55" s="1636">
        <v>440</v>
      </c>
      <c r="I55" s="1624"/>
      <c r="J55" s="1624"/>
      <c r="K55" s="1728">
        <f>SUM(C55:J55)</f>
        <v>211061</v>
      </c>
      <c r="L55" s="1636">
        <v>214335</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196333</v>
      </c>
      <c r="D57" s="1729">
        <f t="shared" ref="D57:K57" si="6">SUM(D55:D56)</f>
        <v>14229</v>
      </c>
      <c r="E57" s="1729">
        <f t="shared" si="6"/>
        <v>0</v>
      </c>
      <c r="F57" s="1729">
        <f t="shared" si="6"/>
        <v>59</v>
      </c>
      <c r="G57" s="1729">
        <f t="shared" si="6"/>
        <v>0</v>
      </c>
      <c r="H57" s="1729">
        <f t="shared" si="6"/>
        <v>440</v>
      </c>
      <c r="I57" s="1729">
        <f t="shared" si="6"/>
        <v>0</v>
      </c>
      <c r="J57" s="1729">
        <f t="shared" si="6"/>
        <v>0</v>
      </c>
      <c r="K57" s="1729">
        <f t="shared" si="6"/>
        <v>211061</v>
      </c>
      <c r="L57" s="1724">
        <f>SUM(L55:L56)</f>
        <v>214335</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66498</v>
      </c>
      <c r="D60" s="1623">
        <v>5574</v>
      </c>
      <c r="E60" s="1623"/>
      <c r="F60" s="1623">
        <v>5788</v>
      </c>
      <c r="G60" s="1623"/>
      <c r="H60" s="1623"/>
      <c r="I60" s="1624"/>
      <c r="J60" s="1624"/>
      <c r="K60" s="1728">
        <f t="shared" si="7"/>
        <v>77860</v>
      </c>
      <c r="L60" s="1623">
        <v>79280</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62179</v>
      </c>
      <c r="D63" s="1623"/>
      <c r="E63" s="1623">
        <v>107793</v>
      </c>
      <c r="F63" s="1623">
        <v>1903</v>
      </c>
      <c r="G63" s="1623"/>
      <c r="H63" s="1623"/>
      <c r="I63" s="1624"/>
      <c r="J63" s="1624"/>
      <c r="K63" s="1728">
        <f t="shared" si="7"/>
        <v>171875</v>
      </c>
      <c r="L63" s="1623">
        <v>181065</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128677</v>
      </c>
      <c r="D65" s="1724">
        <f t="shared" ref="D65:L65" si="8">SUM(D59:D64)</f>
        <v>5574</v>
      </c>
      <c r="E65" s="1724">
        <f t="shared" si="8"/>
        <v>107793</v>
      </c>
      <c r="F65" s="1724">
        <f t="shared" si="8"/>
        <v>7691</v>
      </c>
      <c r="G65" s="1724">
        <f t="shared" si="8"/>
        <v>0</v>
      </c>
      <c r="H65" s="1724">
        <f t="shared" si="8"/>
        <v>0</v>
      </c>
      <c r="I65" s="1724">
        <f t="shared" si="8"/>
        <v>0</v>
      </c>
      <c r="J65" s="1724">
        <f t="shared" si="8"/>
        <v>0</v>
      </c>
      <c r="K65" s="1724">
        <f t="shared" si="8"/>
        <v>249735</v>
      </c>
      <c r="L65" s="1724">
        <f t="shared" si="8"/>
        <v>260345</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v>354</v>
      </c>
      <c r="G73" s="1699"/>
      <c r="H73" s="1699"/>
      <c r="I73" s="1677"/>
      <c r="J73" s="1677"/>
      <c r="K73" s="1724">
        <f>SUM(C73:J73)</f>
        <v>354</v>
      </c>
      <c r="L73" s="1701">
        <v>500</v>
      </c>
      <c r="M73" s="501"/>
      <c r="N73" s="501"/>
    </row>
    <row r="74" spans="1:14" ht="12.75" customHeight="1" thickTop="1" thickBot="1" x14ac:dyDescent="0.25">
      <c r="A74" s="1429" t="s">
        <v>806</v>
      </c>
      <c r="B74" s="1433">
        <v>2000</v>
      </c>
      <c r="C74" s="1731">
        <f>SUM(C42,C47,C53,C57,C65,C72,C73)</f>
        <v>1024028</v>
      </c>
      <c r="D74" s="1731">
        <f t="shared" ref="D74:K74" si="10">SUM(D42,D47,D53,D57,D65,D72,D73)</f>
        <v>118584</v>
      </c>
      <c r="E74" s="1731">
        <f t="shared" si="10"/>
        <v>195054</v>
      </c>
      <c r="F74" s="1731">
        <f t="shared" si="10"/>
        <v>38310</v>
      </c>
      <c r="G74" s="1731">
        <f t="shared" si="10"/>
        <v>0</v>
      </c>
      <c r="H74" s="1731">
        <f t="shared" si="10"/>
        <v>6870</v>
      </c>
      <c r="I74" s="1731">
        <f t="shared" si="10"/>
        <v>118634</v>
      </c>
      <c r="J74" s="1731">
        <f t="shared" si="10"/>
        <v>0</v>
      </c>
      <c r="K74" s="1731">
        <f t="shared" si="10"/>
        <v>1501480</v>
      </c>
      <c r="L74" s="1731">
        <f>SUM(L42,L47,L53,L57,L65,L72,L73)</f>
        <v>1555155</v>
      </c>
    </row>
    <row r="75" spans="1:14" s="254" customFormat="1" ht="15.75" customHeight="1" thickTop="1" thickBot="1" x14ac:dyDescent="0.25">
      <c r="A75" s="1393" t="s">
        <v>47</v>
      </c>
      <c r="B75" s="1394" t="s">
        <v>571</v>
      </c>
      <c r="C75" s="1699"/>
      <c r="D75" s="1699"/>
      <c r="E75" s="1699">
        <v>10163</v>
      </c>
      <c r="F75" s="1699">
        <v>885</v>
      </c>
      <c r="G75" s="1699"/>
      <c r="H75" s="1699"/>
      <c r="I75" s="1677"/>
      <c r="J75" s="1677"/>
      <c r="K75" s="1724">
        <f>SUM(C75:J75)</f>
        <v>11048</v>
      </c>
      <c r="L75" s="1701">
        <v>11360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v>43048</v>
      </c>
      <c r="I79" s="1632"/>
      <c r="J79" s="1632"/>
      <c r="K79" s="1722">
        <f t="shared" si="11"/>
        <v>43048</v>
      </c>
      <c r="L79" s="1623">
        <v>43050</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v>8390</v>
      </c>
      <c r="I83" s="1632"/>
      <c r="J83" s="1632"/>
      <c r="K83" s="1722">
        <f t="shared" si="11"/>
        <v>8390</v>
      </c>
      <c r="L83" s="1623">
        <v>9100</v>
      </c>
    </row>
    <row r="84" spans="1:12" ht="13.5" thickBot="1" x14ac:dyDescent="0.25">
      <c r="A84" s="1429" t="s">
        <v>1471</v>
      </c>
      <c r="B84" s="1434">
        <v>4100</v>
      </c>
      <c r="C84" s="1723"/>
      <c r="D84" s="1723"/>
      <c r="E84" s="1724">
        <f>SUM(E78:E83)</f>
        <v>0</v>
      </c>
      <c r="F84" s="1723"/>
      <c r="G84" s="1723"/>
      <c r="H84" s="1724">
        <f>SUM(H78:H83)</f>
        <v>51438</v>
      </c>
      <c r="I84" s="1632"/>
      <c r="J84" s="1632"/>
      <c r="K84" s="1724">
        <f>SUM(K78:K83)</f>
        <v>51438</v>
      </c>
      <c r="L84" s="1724">
        <f>SUM(L78:L83)</f>
        <v>52150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v>439984</v>
      </c>
      <c r="I86" s="1632"/>
      <c r="J86" s="1632"/>
      <c r="K86" s="1731">
        <f t="shared" ref="K86:K98" si="12">H86</f>
        <v>439984</v>
      </c>
      <c r="L86" s="1676">
        <v>451090</v>
      </c>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439984</v>
      </c>
      <c r="I92" s="1632"/>
      <c r="J92" s="1632"/>
      <c r="K92" s="1731">
        <f t="shared" si="12"/>
        <v>439984</v>
      </c>
      <c r="L92" s="1724">
        <f>SUM(L85:L91)</f>
        <v>451090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491422</v>
      </c>
      <c r="I102" s="1632"/>
      <c r="J102" s="1632"/>
      <c r="K102" s="1731">
        <f>SUM(K84,K92,K100,K101)</f>
        <v>491422</v>
      </c>
      <c r="L102" s="1731">
        <f>SUM(L84,L92,L100,L101)</f>
        <v>503240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4138735</v>
      </c>
      <c r="D114" s="1724">
        <f t="shared" ref="D114:K114" si="13">SUM(D33,D74,D75,D102,D112,D113)</f>
        <v>690069</v>
      </c>
      <c r="E114" s="1724">
        <f t="shared" si="13"/>
        <v>254488</v>
      </c>
      <c r="F114" s="1724">
        <f t="shared" si="13"/>
        <v>273131</v>
      </c>
      <c r="G114" s="1724">
        <f t="shared" si="13"/>
        <v>0</v>
      </c>
      <c r="H114" s="1724">
        <f>SUM(H33,H74,H75,H102,H112,H113)</f>
        <v>659398</v>
      </c>
      <c r="I114" s="1724">
        <f t="shared" si="13"/>
        <v>118634</v>
      </c>
      <c r="J114" s="1724">
        <f t="shared" si="13"/>
        <v>0</v>
      </c>
      <c r="K114" s="1724">
        <f t="shared" si="13"/>
        <v>6134455</v>
      </c>
      <c r="L114" s="1724">
        <f>SUM(L33,L74,L75,L102,L112,L113)</f>
        <v>6280305</v>
      </c>
    </row>
    <row r="115" spans="1:14" ht="13.5" thickTop="1" x14ac:dyDescent="0.2">
      <c r="A115" s="2214" t="s">
        <v>989</v>
      </c>
      <c r="B115" s="2215"/>
      <c r="C115" s="1725"/>
      <c r="D115" s="1725"/>
      <c r="E115" s="1725"/>
      <c r="F115" s="1725"/>
      <c r="G115" s="1725"/>
      <c r="H115" s="1725"/>
      <c r="I115" s="1725"/>
      <c r="J115" s="1725"/>
      <c r="K115" s="1739">
        <f>'Revenues 9-14'!C268-'Expenditures 15-22'!K114</f>
        <v>92151</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9" t="s">
        <v>293</v>
      </c>
      <c r="B117" s="2220"/>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24382</v>
      </c>
      <c r="D122" s="1623">
        <v>4120</v>
      </c>
      <c r="E122" s="1623"/>
      <c r="F122" s="1623"/>
      <c r="G122" s="1623"/>
      <c r="H122" s="1623"/>
      <c r="I122" s="1624"/>
      <c r="J122" s="1624"/>
      <c r="K122" s="1724">
        <f>SUM(C122:J122)</f>
        <v>28502</v>
      </c>
      <c r="L122" s="1623">
        <v>28575</v>
      </c>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195019</v>
      </c>
      <c r="D124" s="1623">
        <v>12633</v>
      </c>
      <c r="E124" s="1623">
        <v>72317</v>
      </c>
      <c r="F124" s="1623">
        <v>136330</v>
      </c>
      <c r="G124" s="1623">
        <v>25804</v>
      </c>
      <c r="H124" s="1623"/>
      <c r="I124" s="1624">
        <v>6639</v>
      </c>
      <c r="J124" s="1624"/>
      <c r="K124" s="1724">
        <f>SUM(C124:J124)</f>
        <v>448742</v>
      </c>
      <c r="L124" s="1623">
        <v>536905</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219401</v>
      </c>
      <c r="D127" s="1724">
        <f t="shared" ref="D127:L127" si="14">SUM(D122:D126)</f>
        <v>16753</v>
      </c>
      <c r="E127" s="1724">
        <f t="shared" si="14"/>
        <v>72317</v>
      </c>
      <c r="F127" s="1724">
        <f t="shared" si="14"/>
        <v>136330</v>
      </c>
      <c r="G127" s="1724">
        <f t="shared" si="14"/>
        <v>25804</v>
      </c>
      <c r="H127" s="1724">
        <f t="shared" si="14"/>
        <v>0</v>
      </c>
      <c r="I127" s="1724">
        <f t="shared" si="14"/>
        <v>6639</v>
      </c>
      <c r="J127" s="1724">
        <f t="shared" si="14"/>
        <v>0</v>
      </c>
      <c r="K127" s="1724">
        <f t="shared" si="14"/>
        <v>477244</v>
      </c>
      <c r="L127" s="1724">
        <f t="shared" si="14"/>
        <v>565480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219401</v>
      </c>
      <c r="D129" s="1731">
        <f t="shared" ref="D129:L129" si="15">SUM(D120,D127,D128)</f>
        <v>16753</v>
      </c>
      <c r="E129" s="1731">
        <f t="shared" si="15"/>
        <v>72317</v>
      </c>
      <c r="F129" s="1731">
        <f t="shared" si="15"/>
        <v>136330</v>
      </c>
      <c r="G129" s="1731">
        <f t="shared" si="15"/>
        <v>25804</v>
      </c>
      <c r="H129" s="1731">
        <f t="shared" si="15"/>
        <v>0</v>
      </c>
      <c r="I129" s="1731">
        <f t="shared" si="15"/>
        <v>6639</v>
      </c>
      <c r="J129" s="1731">
        <f t="shared" si="15"/>
        <v>0</v>
      </c>
      <c r="K129" s="1731">
        <f t="shared" si="15"/>
        <v>477244</v>
      </c>
      <c r="L129" s="1731">
        <f t="shared" si="15"/>
        <v>565480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1" t="s">
        <v>616</v>
      </c>
      <c r="B151" s="2211"/>
      <c r="C151" s="1724">
        <f>SUM(C129,C130,C139,C149,C150)</f>
        <v>219401</v>
      </c>
      <c r="D151" s="1724">
        <f t="shared" ref="D151:K151" si="16">SUM(D129,D130,D139,D149,D150)</f>
        <v>16753</v>
      </c>
      <c r="E151" s="1724">
        <f t="shared" si="16"/>
        <v>72317</v>
      </c>
      <c r="F151" s="1724">
        <f t="shared" si="16"/>
        <v>136330</v>
      </c>
      <c r="G151" s="1724">
        <f t="shared" si="16"/>
        <v>25804</v>
      </c>
      <c r="H151" s="1724">
        <f t="shared" si="16"/>
        <v>0</v>
      </c>
      <c r="I151" s="1724">
        <f t="shared" si="16"/>
        <v>6639</v>
      </c>
      <c r="J151" s="1724">
        <f t="shared" si="16"/>
        <v>0</v>
      </c>
      <c r="K151" s="1724">
        <f t="shared" si="16"/>
        <v>477244</v>
      </c>
      <c r="L151" s="1724">
        <f>SUM(L129,L130,L139,L149,L150)</f>
        <v>565480</v>
      </c>
    </row>
    <row r="152" spans="1:14" ht="12.75" customHeight="1" thickTop="1" x14ac:dyDescent="0.2">
      <c r="A152" s="2234" t="s">
        <v>1170</v>
      </c>
      <c r="B152" s="2235"/>
      <c r="C152" s="1725"/>
      <c r="D152" s="1725"/>
      <c r="E152" s="1725"/>
      <c r="F152" s="1725"/>
      <c r="G152" s="1725"/>
      <c r="H152" s="1725"/>
      <c r="I152" s="1725"/>
      <c r="J152" s="1723"/>
      <c r="K152" s="1739">
        <f>'Revenues 9-14'!D268-'Expenditures 15-22'!K151</f>
        <v>120100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9" t="s">
        <v>617</v>
      </c>
      <c r="B154" s="222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268600</v>
      </c>
      <c r="I169" s="1723"/>
      <c r="J169" s="1723"/>
      <c r="K169" s="1722">
        <f>SUM(C169:H169)</f>
        <v>268600</v>
      </c>
      <c r="L169" s="1745">
        <v>269050</v>
      </c>
    </row>
    <row r="170" spans="1:14" ht="33.75" customHeight="1" x14ac:dyDescent="0.2">
      <c r="A170" s="543" t="s">
        <v>1654</v>
      </c>
      <c r="B170" s="545" t="s">
        <v>31</v>
      </c>
      <c r="C170" s="1723"/>
      <c r="D170" s="1723"/>
      <c r="E170" s="1723"/>
      <c r="F170" s="1723"/>
      <c r="G170" s="1723"/>
      <c r="H170" s="1696">
        <v>730000</v>
      </c>
      <c r="I170" s="1723"/>
      <c r="J170" s="1723"/>
      <c r="K170" s="1722">
        <f>SUM(C170:J170)</f>
        <v>730000</v>
      </c>
      <c r="L170" s="1696">
        <v>730000</v>
      </c>
    </row>
    <row r="171" spans="1:14" ht="15.75" customHeight="1" x14ac:dyDescent="0.2">
      <c r="A171" s="507" t="s">
        <v>761</v>
      </c>
      <c r="B171" s="546" t="s">
        <v>84</v>
      </c>
      <c r="C171" s="1723"/>
      <c r="D171" s="1723"/>
      <c r="E171" s="1623"/>
      <c r="F171" s="1723"/>
      <c r="G171" s="1723"/>
      <c r="H171" s="1696">
        <v>450</v>
      </c>
      <c r="I171" s="1632"/>
      <c r="J171" s="1723"/>
      <c r="K171" s="1722">
        <f>SUM(C171:J171)</f>
        <v>450</v>
      </c>
      <c r="L171" s="1696"/>
    </row>
    <row r="172" spans="1:14" ht="12.75" customHeight="1" thickBot="1" x14ac:dyDescent="0.25">
      <c r="A172" s="1429" t="s">
        <v>633</v>
      </c>
      <c r="B172" s="1430" t="s">
        <v>489</v>
      </c>
      <c r="C172" s="1723"/>
      <c r="D172" s="1723"/>
      <c r="E172" s="1731">
        <f>SUM(E168,E169,E170,E171)</f>
        <v>0</v>
      </c>
      <c r="F172" s="1723"/>
      <c r="G172" s="1723"/>
      <c r="H172" s="1731">
        <f>SUM(H168,H169,H170,H171)</f>
        <v>999050</v>
      </c>
      <c r="I172" s="1734"/>
      <c r="J172" s="1723"/>
      <c r="K172" s="1731">
        <f>SUM(K168,K169,K170,K171)</f>
        <v>999050</v>
      </c>
      <c r="L172" s="1731">
        <f>SUM(L168,L169,L170,L171)</f>
        <v>999050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999050</v>
      </c>
      <c r="I174" s="1734"/>
      <c r="J174" s="1723"/>
      <c r="K174" s="1731">
        <f>SUM(K160,K172,K173)</f>
        <v>999050</v>
      </c>
      <c r="L174" s="1731">
        <f>SUM(L160,L172,L173)</f>
        <v>999050</v>
      </c>
    </row>
    <row r="175" spans="1:14" ht="13.5" thickTop="1" x14ac:dyDescent="0.2">
      <c r="A175" s="2214" t="s">
        <v>989</v>
      </c>
      <c r="B175" s="2215"/>
      <c r="C175" s="1723"/>
      <c r="D175" s="1723"/>
      <c r="E175" s="1723"/>
      <c r="F175" s="1723"/>
      <c r="G175" s="1723"/>
      <c r="H175" s="1725"/>
      <c r="I175" s="1723"/>
      <c r="J175" s="1723"/>
      <c r="K175" s="1739">
        <f>'Revenues 9-14'!E268-'Expenditures 15-22'!K174</f>
        <v>537989</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862207</v>
      </c>
      <c r="D182" s="1623">
        <v>24024</v>
      </c>
      <c r="E182" s="1623">
        <v>188231</v>
      </c>
      <c r="F182" s="1623">
        <v>166845</v>
      </c>
      <c r="G182" s="1623">
        <v>545352</v>
      </c>
      <c r="H182" s="1623"/>
      <c r="I182" s="1624"/>
      <c r="J182" s="1624"/>
      <c r="K182" s="1722">
        <f>SUM(C182:J182)</f>
        <v>1786659</v>
      </c>
      <c r="L182" s="1623">
        <v>1835040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862207</v>
      </c>
      <c r="D184" s="1731">
        <f t="shared" ref="D184:J184" si="17">SUM(D180,D182,D183)</f>
        <v>24024</v>
      </c>
      <c r="E184" s="1731">
        <f t="shared" si="17"/>
        <v>188231</v>
      </c>
      <c r="F184" s="1731">
        <f t="shared" si="17"/>
        <v>166845</v>
      </c>
      <c r="G184" s="1731">
        <f t="shared" si="17"/>
        <v>545352</v>
      </c>
      <c r="H184" s="1731">
        <f t="shared" si="17"/>
        <v>0</v>
      </c>
      <c r="I184" s="1731">
        <f t="shared" si="17"/>
        <v>0</v>
      </c>
      <c r="J184" s="1731">
        <f t="shared" si="17"/>
        <v>0</v>
      </c>
      <c r="K184" s="1731">
        <f>SUM(K180,K182,K183)</f>
        <v>1786659</v>
      </c>
      <c r="L184" s="1731">
        <f>SUM(L180, L182:L183)</f>
        <v>1835040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862207</v>
      </c>
      <c r="D210" s="1724">
        <f>SUM(D184,D185)</f>
        <v>24024</v>
      </c>
      <c r="E210" s="1724">
        <f>SUM(E184,E185,E196)</f>
        <v>188231</v>
      </c>
      <c r="F210" s="1724">
        <f>SUM(F184,F185)</f>
        <v>166845</v>
      </c>
      <c r="G210" s="1724">
        <f>SUM(G184,G185)</f>
        <v>545352</v>
      </c>
      <c r="H210" s="1724">
        <f>SUM(H184,H185,H196,H208,H209)</f>
        <v>0</v>
      </c>
      <c r="I210" s="1724">
        <f>SUM(I184,I185)</f>
        <v>0</v>
      </c>
      <c r="J210" s="1724">
        <f>SUM(J184,J185)</f>
        <v>0</v>
      </c>
      <c r="K210" s="1722">
        <f>SUM(K184,K185,K196,K208,K209)</f>
        <v>1786659</v>
      </c>
      <c r="L210" s="1724">
        <f>SUM(L184,L185,L196,L208,L209)</f>
        <v>1835040</v>
      </c>
    </row>
    <row r="211" spans="1:14" ht="13.5" thickTop="1" x14ac:dyDescent="0.2">
      <c r="A211" s="2214" t="s">
        <v>989</v>
      </c>
      <c r="B211" s="2215"/>
      <c r="C211" s="1725"/>
      <c r="D211" s="1725"/>
      <c r="E211" s="1725"/>
      <c r="F211" s="1725"/>
      <c r="G211" s="1725"/>
      <c r="H211" s="1725"/>
      <c r="I211" s="1723"/>
      <c r="J211" s="1723"/>
      <c r="K211" s="1739">
        <f>'Revenues 9-14'!F268-'Expenditures 15-22'!K210</f>
        <v>-133202</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6" t="s">
        <v>959</v>
      </c>
      <c r="B213" s="2237"/>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30647</v>
      </c>
      <c r="E215" s="1723"/>
      <c r="F215" s="1723"/>
      <c r="G215" s="1723"/>
      <c r="H215" s="1723"/>
      <c r="I215" s="1723"/>
      <c r="J215" s="1723"/>
      <c r="K215" s="1722">
        <f>D215</f>
        <v>30647</v>
      </c>
      <c r="L215" s="1623">
        <v>31030</v>
      </c>
    </row>
    <row r="216" spans="1:14" x14ac:dyDescent="0.2">
      <c r="A216" s="1319" t="s">
        <v>162</v>
      </c>
      <c r="B216" s="503" t="s">
        <v>961</v>
      </c>
      <c r="C216" s="1723"/>
      <c r="D216" s="1624">
        <v>6004</v>
      </c>
      <c r="E216" s="1723"/>
      <c r="F216" s="1723"/>
      <c r="G216" s="1723"/>
      <c r="H216" s="1723"/>
      <c r="I216" s="1723"/>
      <c r="J216" s="1723"/>
      <c r="K216" s="1722">
        <f t="shared" ref="K216:K228" si="19">D216</f>
        <v>6004</v>
      </c>
      <c r="L216" s="1623">
        <v>6400</v>
      </c>
    </row>
    <row r="217" spans="1:14" x14ac:dyDescent="0.2">
      <c r="A217" s="1319" t="s">
        <v>163</v>
      </c>
      <c r="B217" s="503">
        <v>1200</v>
      </c>
      <c r="C217" s="1723"/>
      <c r="D217" s="1623">
        <v>37856</v>
      </c>
      <c r="E217" s="1723"/>
      <c r="F217" s="1723"/>
      <c r="G217" s="1723"/>
      <c r="H217" s="1723"/>
      <c r="I217" s="1723"/>
      <c r="J217" s="1723"/>
      <c r="K217" s="1722">
        <f t="shared" si="19"/>
        <v>37856</v>
      </c>
      <c r="L217" s="1623">
        <v>38550</v>
      </c>
    </row>
    <row r="218" spans="1:14" x14ac:dyDescent="0.2">
      <c r="A218" s="1319" t="s">
        <v>276</v>
      </c>
      <c r="B218" s="503" t="s">
        <v>962</v>
      </c>
      <c r="C218" s="1723"/>
      <c r="D218" s="1624">
        <v>2800</v>
      </c>
      <c r="E218" s="1723"/>
      <c r="F218" s="1723"/>
      <c r="G218" s="1723"/>
      <c r="H218" s="1723"/>
      <c r="I218" s="1723"/>
      <c r="J218" s="1723"/>
      <c r="K218" s="1722">
        <f t="shared" si="19"/>
        <v>2800</v>
      </c>
      <c r="L218" s="1623">
        <v>2900</v>
      </c>
    </row>
    <row r="219" spans="1:14" x14ac:dyDescent="0.2">
      <c r="A219" s="1319" t="s">
        <v>277</v>
      </c>
      <c r="B219" s="503">
        <v>1250</v>
      </c>
      <c r="C219" s="1723"/>
      <c r="D219" s="1623">
        <v>13802</v>
      </c>
      <c r="E219" s="1723"/>
      <c r="F219" s="1723"/>
      <c r="G219" s="1723"/>
      <c r="H219" s="1723"/>
      <c r="I219" s="1723"/>
      <c r="J219" s="1723"/>
      <c r="K219" s="1722">
        <f t="shared" si="19"/>
        <v>13802</v>
      </c>
      <c r="L219" s="1623">
        <v>14075</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v>1519</v>
      </c>
      <c r="E223" s="1723"/>
      <c r="F223" s="1723"/>
      <c r="G223" s="1723"/>
      <c r="H223" s="1723"/>
      <c r="I223" s="1723"/>
      <c r="J223" s="1723"/>
      <c r="K223" s="1722">
        <f t="shared" si="19"/>
        <v>1519</v>
      </c>
      <c r="L223" s="1623">
        <v>1675</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v>725</v>
      </c>
      <c r="E227" s="1723"/>
      <c r="F227" s="1723"/>
      <c r="G227" s="1723"/>
      <c r="H227" s="1723"/>
      <c r="I227" s="1723"/>
      <c r="J227" s="1723"/>
      <c r="K227" s="1722">
        <f t="shared" si="19"/>
        <v>725</v>
      </c>
      <c r="L227" s="1623">
        <v>800</v>
      </c>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93353</v>
      </c>
      <c r="E229" s="1723"/>
      <c r="F229" s="1723"/>
      <c r="G229" s="1723"/>
      <c r="H229" s="1723"/>
      <c r="I229" s="1723"/>
      <c r="J229" s="1723"/>
      <c r="K229" s="1724">
        <f>SUM(K215:K228)</f>
        <v>93353</v>
      </c>
      <c r="L229" s="1724">
        <f>SUM(L215:L228)</f>
        <v>95430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1728</v>
      </c>
      <c r="E232" s="1723"/>
      <c r="F232" s="1723"/>
      <c r="G232" s="1723"/>
      <c r="H232" s="1723"/>
      <c r="I232" s="1723"/>
      <c r="J232" s="1723"/>
      <c r="K232" s="1722">
        <f t="shared" ref="K232:K237" si="20">D232</f>
        <v>1728</v>
      </c>
      <c r="L232" s="1623">
        <v>1750</v>
      </c>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v>10883</v>
      </c>
      <c r="E234" s="1723"/>
      <c r="F234" s="1723"/>
      <c r="G234" s="1723"/>
      <c r="H234" s="1723"/>
      <c r="I234" s="1723"/>
      <c r="J234" s="1723"/>
      <c r="K234" s="1722">
        <f t="shared" si="20"/>
        <v>10883</v>
      </c>
      <c r="L234" s="1623">
        <v>11100</v>
      </c>
    </row>
    <row r="235" spans="1:12" x14ac:dyDescent="0.2">
      <c r="A235" s="1319" t="s">
        <v>197</v>
      </c>
      <c r="B235" s="503">
        <v>2140</v>
      </c>
      <c r="C235" s="1723"/>
      <c r="D235" s="1623">
        <v>1845</v>
      </c>
      <c r="E235" s="1723"/>
      <c r="F235" s="1723"/>
      <c r="G235" s="1723"/>
      <c r="H235" s="1723"/>
      <c r="I235" s="1723"/>
      <c r="J235" s="1723"/>
      <c r="K235" s="1722">
        <f t="shared" si="20"/>
        <v>1845</v>
      </c>
      <c r="L235" s="1623">
        <v>2000</v>
      </c>
    </row>
    <row r="236" spans="1:12" x14ac:dyDescent="0.2">
      <c r="A236" s="1319" t="s">
        <v>198</v>
      </c>
      <c r="B236" s="503">
        <v>2150</v>
      </c>
      <c r="C236" s="1723"/>
      <c r="D236" s="1623">
        <v>1290</v>
      </c>
      <c r="E236" s="1723"/>
      <c r="F236" s="1723"/>
      <c r="G236" s="1723"/>
      <c r="H236" s="1723"/>
      <c r="I236" s="1723"/>
      <c r="J236" s="1723"/>
      <c r="K236" s="1722">
        <f t="shared" si="20"/>
        <v>1290</v>
      </c>
      <c r="L236" s="1623">
        <v>1350</v>
      </c>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15746</v>
      </c>
      <c r="E238" s="1723"/>
      <c r="F238" s="1723"/>
      <c r="G238" s="1723"/>
      <c r="H238" s="1723"/>
      <c r="I238" s="1723"/>
      <c r="J238" s="1723"/>
      <c r="K238" s="1724">
        <f>SUM(K232:K237)</f>
        <v>15746</v>
      </c>
      <c r="L238" s="1724">
        <f>SUM(L232:L237)</f>
        <v>16200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363</v>
      </c>
      <c r="E240" s="1723"/>
      <c r="F240" s="1723"/>
      <c r="G240" s="1723"/>
      <c r="H240" s="1723"/>
      <c r="I240" s="1723"/>
      <c r="J240" s="1723"/>
      <c r="K240" s="1728">
        <f>D240</f>
        <v>363</v>
      </c>
      <c r="L240" s="1636">
        <v>400</v>
      </c>
    </row>
    <row r="241" spans="1:12" x14ac:dyDescent="0.2">
      <c r="A241" s="1319" t="s">
        <v>810</v>
      </c>
      <c r="B241" s="503">
        <v>2220</v>
      </c>
      <c r="C241" s="1723"/>
      <c r="D241" s="1623">
        <v>10197</v>
      </c>
      <c r="E241" s="1723"/>
      <c r="F241" s="1723"/>
      <c r="G241" s="1723"/>
      <c r="H241" s="1723"/>
      <c r="I241" s="1723"/>
      <c r="J241" s="1723"/>
      <c r="K241" s="1728">
        <f>D241</f>
        <v>10197</v>
      </c>
      <c r="L241" s="1623">
        <v>10650</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10560</v>
      </c>
      <c r="E243" s="1723"/>
      <c r="F243" s="1723"/>
      <c r="G243" s="1723"/>
      <c r="H243" s="1723"/>
      <c r="I243" s="1723"/>
      <c r="J243" s="1723"/>
      <c r="K243" s="1724">
        <f>SUM(K240:K242)</f>
        <v>10560</v>
      </c>
      <c r="L243" s="1724">
        <f>SUM(L240:L242)</f>
        <v>11050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556</v>
      </c>
      <c r="E245" s="1723"/>
      <c r="F245" s="1723"/>
      <c r="G245" s="1723"/>
      <c r="H245" s="1723"/>
      <c r="I245" s="1723"/>
      <c r="J245" s="1723"/>
      <c r="K245" s="1728">
        <f>D245</f>
        <v>556</v>
      </c>
      <c r="L245" s="1636">
        <v>590</v>
      </c>
    </row>
    <row r="246" spans="1:12" x14ac:dyDescent="0.2">
      <c r="A246" s="1319" t="s">
        <v>813</v>
      </c>
      <c r="B246" s="503">
        <v>2320</v>
      </c>
      <c r="C246" s="1723"/>
      <c r="D246" s="1623">
        <v>8010</v>
      </c>
      <c r="E246" s="1723"/>
      <c r="F246" s="1723"/>
      <c r="G246" s="1723"/>
      <c r="H246" s="1723"/>
      <c r="I246" s="1723"/>
      <c r="J246" s="1723"/>
      <c r="K246" s="1728">
        <f t="shared" ref="K246:K256" si="21">D246</f>
        <v>8010</v>
      </c>
      <c r="L246" s="1623">
        <v>8235</v>
      </c>
    </row>
    <row r="247" spans="1:12" x14ac:dyDescent="0.2">
      <c r="A247" s="1319" t="s">
        <v>814</v>
      </c>
      <c r="B247" s="503">
        <v>2330</v>
      </c>
      <c r="C247" s="1723"/>
      <c r="D247" s="1623">
        <v>477</v>
      </c>
      <c r="E247" s="1723"/>
      <c r="F247" s="1723"/>
      <c r="G247" s="1723"/>
      <c r="H247" s="1723"/>
      <c r="I247" s="1723"/>
      <c r="J247" s="1723"/>
      <c r="K247" s="1728">
        <f t="shared" si="21"/>
        <v>477</v>
      </c>
      <c r="L247" s="1623">
        <v>520</v>
      </c>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v>8266</v>
      </c>
      <c r="E254" s="1723"/>
      <c r="F254" s="1723"/>
      <c r="G254" s="1723"/>
      <c r="H254" s="1723"/>
      <c r="I254" s="1723"/>
      <c r="J254" s="1723"/>
      <c r="K254" s="1728">
        <f t="shared" si="21"/>
        <v>8266</v>
      </c>
      <c r="L254" s="1623">
        <v>8750</v>
      </c>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17309</v>
      </c>
      <c r="E257" s="1723"/>
      <c r="F257" s="1723"/>
      <c r="G257" s="1723"/>
      <c r="H257" s="1723"/>
      <c r="I257" s="1723"/>
      <c r="J257" s="1723"/>
      <c r="K257" s="1724">
        <f>SUM(K245:K256)</f>
        <v>17309</v>
      </c>
      <c r="L257" s="1724">
        <f>SUM(L245:L256)</f>
        <v>18095</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15050</v>
      </c>
      <c r="E259" s="1723"/>
      <c r="F259" s="1723"/>
      <c r="G259" s="1723"/>
      <c r="H259" s="1723"/>
      <c r="I259" s="1723"/>
      <c r="J259" s="1723"/>
      <c r="K259" s="1728">
        <f>D259</f>
        <v>15050</v>
      </c>
      <c r="L259" s="1636">
        <v>15220</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15050</v>
      </c>
      <c r="E261" s="1723"/>
      <c r="F261" s="1723"/>
      <c r="G261" s="1723"/>
      <c r="H261" s="1723"/>
      <c r="I261" s="1723"/>
      <c r="J261" s="1723"/>
      <c r="K261" s="1724">
        <f>SUM(K259:K260)</f>
        <v>15050</v>
      </c>
      <c r="L261" s="1724">
        <f>SUM(L259:L260)</f>
        <v>15220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342</v>
      </c>
      <c r="E263" s="1723"/>
      <c r="F263" s="1723"/>
      <c r="G263" s="1723"/>
      <c r="H263" s="1723"/>
      <c r="I263" s="1723"/>
      <c r="J263" s="1723"/>
      <c r="K263" s="1728">
        <f>D263</f>
        <v>342</v>
      </c>
      <c r="L263" s="1636">
        <v>350</v>
      </c>
    </row>
    <row r="264" spans="1:14" x14ac:dyDescent="0.2">
      <c r="A264" s="1319" t="s">
        <v>460</v>
      </c>
      <c r="B264" s="559">
        <v>2520</v>
      </c>
      <c r="C264" s="1723"/>
      <c r="D264" s="1623">
        <v>10693</v>
      </c>
      <c r="E264" s="1723"/>
      <c r="F264" s="1723"/>
      <c r="G264" s="1723"/>
      <c r="H264" s="1723"/>
      <c r="I264" s="1723"/>
      <c r="J264" s="1723"/>
      <c r="K264" s="1728">
        <f t="shared" ref="K264:K269" si="22">D264</f>
        <v>10693</v>
      </c>
      <c r="L264" s="1623">
        <v>10880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28148</v>
      </c>
      <c r="E266" s="1723"/>
      <c r="F266" s="1723"/>
      <c r="G266" s="1723"/>
      <c r="H266" s="1723"/>
      <c r="I266" s="1723"/>
      <c r="J266" s="1723"/>
      <c r="K266" s="1728">
        <f t="shared" si="22"/>
        <v>28148</v>
      </c>
      <c r="L266" s="1623">
        <v>28250</v>
      </c>
    </row>
    <row r="267" spans="1:14" x14ac:dyDescent="0.2">
      <c r="A267" s="1319" t="s">
        <v>947</v>
      </c>
      <c r="B267" s="503">
        <v>2550</v>
      </c>
      <c r="C267" s="1723"/>
      <c r="D267" s="1623">
        <v>132030</v>
      </c>
      <c r="E267" s="1723"/>
      <c r="F267" s="1723"/>
      <c r="G267" s="1723"/>
      <c r="H267" s="1723"/>
      <c r="I267" s="1723"/>
      <c r="J267" s="1723"/>
      <c r="K267" s="1728">
        <f t="shared" si="22"/>
        <v>132030</v>
      </c>
      <c r="L267" s="1623">
        <v>132965</v>
      </c>
    </row>
    <row r="268" spans="1:14" x14ac:dyDescent="0.2">
      <c r="A268" s="1319" t="s">
        <v>100</v>
      </c>
      <c r="B268" s="503">
        <v>2560</v>
      </c>
      <c r="C268" s="1723"/>
      <c r="D268" s="1623">
        <v>6810</v>
      </c>
      <c r="E268" s="1723"/>
      <c r="F268" s="1723"/>
      <c r="G268" s="1723"/>
      <c r="H268" s="1723"/>
      <c r="I268" s="1723"/>
      <c r="J268" s="1723"/>
      <c r="K268" s="1728">
        <f t="shared" si="22"/>
        <v>6810</v>
      </c>
      <c r="L268" s="1623">
        <v>7100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178023</v>
      </c>
      <c r="E270" s="1723"/>
      <c r="F270" s="1723"/>
      <c r="G270" s="1723"/>
      <c r="H270" s="1723"/>
      <c r="I270" s="1723"/>
      <c r="J270" s="1723"/>
      <c r="K270" s="1724">
        <f>SUM(K263:K269)</f>
        <v>178023</v>
      </c>
      <c r="L270" s="1724">
        <f>SUM(L263:L269)</f>
        <v>179545</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236688</v>
      </c>
      <c r="E279" s="1723"/>
      <c r="F279" s="1723"/>
      <c r="G279" s="1723"/>
      <c r="H279" s="1723"/>
      <c r="I279" s="1723"/>
      <c r="J279" s="1723"/>
      <c r="K279" s="1731">
        <f>SUM(K238,K243,K257,K261,K270,K277,K278)</f>
        <v>236688</v>
      </c>
      <c r="L279" s="1731">
        <f>SUM(L238,L243,L257,L261,L270,L277,L278)</f>
        <v>240110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2" t="s">
        <v>502</v>
      </c>
      <c r="B295" s="2233"/>
      <c r="C295" s="1723"/>
      <c r="D295" s="1724">
        <f>SUM(D229,D279,D280,D285)</f>
        <v>330041</v>
      </c>
      <c r="E295" s="1723"/>
      <c r="F295" s="1723"/>
      <c r="G295" s="1723"/>
      <c r="H295" s="1724">
        <f>H293</f>
        <v>0</v>
      </c>
      <c r="I295" s="1723"/>
      <c r="J295" s="1723"/>
      <c r="K295" s="1724">
        <f>SUM(K229,K279,K280,K285,K293,K294)</f>
        <v>330041</v>
      </c>
      <c r="L295" s="1724">
        <f>SUM(L229,L279,L280,L285,L293,L294)</f>
        <v>335540</v>
      </c>
    </row>
    <row r="296" spans="1:14" ht="13.5" thickTop="1" x14ac:dyDescent="0.2">
      <c r="A296" s="2214" t="s">
        <v>989</v>
      </c>
      <c r="B296" s="2215"/>
      <c r="C296" s="1723"/>
      <c r="D296" s="1725"/>
      <c r="E296" s="1723"/>
      <c r="F296" s="1723"/>
      <c r="G296" s="1723"/>
      <c r="H296" s="1757"/>
      <c r="I296" s="1723"/>
      <c r="J296" s="1723"/>
      <c r="K296" s="1739">
        <f>'Revenues 9-14'!G268-'Expenditures 15-22'!K295</f>
        <v>-51574</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4" t="s">
        <v>142</v>
      </c>
      <c r="B298" s="2218"/>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v>856199</v>
      </c>
      <c r="F301" s="1623"/>
      <c r="G301" s="1623">
        <v>6347328</v>
      </c>
      <c r="H301" s="1623"/>
      <c r="I301" s="1624">
        <v>4756</v>
      </c>
      <c r="J301" s="1624"/>
      <c r="K301" s="1722">
        <f>SUM(C301:J301)</f>
        <v>7208283</v>
      </c>
      <c r="L301" s="1624">
        <v>7471000</v>
      </c>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856199</v>
      </c>
      <c r="F303" s="1731">
        <f t="shared" si="23"/>
        <v>0</v>
      </c>
      <c r="G303" s="1731">
        <f t="shared" si="23"/>
        <v>6347328</v>
      </c>
      <c r="H303" s="1731">
        <f t="shared" si="23"/>
        <v>0</v>
      </c>
      <c r="I303" s="1731">
        <f t="shared" si="23"/>
        <v>4756</v>
      </c>
      <c r="J303" s="1731">
        <f t="shared" si="23"/>
        <v>0</v>
      </c>
      <c r="K303" s="1731">
        <f t="shared" si="23"/>
        <v>7208283</v>
      </c>
      <c r="L303" s="1731">
        <f t="shared" si="23"/>
        <v>7471000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v>60685</v>
      </c>
      <c r="I309" s="1632"/>
      <c r="J309" s="1723"/>
      <c r="K309" s="1722">
        <f>SUM(E309,H309)</f>
        <v>60685</v>
      </c>
      <c r="L309" s="1623">
        <v>61000</v>
      </c>
    </row>
    <row r="310" spans="1:14" ht="12.75" customHeight="1" thickBot="1" x14ac:dyDescent="0.25">
      <c r="A310" s="1429" t="s">
        <v>1473</v>
      </c>
      <c r="B310" s="1432" t="s">
        <v>855</v>
      </c>
      <c r="C310" s="1723"/>
      <c r="D310" s="1723"/>
      <c r="E310" s="1724">
        <f>SUM(E306:E309)</f>
        <v>0</v>
      </c>
      <c r="F310" s="1723"/>
      <c r="G310" s="1723"/>
      <c r="H310" s="1724">
        <f>SUM(H306:H309)</f>
        <v>60685</v>
      </c>
      <c r="I310" s="1632"/>
      <c r="J310" s="1723"/>
      <c r="K310" s="1724">
        <f>SUM(K306:K309)</f>
        <v>60685</v>
      </c>
      <c r="L310" s="1731">
        <f>SUM(L306:L309)</f>
        <v>61000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9" t="s">
        <v>275</v>
      </c>
      <c r="B312" s="2230"/>
      <c r="C312" s="1724">
        <f>SUM(C303)</f>
        <v>0</v>
      </c>
      <c r="D312" s="1724">
        <f>SUM(D303)</f>
        <v>0</v>
      </c>
      <c r="E312" s="1724">
        <f>SUM(E303,E310)</f>
        <v>856199</v>
      </c>
      <c r="F312" s="1724">
        <f>SUM(F303)</f>
        <v>0</v>
      </c>
      <c r="G312" s="1724">
        <f>SUM(G303)</f>
        <v>6347328</v>
      </c>
      <c r="H312" s="1724">
        <f>SUM(H303,H310)</f>
        <v>60685</v>
      </c>
      <c r="I312" s="1724">
        <f>SUM(I303)</f>
        <v>4756</v>
      </c>
      <c r="J312" s="1724">
        <f>SUM(J303)</f>
        <v>0</v>
      </c>
      <c r="K312" s="1724">
        <f>SUM(K303,K310,K311)</f>
        <v>7268968</v>
      </c>
      <c r="L312" s="1724">
        <f>SUM(L303,L310,L311)</f>
        <v>7532000</v>
      </c>
      <c r="M312" s="539"/>
      <c r="N312" s="539"/>
    </row>
    <row r="313" spans="1:14" ht="13.5" thickTop="1" x14ac:dyDescent="0.2">
      <c r="A313" s="2225" t="s">
        <v>989</v>
      </c>
      <c r="B313" s="2226"/>
      <c r="C313" s="1727"/>
      <c r="D313" s="1727"/>
      <c r="E313" s="1727"/>
      <c r="F313" s="1727"/>
      <c r="G313" s="1727"/>
      <c r="H313" s="1727"/>
      <c r="I313" s="1727"/>
      <c r="J313" s="1727"/>
      <c r="K313" s="1746">
        <f>'Revenues 9-14'!H268-'Expenditures 15-22'!K312</f>
        <v>-7168391</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8" t="s">
        <v>148</v>
      </c>
      <c r="B315" s="2239"/>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0" t="s">
        <v>892</v>
      </c>
      <c r="B317" s="2239"/>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v>54440</v>
      </c>
      <c r="F320" s="1624"/>
      <c r="G320" s="1624"/>
      <c r="H320" s="1624"/>
      <c r="I320" s="1624"/>
      <c r="J320" s="1624"/>
      <c r="K320" s="1722">
        <f t="shared" ref="K320:K327" si="24">SUM(C320:J320)</f>
        <v>54440</v>
      </c>
      <c r="L320" s="1624">
        <v>54600</v>
      </c>
      <c r="M320" s="539"/>
      <c r="N320" s="539"/>
    </row>
    <row r="321" spans="1:14" s="548" customFormat="1" x14ac:dyDescent="0.2">
      <c r="A321" s="1334" t="s">
        <v>297</v>
      </c>
      <c r="B321" s="567" t="s">
        <v>281</v>
      </c>
      <c r="C321" s="1624"/>
      <c r="D321" s="1624"/>
      <c r="E321" s="1624">
        <v>456</v>
      </c>
      <c r="F321" s="1624"/>
      <c r="G321" s="1624"/>
      <c r="H321" s="1624"/>
      <c r="I321" s="1624"/>
      <c r="J321" s="1624"/>
      <c r="K321" s="1722">
        <f t="shared" si="24"/>
        <v>456</v>
      </c>
      <c r="L321" s="1624">
        <v>1025</v>
      </c>
      <c r="M321" s="539"/>
      <c r="N321" s="539"/>
    </row>
    <row r="322" spans="1:14" s="548" customFormat="1" x14ac:dyDescent="0.2">
      <c r="A322" s="1334" t="s">
        <v>236</v>
      </c>
      <c r="B322" s="567" t="s">
        <v>282</v>
      </c>
      <c r="C322" s="1624"/>
      <c r="D322" s="1624"/>
      <c r="E322" s="1624">
        <v>60602</v>
      </c>
      <c r="F322" s="1624"/>
      <c r="G322" s="1624"/>
      <c r="H322" s="1624"/>
      <c r="I322" s="1624"/>
      <c r="J322" s="1624"/>
      <c r="K322" s="1722">
        <f t="shared" si="24"/>
        <v>60602</v>
      </c>
      <c r="L322" s="1624">
        <v>60785</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v>94102</v>
      </c>
      <c r="D325" s="1624">
        <v>8754</v>
      </c>
      <c r="E325" s="1624">
        <v>98065</v>
      </c>
      <c r="F325" s="1624">
        <v>309</v>
      </c>
      <c r="G325" s="1624"/>
      <c r="H325" s="1624"/>
      <c r="I325" s="1624">
        <v>14830</v>
      </c>
      <c r="J325" s="1624"/>
      <c r="K325" s="1722">
        <f t="shared" si="24"/>
        <v>216060</v>
      </c>
      <c r="L325" s="1624">
        <v>238155</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v>3886</v>
      </c>
      <c r="F327" s="1624"/>
      <c r="G327" s="1624"/>
      <c r="H327" s="1624"/>
      <c r="I327" s="1624"/>
      <c r="J327" s="1624"/>
      <c r="K327" s="1722">
        <f t="shared" si="24"/>
        <v>3886</v>
      </c>
      <c r="L327" s="1624">
        <v>5000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94102</v>
      </c>
      <c r="D330" s="1724">
        <f t="shared" ref="D330:J330" si="25">SUM(D319:D329)</f>
        <v>8754</v>
      </c>
      <c r="E330" s="1724">
        <f t="shared" si="25"/>
        <v>217449</v>
      </c>
      <c r="F330" s="1724">
        <f t="shared" si="25"/>
        <v>309</v>
      </c>
      <c r="G330" s="1724">
        <f t="shared" si="25"/>
        <v>0</v>
      </c>
      <c r="H330" s="1724">
        <f t="shared" si="25"/>
        <v>0</v>
      </c>
      <c r="I330" s="1724">
        <f t="shared" si="25"/>
        <v>14830</v>
      </c>
      <c r="J330" s="1724">
        <f t="shared" si="25"/>
        <v>0</v>
      </c>
      <c r="K330" s="1724">
        <f>SUM(K319:K329)</f>
        <v>335444</v>
      </c>
      <c r="L330" s="1724">
        <f>SUM(L319:L329)</f>
        <v>359565</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94102</v>
      </c>
      <c r="D342" s="1724">
        <f>SUM(D330)</f>
        <v>8754</v>
      </c>
      <c r="E342" s="1724">
        <f>SUM(E330)</f>
        <v>217449</v>
      </c>
      <c r="F342" s="1724">
        <f>SUM(F330)</f>
        <v>309</v>
      </c>
      <c r="G342" s="1724">
        <f>SUM(G330)</f>
        <v>0</v>
      </c>
      <c r="H342" s="1724">
        <f>SUM(H330,H334,H340)</f>
        <v>0</v>
      </c>
      <c r="I342" s="1724">
        <f>SUM(I330)</f>
        <v>14830</v>
      </c>
      <c r="J342" s="1724">
        <f>SUM(J330)</f>
        <v>0</v>
      </c>
      <c r="K342" s="1724">
        <f>SUM(K330,K334,K340)</f>
        <v>335444</v>
      </c>
      <c r="L342" s="1731">
        <f>SUM(L330,L334,L340,L341)</f>
        <v>359565</v>
      </c>
    </row>
    <row r="343" spans="1:14" ht="12.75" customHeight="1" thickTop="1" x14ac:dyDescent="0.2">
      <c r="A343" s="2227" t="s">
        <v>989</v>
      </c>
      <c r="B343" s="2228"/>
      <c r="C343" s="1723"/>
      <c r="D343" s="1723"/>
      <c r="E343" s="1723"/>
      <c r="F343" s="1723"/>
      <c r="G343" s="1723"/>
      <c r="H343" s="1723"/>
      <c r="I343" s="1723"/>
      <c r="J343" s="1723"/>
      <c r="K343" s="1739">
        <f>'Revenues 9-14'!J268-'Expenditures 15-22'!K342</f>
        <v>4351</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7" t="s">
        <v>960</v>
      </c>
      <c r="B345" s="2218"/>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v>239909</v>
      </c>
      <c r="H348" s="1623"/>
      <c r="I348" s="1624"/>
      <c r="J348" s="1624"/>
      <c r="K348" s="1722">
        <f>SUM(C348:J348)</f>
        <v>239909</v>
      </c>
      <c r="L348" s="1623">
        <v>250000</v>
      </c>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239909</v>
      </c>
      <c r="H350" s="1724">
        <f t="shared" si="26"/>
        <v>0</v>
      </c>
      <c r="I350" s="1724">
        <f t="shared" si="26"/>
        <v>0</v>
      </c>
      <c r="J350" s="1724">
        <f t="shared" si="26"/>
        <v>0</v>
      </c>
      <c r="K350" s="1724">
        <f t="shared" si="26"/>
        <v>239909</v>
      </c>
      <c r="L350" s="1724">
        <f t="shared" si="26"/>
        <v>250000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239909</v>
      </c>
      <c r="H352" s="1724">
        <f t="shared" si="27"/>
        <v>0</v>
      </c>
      <c r="I352" s="1724">
        <f t="shared" si="27"/>
        <v>0</v>
      </c>
      <c r="J352" s="1724">
        <f t="shared" si="27"/>
        <v>0</v>
      </c>
      <c r="K352" s="1724">
        <f t="shared" si="27"/>
        <v>239909</v>
      </c>
      <c r="L352" s="1724">
        <f t="shared" si="27"/>
        <v>250000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239909</v>
      </c>
      <c r="H367" s="1724">
        <f t="shared" si="28"/>
        <v>0</v>
      </c>
      <c r="I367" s="1724">
        <f t="shared" si="28"/>
        <v>0</v>
      </c>
      <c r="J367" s="1724">
        <f t="shared" si="28"/>
        <v>0</v>
      </c>
      <c r="K367" s="1724">
        <f t="shared" si="28"/>
        <v>239909</v>
      </c>
      <c r="L367" s="1724">
        <f t="shared" si="28"/>
        <v>250000</v>
      </c>
    </row>
    <row r="368" spans="1:14" ht="13.5" thickTop="1" x14ac:dyDescent="0.2">
      <c r="A368" s="2214" t="s">
        <v>989</v>
      </c>
      <c r="B368" s="2215"/>
      <c r="C368" s="1744"/>
      <c r="D368" s="1744"/>
      <c r="E368" s="1727"/>
      <c r="F368" s="1727"/>
      <c r="G368" s="1727"/>
      <c r="H368" s="1727"/>
      <c r="I368" s="1727"/>
      <c r="J368" s="1726"/>
      <c r="K368" s="1722">
        <f>'Revenues 9-14'!K268-'Expenditures 15-22'!K367</f>
        <v>-76309</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1"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2"/>
      <c r="B3" s="1339"/>
      <c r="C3" s="1340"/>
      <c r="D3" s="1341" t="s">
        <v>254</v>
      </c>
      <c r="E3" s="1340"/>
      <c r="F3" s="1341" t="s">
        <v>255</v>
      </c>
    </row>
    <row r="4" spans="1:8" ht="13.7" customHeight="1" x14ac:dyDescent="0.2">
      <c r="A4" s="579" t="s">
        <v>1147</v>
      </c>
      <c r="B4" s="1771">
        <f>'Revenues 9-14'!C5</f>
        <v>3859097</v>
      </c>
      <c r="C4" s="1772"/>
      <c r="D4" s="1773">
        <f>B4-C4</f>
        <v>3859097</v>
      </c>
      <c r="E4" s="1772">
        <v>4117724</v>
      </c>
      <c r="F4" s="1773">
        <f>E4-C4</f>
        <v>4117724</v>
      </c>
    </row>
    <row r="5" spans="1:8" ht="13.7" customHeight="1" x14ac:dyDescent="0.2">
      <c r="A5" s="579" t="s">
        <v>865</v>
      </c>
      <c r="B5" s="1774">
        <f>'Revenues 9-14'!D5</f>
        <v>538975</v>
      </c>
      <c r="C5" s="1714"/>
      <c r="D5" s="1775">
        <f t="shared" ref="D5:D18" si="0">B5-C5</f>
        <v>538975</v>
      </c>
      <c r="E5" s="1714">
        <v>575101</v>
      </c>
      <c r="F5" s="1775">
        <f>E5-C5</f>
        <v>575101</v>
      </c>
    </row>
    <row r="6" spans="1:8" ht="13.7" customHeight="1" x14ac:dyDescent="0.2">
      <c r="A6" s="579" t="s">
        <v>408</v>
      </c>
      <c r="B6" s="1774">
        <f>'Revenues 9-14'!E5</f>
        <v>996078</v>
      </c>
      <c r="C6" s="1714"/>
      <c r="D6" s="1775">
        <f t="shared" si="0"/>
        <v>996078</v>
      </c>
      <c r="E6" s="1714">
        <v>1054319</v>
      </c>
      <c r="F6" s="1775">
        <f t="shared" ref="F6:F18" si="1">E6-C6</f>
        <v>1054319</v>
      </c>
    </row>
    <row r="7" spans="1:8" ht="13.7" customHeight="1" x14ac:dyDescent="0.2">
      <c r="A7" s="579" t="s">
        <v>154</v>
      </c>
      <c r="B7" s="1774">
        <f>'Revenues 9-14'!F5</f>
        <v>258708</v>
      </c>
      <c r="C7" s="1714"/>
      <c r="D7" s="1775">
        <f t="shared" si="0"/>
        <v>258708</v>
      </c>
      <c r="E7" s="1714">
        <v>276049</v>
      </c>
      <c r="F7" s="1775">
        <f t="shared" si="1"/>
        <v>276049</v>
      </c>
    </row>
    <row r="8" spans="1:8" ht="13.7" customHeight="1" x14ac:dyDescent="0.2">
      <c r="A8" s="579" t="s">
        <v>1171</v>
      </c>
      <c r="B8" s="1774">
        <f>'Revenues 9-14'!G5</f>
        <v>71171</v>
      </c>
      <c r="C8" s="1714"/>
      <c r="D8" s="1775">
        <f t="shared" si="0"/>
        <v>71171</v>
      </c>
      <c r="E8" s="1714">
        <v>79916</v>
      </c>
      <c r="F8" s="1775">
        <f t="shared" si="1"/>
        <v>79916</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107795</v>
      </c>
      <c r="C10" s="1714"/>
      <c r="D10" s="1775">
        <f t="shared" si="0"/>
        <v>107795</v>
      </c>
      <c r="E10" s="1714">
        <v>115020</v>
      </c>
      <c r="F10" s="1775">
        <f t="shared" si="1"/>
        <v>115020</v>
      </c>
    </row>
    <row r="11" spans="1:8" x14ac:dyDescent="0.2">
      <c r="A11" s="579" t="s">
        <v>406</v>
      </c>
      <c r="B11" s="1774">
        <f>'Revenues 9-14'!J5</f>
        <v>249092</v>
      </c>
      <c r="C11" s="1714"/>
      <c r="D11" s="1775">
        <f t="shared" si="0"/>
        <v>249092</v>
      </c>
      <c r="E11" s="1714">
        <v>159809</v>
      </c>
      <c r="F11" s="1775">
        <f t="shared" si="1"/>
        <v>159809</v>
      </c>
    </row>
    <row r="12" spans="1:8" ht="13.7" customHeight="1" x14ac:dyDescent="0.2">
      <c r="A12" s="579" t="s">
        <v>156</v>
      </c>
      <c r="B12" s="1774">
        <f>'Revenues 9-14'!K5</f>
        <v>107795</v>
      </c>
      <c r="C12" s="1714"/>
      <c r="D12" s="1775">
        <f t="shared" si="0"/>
        <v>107795</v>
      </c>
      <c r="E12" s="1714">
        <v>115020</v>
      </c>
      <c r="F12" s="1775">
        <f t="shared" si="1"/>
        <v>115020</v>
      </c>
    </row>
    <row r="13" spans="1:8" ht="13.7" customHeight="1" x14ac:dyDescent="0.2">
      <c r="A13" s="579" t="s">
        <v>930</v>
      </c>
      <c r="B13" s="1774">
        <f>SUM('Revenues 9-14'!C6:D6)</f>
        <v>107795</v>
      </c>
      <c r="C13" s="1714"/>
      <c r="D13" s="1775">
        <f t="shared" si="0"/>
        <v>107795</v>
      </c>
      <c r="E13" s="1714">
        <v>115020</v>
      </c>
      <c r="F13" s="1775">
        <f t="shared" si="1"/>
        <v>115020</v>
      </c>
    </row>
    <row r="14" spans="1:8" ht="13.7" customHeight="1" x14ac:dyDescent="0.2">
      <c r="A14" s="579" t="s">
        <v>407</v>
      </c>
      <c r="B14" s="1774">
        <f>SUM('Revenues 9-14'!C7:D7,'Revenues 9-14'!F7:H7)</f>
        <v>43118</v>
      </c>
      <c r="C14" s="1714"/>
      <c r="D14" s="1775">
        <f t="shared" si="0"/>
        <v>43118</v>
      </c>
      <c r="E14" s="1714">
        <v>46008</v>
      </c>
      <c r="F14" s="1775">
        <f t="shared" si="1"/>
        <v>46008</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93457</v>
      </c>
      <c r="C16" s="1714"/>
      <c r="D16" s="1775">
        <f t="shared" si="0"/>
        <v>93457</v>
      </c>
      <c r="E16" s="1714">
        <v>213086</v>
      </c>
      <c r="F16" s="1775">
        <f t="shared" si="1"/>
        <v>213086</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6433081</v>
      </c>
      <c r="C19" s="1776">
        <f>SUM(C4:C18)</f>
        <v>0</v>
      </c>
      <c r="D19" s="1776">
        <f>SUM(D4:D18)</f>
        <v>6433081</v>
      </c>
      <c r="E19" s="1776">
        <f>SUM(E4:E18)</f>
        <v>6867072</v>
      </c>
      <c r="F19" s="1776">
        <f>SUM(F4:F18)</f>
        <v>6867072</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D33" sqref="D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3" t="s">
        <v>625</v>
      </c>
      <c r="B1" s="2261"/>
      <c r="C1" s="585"/>
    </row>
    <row r="2" spans="1:7" ht="33.75" x14ac:dyDescent="0.2">
      <c r="A2" s="2268" t="s">
        <v>1782</v>
      </c>
      <c r="B2" s="2269"/>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70" t="s">
        <v>1106</v>
      </c>
      <c r="B3" s="2271"/>
      <c r="C3" s="2264"/>
      <c r="D3" s="2265"/>
      <c r="E3" s="2265"/>
      <c r="F3" s="2266"/>
    </row>
    <row r="4" spans="1:7" ht="12.75" customHeight="1" thickBot="1" x14ac:dyDescent="0.25">
      <c r="A4" s="2258" t="s">
        <v>626</v>
      </c>
      <c r="B4" s="2259"/>
      <c r="C4" s="1706"/>
      <c r="D4" s="1706"/>
      <c r="E4" s="1706"/>
      <c r="F4" s="1782">
        <f>SUM(C4+D4)-E4</f>
        <v>0</v>
      </c>
    </row>
    <row r="5" spans="1:7" ht="15.75" customHeight="1" thickTop="1" x14ac:dyDescent="0.2">
      <c r="A5" s="2262" t="s">
        <v>1103</v>
      </c>
      <c r="B5" s="2257"/>
      <c r="C5" s="2251"/>
      <c r="D5" s="2252"/>
      <c r="E5" s="2252"/>
      <c r="F5" s="2253"/>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54" t="s">
        <v>627</v>
      </c>
      <c r="B15" s="2255"/>
      <c r="C15" s="1782">
        <f>SUM(C6:C14)</f>
        <v>0</v>
      </c>
      <c r="D15" s="1782">
        <f>SUM(D6:D14)</f>
        <v>0</v>
      </c>
      <c r="E15" s="1782">
        <f>SUM(E6:E14)</f>
        <v>0</v>
      </c>
      <c r="F15" s="1782">
        <f>SUM(F6:F14)</f>
        <v>0</v>
      </c>
      <c r="G15" s="473"/>
    </row>
    <row r="16" spans="1:7" s="197" customFormat="1" ht="15.75" customHeight="1" thickTop="1" x14ac:dyDescent="0.2">
      <c r="A16" s="2267" t="s">
        <v>1104</v>
      </c>
      <c r="B16" s="2257"/>
      <c r="C16" s="2251"/>
      <c r="D16" s="2252"/>
      <c r="E16" s="2252"/>
      <c r="F16" s="2253"/>
    </row>
    <row r="17" spans="1:11" ht="12.75" customHeight="1" thickBot="1" x14ac:dyDescent="0.25">
      <c r="A17" s="2249" t="s">
        <v>64</v>
      </c>
      <c r="B17" s="2250"/>
      <c r="C17" s="1783"/>
      <c r="D17" s="1714"/>
      <c r="E17" s="1783"/>
      <c r="F17" s="1782">
        <f>SUM(C17+D17)-E17</f>
        <v>0</v>
      </c>
    </row>
    <row r="18" spans="1:11" ht="12.75" customHeight="1" thickTop="1" thickBot="1" x14ac:dyDescent="0.25">
      <c r="A18" s="2249" t="s">
        <v>6</v>
      </c>
      <c r="B18" s="2250"/>
      <c r="C18" s="1783"/>
      <c r="D18" s="1714"/>
      <c r="E18" s="1783"/>
      <c r="F18" s="1782">
        <f>SUM(C18+D18)-E18</f>
        <v>0</v>
      </c>
    </row>
    <row r="19" spans="1:11" ht="12.75" customHeight="1" thickTop="1" thickBot="1" x14ac:dyDescent="0.25">
      <c r="A19" s="2249" t="s">
        <v>385</v>
      </c>
      <c r="B19" s="2250"/>
      <c r="C19" s="1783"/>
      <c r="D19" s="1714"/>
      <c r="E19" s="1783"/>
      <c r="F19" s="1782">
        <f>SUM(C19+D19)-E19</f>
        <v>0</v>
      </c>
    </row>
    <row r="20" spans="1:11" ht="12.75" customHeight="1" thickTop="1" thickBot="1" x14ac:dyDescent="0.25">
      <c r="A20" s="2249" t="s">
        <v>445</v>
      </c>
      <c r="B20" s="2250"/>
      <c r="C20" s="1783"/>
      <c r="D20" s="1714"/>
      <c r="E20" s="1783"/>
      <c r="F20" s="1782">
        <f>SUM(C20+D20)-E20</f>
        <v>0</v>
      </c>
    </row>
    <row r="21" spans="1:11" ht="14.25" thickTop="1" thickBot="1" x14ac:dyDescent="0.25">
      <c r="A21" s="2254" t="s">
        <v>628</v>
      </c>
      <c r="B21" s="2255"/>
      <c r="C21" s="1782">
        <f>SUM(C17:C20)</f>
        <v>0</v>
      </c>
      <c r="D21" s="1782">
        <f>SUM(D17:D20)</f>
        <v>0</v>
      </c>
      <c r="E21" s="1782">
        <f>SUM(E17:E20)</f>
        <v>0</v>
      </c>
      <c r="F21" s="1782">
        <f>SUM(F17:F20)</f>
        <v>0</v>
      </c>
      <c r="G21" s="473"/>
    </row>
    <row r="22" spans="1:11" ht="15.75" customHeight="1" thickTop="1" x14ac:dyDescent="0.2">
      <c r="A22" s="2256" t="s">
        <v>1105</v>
      </c>
      <c r="B22" s="2257"/>
      <c r="C22" s="2251"/>
      <c r="D22" s="2252"/>
      <c r="E22" s="2252"/>
      <c r="F22" s="2253"/>
    </row>
    <row r="23" spans="1:11" ht="13.5" thickBot="1" x14ac:dyDescent="0.25">
      <c r="A23" s="2258" t="s">
        <v>629</v>
      </c>
      <c r="B23" s="2259"/>
      <c r="C23" s="1706"/>
      <c r="D23" s="1706"/>
      <c r="E23" s="1706"/>
      <c r="F23" s="1782">
        <f>SUM(C23+D23)-E23</f>
        <v>0</v>
      </c>
      <c r="G23" s="473"/>
    </row>
    <row r="24" spans="1:11" ht="15.75" customHeight="1" thickTop="1" x14ac:dyDescent="0.2">
      <c r="A24" s="2256" t="s">
        <v>2009</v>
      </c>
      <c r="B24" s="2257"/>
      <c r="C24" s="2251"/>
      <c r="D24" s="2252"/>
      <c r="E24" s="2252"/>
      <c r="F24" s="2253"/>
    </row>
    <row r="25" spans="1:11" ht="13.5" thickBot="1" x14ac:dyDescent="0.25">
      <c r="A25" s="2258" t="s">
        <v>2010</v>
      </c>
      <c r="B25" s="2259"/>
      <c r="C25" s="1706"/>
      <c r="D25" s="1706"/>
      <c r="E25" s="1706"/>
      <c r="F25" s="1782">
        <f>SUM(C25+D25)-E25</f>
        <v>0</v>
      </c>
      <c r="G25" s="473"/>
    </row>
    <row r="26" spans="1:11" ht="15.75" customHeight="1" thickTop="1" x14ac:dyDescent="0.2">
      <c r="A26" s="2262" t="s">
        <v>652</v>
      </c>
      <c r="B26" s="2257"/>
      <c r="C26" s="589"/>
      <c r="D26" s="589"/>
      <c r="E26" s="589"/>
      <c r="F26" s="590"/>
    </row>
    <row r="27" spans="1:11" ht="13.5" thickBot="1" x14ac:dyDescent="0.25">
      <c r="A27" s="2254" t="s">
        <v>1063</v>
      </c>
      <c r="B27" s="2255"/>
      <c r="C27" s="1714"/>
      <c r="D27" s="1714"/>
      <c r="E27" s="1714"/>
      <c r="F27" s="1782">
        <f>SUM(C27+D27)-E27</f>
        <v>0</v>
      </c>
      <c r="G27" s="473"/>
    </row>
    <row r="28" spans="1:11" ht="7.5" customHeight="1" thickTop="1" x14ac:dyDescent="0.2">
      <c r="A28" s="489"/>
    </row>
    <row r="29" spans="1:11" ht="23.25" customHeight="1" x14ac:dyDescent="0.2">
      <c r="A29" s="2260" t="s">
        <v>578</v>
      </c>
      <c r="B29" s="2261"/>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2037</v>
      </c>
      <c r="B31" s="595">
        <v>42217</v>
      </c>
      <c r="C31" s="1784">
        <v>8450000</v>
      </c>
      <c r="D31" s="1785">
        <v>3</v>
      </c>
      <c r="E31" s="1784">
        <v>6715000</v>
      </c>
      <c r="F31" s="1784"/>
      <c r="G31" s="1784"/>
      <c r="H31" s="1784">
        <v>730000</v>
      </c>
      <c r="I31" s="1786">
        <f>((E31+F31)-H31)+G31</f>
        <v>5985000</v>
      </c>
      <c r="J31" s="1784">
        <v>4497029</v>
      </c>
      <c r="K31" s="596"/>
    </row>
    <row r="32" spans="1:11" ht="12" customHeight="1" x14ac:dyDescent="0.2">
      <c r="A32" s="594" t="s">
        <v>2036</v>
      </c>
      <c r="B32" s="595">
        <v>43811</v>
      </c>
      <c r="C32" s="1784">
        <v>13000000</v>
      </c>
      <c r="D32" s="1785">
        <v>6</v>
      </c>
      <c r="E32" s="1784"/>
      <c r="F32" s="1784">
        <v>13000000</v>
      </c>
      <c r="G32" s="1784"/>
      <c r="H32" s="1784"/>
      <c r="I32" s="1786">
        <f>((E32+F32)-H32)+G32</f>
        <v>13000000</v>
      </c>
      <c r="J32" s="1784">
        <v>13000000</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21450000</v>
      </c>
      <c r="D49" s="1792"/>
      <c r="E49" s="1786">
        <f t="shared" ref="E49:J49" si="2">SUM(E31:E48)</f>
        <v>6715000</v>
      </c>
      <c r="F49" s="1786">
        <f t="shared" si="2"/>
        <v>13000000</v>
      </c>
      <c r="G49" s="1786">
        <f t="shared" si="2"/>
        <v>0</v>
      </c>
      <c r="H49" s="1786">
        <f t="shared" si="2"/>
        <v>730000</v>
      </c>
      <c r="I49" s="1786">
        <f t="shared" si="2"/>
        <v>18985000</v>
      </c>
      <c r="J49" s="1786">
        <f t="shared" si="2"/>
        <v>17497029</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3" t="s">
        <v>580</v>
      </c>
      <c r="C52" s="2244"/>
      <c r="D52" s="2244"/>
      <c r="E52" s="603" t="s">
        <v>840</v>
      </c>
      <c r="F52" s="2245"/>
      <c r="G52" s="2246"/>
      <c r="H52" s="596"/>
      <c r="I52" s="596"/>
      <c r="J52" s="600"/>
    </row>
    <row r="53" spans="1:11" ht="11.25" customHeight="1" x14ac:dyDescent="0.2">
      <c r="A53" s="604" t="s">
        <v>907</v>
      </c>
      <c r="B53" s="605" t="s">
        <v>945</v>
      </c>
      <c r="C53" s="600"/>
      <c r="D53" s="597"/>
      <c r="E53" s="603" t="s">
        <v>494</v>
      </c>
      <c r="F53" s="2247"/>
      <c r="G53" s="2248"/>
      <c r="H53" s="596"/>
      <c r="I53" s="596"/>
      <c r="J53" s="600"/>
    </row>
    <row r="54" spans="1:11" ht="11.25" customHeight="1" x14ac:dyDescent="0.2">
      <c r="A54" s="606" t="s">
        <v>908</v>
      </c>
      <c r="B54" s="601" t="s">
        <v>946</v>
      </c>
      <c r="C54" s="600"/>
      <c r="D54" s="597"/>
      <c r="E54" s="603" t="s">
        <v>495</v>
      </c>
      <c r="F54" s="2247"/>
      <c r="G54" s="224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2" t="s">
        <v>851</v>
      </c>
      <c r="B1" s="2273"/>
      <c r="C1" s="2273"/>
      <c r="D1" s="2273"/>
      <c r="E1" s="2273"/>
      <c r="F1" s="2273"/>
      <c r="G1" s="2274"/>
      <c r="H1" s="1343"/>
      <c r="I1" s="614"/>
      <c r="J1" s="400"/>
    </row>
    <row r="2" spans="1:11" ht="26.25" x14ac:dyDescent="0.2">
      <c r="A2" s="2291" t="s">
        <v>1661</v>
      </c>
      <c r="B2" s="2292"/>
      <c r="C2" s="2292"/>
      <c r="D2" s="2292"/>
      <c r="E2" s="2293"/>
      <c r="F2" s="615" t="s">
        <v>898</v>
      </c>
      <c r="G2" s="616" t="s">
        <v>1658</v>
      </c>
      <c r="H2" s="616" t="s">
        <v>407</v>
      </c>
      <c r="I2" s="616" t="s">
        <v>1150</v>
      </c>
      <c r="J2" s="616" t="s">
        <v>1792</v>
      </c>
      <c r="K2" s="616" t="s">
        <v>137</v>
      </c>
    </row>
    <row r="3" spans="1:11" x14ac:dyDescent="0.2">
      <c r="A3" s="2294" t="str">
        <f>"Cash Basis Fund Balance as of July 1, "&amp;'AFR20'!E2-1</f>
        <v>Cash Basis Fund Balance as of July 1, 2019</v>
      </c>
      <c r="B3" s="2295"/>
      <c r="C3" s="2295"/>
      <c r="D3" s="2295"/>
      <c r="E3" s="2296"/>
      <c r="F3" s="617"/>
      <c r="G3" s="1794"/>
      <c r="H3" s="1794"/>
      <c r="I3" s="1794"/>
      <c r="J3" s="1795"/>
      <c r="K3" s="1795"/>
    </row>
    <row r="4" spans="1:11" x14ac:dyDescent="0.2">
      <c r="A4" s="2297" t="s">
        <v>366</v>
      </c>
      <c r="B4" s="2298"/>
      <c r="C4" s="2298"/>
      <c r="D4" s="2298"/>
      <c r="E4" s="2244"/>
      <c r="F4" s="620"/>
      <c r="G4" s="1796"/>
      <c r="H4" s="1797"/>
      <c r="I4" s="1796"/>
      <c r="J4" s="1798"/>
      <c r="K4" s="1798"/>
    </row>
    <row r="5" spans="1:11" x14ac:dyDescent="0.2">
      <c r="A5" s="2275" t="s">
        <v>1062</v>
      </c>
      <c r="B5" s="2276"/>
      <c r="C5" s="2276"/>
      <c r="D5" s="2276"/>
      <c r="E5" s="2277"/>
      <c r="F5" s="622" t="s">
        <v>843</v>
      </c>
      <c r="G5" s="1799"/>
      <c r="H5" s="1794">
        <v>43118</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275" t="s">
        <v>1793</v>
      </c>
      <c r="B10" s="2276"/>
      <c r="C10" s="2276"/>
      <c r="D10" s="2276"/>
      <c r="E10" s="2278"/>
      <c r="F10" s="633" t="s">
        <v>857</v>
      </c>
      <c r="G10" s="1803"/>
      <c r="H10" s="1804"/>
      <c r="I10" s="1794"/>
      <c r="J10" s="1795"/>
      <c r="K10" s="1795"/>
    </row>
    <row r="11" spans="1:11" x14ac:dyDescent="0.2">
      <c r="A11" s="2275" t="s">
        <v>159</v>
      </c>
      <c r="B11" s="2276"/>
      <c r="C11" s="2276"/>
      <c r="D11" s="2276"/>
      <c r="E11" s="2277"/>
      <c r="F11" s="622" t="s">
        <v>847</v>
      </c>
      <c r="G11" s="1799"/>
      <c r="H11" s="1794"/>
      <c r="I11" s="1794"/>
      <c r="J11" s="1795"/>
      <c r="K11" s="1801"/>
    </row>
    <row r="12" spans="1:11" ht="13.5" thickBot="1" x14ac:dyDescent="0.25">
      <c r="A12" s="2302" t="s">
        <v>899</v>
      </c>
      <c r="B12" s="2303"/>
      <c r="C12" s="2303"/>
      <c r="D12" s="2303"/>
      <c r="E12" s="2304"/>
      <c r="F12" s="1482"/>
      <c r="G12" s="1805">
        <f>SUM(G5:G11)</f>
        <v>0</v>
      </c>
      <c r="H12" s="1805">
        <f>SUM(H5:H11)</f>
        <v>43118</v>
      </c>
      <c r="I12" s="1805">
        <f>SUM(I5:I11)</f>
        <v>0</v>
      </c>
      <c r="J12" s="1805">
        <f>SUM(J5:J11)</f>
        <v>0</v>
      </c>
      <c r="K12" s="1805">
        <f>SUM(K5:K11)</f>
        <v>0</v>
      </c>
    </row>
    <row r="13" spans="1:11" ht="13.5" thickTop="1" x14ac:dyDescent="0.2">
      <c r="A13" s="2299" t="s">
        <v>367</v>
      </c>
      <c r="B13" s="2300"/>
      <c r="C13" s="2300"/>
      <c r="D13" s="2300"/>
      <c r="E13" s="2301"/>
      <c r="F13" s="634"/>
      <c r="G13" s="1806"/>
      <c r="H13" s="1807"/>
      <c r="I13" s="1808"/>
      <c r="J13" s="1808"/>
      <c r="K13" s="1808"/>
    </row>
    <row r="14" spans="1:11" x14ac:dyDescent="0.2">
      <c r="A14" s="2282" t="s">
        <v>453</v>
      </c>
      <c r="B14" s="2282"/>
      <c r="C14" s="2282"/>
      <c r="D14" s="2282"/>
      <c r="E14" s="2283"/>
      <c r="F14" s="635" t="s">
        <v>849</v>
      </c>
      <c r="G14" s="1803"/>
      <c r="H14" s="1794">
        <v>43118</v>
      </c>
      <c r="I14" s="1799"/>
      <c r="J14" s="1801"/>
      <c r="K14" s="1795"/>
    </row>
    <row r="15" spans="1:11" x14ac:dyDescent="0.2">
      <c r="A15" s="2276" t="s">
        <v>4</v>
      </c>
      <c r="B15" s="2276"/>
      <c r="C15" s="2276"/>
      <c r="D15" s="2276"/>
      <c r="E15" s="2277"/>
      <c r="F15" s="635" t="s">
        <v>850</v>
      </c>
      <c r="G15" s="1799"/>
      <c r="H15" s="1794"/>
      <c r="I15" s="1794"/>
      <c r="J15" s="1795"/>
      <c r="K15" s="1795"/>
    </row>
    <row r="16" spans="1:11" x14ac:dyDescent="0.2">
      <c r="A16" s="2276" t="s">
        <v>295</v>
      </c>
      <c r="B16" s="2276"/>
      <c r="C16" s="2276"/>
      <c r="D16" s="2276"/>
      <c r="E16" s="2277"/>
      <c r="F16" s="635" t="s">
        <v>917</v>
      </c>
      <c r="G16" s="1800"/>
      <c r="H16" s="1796"/>
      <c r="I16" s="1796"/>
      <c r="J16" s="1798"/>
      <c r="K16" s="1798"/>
    </row>
    <row r="17" spans="1:15" x14ac:dyDescent="0.2">
      <c r="A17" s="2309" t="s">
        <v>929</v>
      </c>
      <c r="B17" s="2309"/>
      <c r="C17" s="2309"/>
      <c r="D17" s="2309"/>
      <c r="E17" s="2310"/>
      <c r="F17" s="636"/>
      <c r="G17" s="1809"/>
      <c r="H17" s="1810"/>
      <c r="I17" s="1810"/>
      <c r="J17" s="1811"/>
      <c r="K17" s="1812"/>
    </row>
    <row r="18" spans="1:15" x14ac:dyDescent="0.2">
      <c r="A18" s="2286" t="s">
        <v>365</v>
      </c>
      <c r="B18" s="2287"/>
      <c r="C18" s="2287"/>
      <c r="D18" s="2287"/>
      <c r="E18" s="2288"/>
      <c r="F18" s="635" t="s">
        <v>926</v>
      </c>
      <c r="G18" s="1803"/>
      <c r="H18" s="1803"/>
      <c r="I18" s="1803"/>
      <c r="J18" s="1795"/>
      <c r="K18" s="1813"/>
    </row>
    <row r="19" spans="1:15" ht="21.75" customHeight="1" x14ac:dyDescent="0.2">
      <c r="A19" s="2284" t="s">
        <v>1789</v>
      </c>
      <c r="B19" s="2284"/>
      <c r="C19" s="2284"/>
      <c r="D19" s="2284"/>
      <c r="E19" s="2285"/>
      <c r="F19" s="635" t="s">
        <v>927</v>
      </c>
      <c r="G19" s="1803"/>
      <c r="H19" s="1803"/>
      <c r="I19" s="1803"/>
      <c r="J19" s="1795"/>
      <c r="K19" s="1813"/>
    </row>
    <row r="20" spans="1:15" x14ac:dyDescent="0.2">
      <c r="A20" s="2286" t="s">
        <v>1794</v>
      </c>
      <c r="B20" s="2287"/>
      <c r="C20" s="2287"/>
      <c r="D20" s="2287"/>
      <c r="E20" s="2288"/>
      <c r="F20" s="635" t="s">
        <v>928</v>
      </c>
      <c r="G20" s="1803"/>
      <c r="H20" s="1803"/>
      <c r="I20" s="1803"/>
      <c r="J20" s="1795"/>
      <c r="K20" s="1813"/>
    </row>
    <row r="21" spans="1:15" ht="13.5" thickBot="1" x14ac:dyDescent="0.25">
      <c r="A21" s="2305" t="s">
        <v>633</v>
      </c>
      <c r="B21" s="2305"/>
      <c r="C21" s="2305"/>
      <c r="D21" s="2305"/>
      <c r="E21" s="2305"/>
      <c r="F21" s="1483"/>
      <c r="G21" s="1810"/>
      <c r="H21" s="1814"/>
      <c r="I21" s="1814"/>
      <c r="J21" s="1815">
        <f>SUM(J18:J20)</f>
        <v>0</v>
      </c>
      <c r="K21" s="1811"/>
    </row>
    <row r="22" spans="1:15" ht="13.5" thickTop="1" x14ac:dyDescent="0.2">
      <c r="A22" s="2276" t="s">
        <v>1795</v>
      </c>
      <c r="B22" s="2276"/>
      <c r="C22" s="2276"/>
      <c r="D22" s="2276"/>
      <c r="E22" s="2277"/>
      <c r="F22" s="635" t="s">
        <v>857</v>
      </c>
      <c r="G22" s="1803"/>
      <c r="H22" s="1794"/>
      <c r="I22" s="1794"/>
      <c r="J22" s="1816"/>
      <c r="K22" s="1795"/>
    </row>
    <row r="23" spans="1:15" ht="13.5" thickBot="1" x14ac:dyDescent="0.25">
      <c r="A23" s="2306" t="s">
        <v>900</v>
      </c>
      <c r="B23" s="2305"/>
      <c r="C23" s="2305"/>
      <c r="D23" s="2305"/>
      <c r="E23" s="2305"/>
      <c r="F23" s="1485"/>
      <c r="G23" s="1805">
        <f>SUM(G14:G16,G21,G22)</f>
        <v>0</v>
      </c>
      <c r="H23" s="1805">
        <f>SUM(H14:H16,H21,H22)</f>
        <v>43118</v>
      </c>
      <c r="I23" s="1805">
        <f>SUM(I14:I16,I21,I22)</f>
        <v>0</v>
      </c>
      <c r="J23" s="1805">
        <f>SUM(J14:J16,J21,J22)</f>
        <v>0</v>
      </c>
      <c r="K23" s="1805">
        <f>SUM(K14:K16,K21,K22)</f>
        <v>0</v>
      </c>
      <c r="M23" s="1904"/>
      <c r="N23" s="1904"/>
      <c r="O23" s="1904"/>
    </row>
    <row r="24" spans="1:15" ht="14.25" thickTop="1" thickBot="1" x14ac:dyDescent="0.25">
      <c r="A24" s="2307" t="str">
        <f>"Ending Cash Basis Fund Balance as of June 30, "&amp;'AFR20'!E2</f>
        <v>Ending Cash Basis Fund Balance as of June 30, 2020</v>
      </c>
      <c r="B24" s="2308"/>
      <c r="C24" s="2308"/>
      <c r="D24" s="2308"/>
      <c r="E24" s="2308"/>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79"/>
      <c r="I31" s="2280"/>
      <c r="J31" s="2280"/>
      <c r="K31" s="2280"/>
    </row>
    <row r="32" spans="1:15" x14ac:dyDescent="0.2">
      <c r="A32" s="649"/>
      <c r="B32" s="232"/>
      <c r="C32" s="232"/>
      <c r="D32" s="232"/>
      <c r="E32" s="645"/>
      <c r="F32" s="651" t="s">
        <v>537</v>
      </c>
      <c r="G32" s="618"/>
      <c r="H32" s="2281"/>
      <c r="I32" s="2280"/>
      <c r="J32" s="2280"/>
      <c r="K32" s="2280"/>
    </row>
    <row r="33" spans="1:11" ht="1.5" customHeight="1" x14ac:dyDescent="0.2">
      <c r="A33" s="652" t="s">
        <v>1161</v>
      </c>
      <c r="B33" s="341"/>
      <c r="C33" s="341"/>
      <c r="D33" s="341"/>
      <c r="E33" s="341"/>
      <c r="F33" s="341"/>
      <c r="G33" s="653"/>
      <c r="H33" s="2281"/>
      <c r="I33" s="2280"/>
      <c r="J33" s="2280"/>
      <c r="K33" s="228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6" t="s">
        <v>538</v>
      </c>
      <c r="B41" s="2289"/>
      <c r="C41" s="2289"/>
      <c r="D41" s="2289"/>
      <c r="E41" s="2289"/>
      <c r="F41" s="22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1878</v>
      </c>
      <c r="B1" s="2314"/>
      <c r="C1" s="2315"/>
      <c r="D1" s="666"/>
      <c r="E1" s="667"/>
      <c r="F1" s="667"/>
      <c r="G1" s="668"/>
      <c r="H1" s="669"/>
      <c r="I1" s="670"/>
      <c r="J1" s="2311"/>
      <c r="K1" s="2312"/>
      <c r="L1" s="2312"/>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510156</v>
      </c>
      <c r="D5" s="1820"/>
      <c r="E5" s="1820"/>
      <c r="F5" s="1815">
        <f>(C5+D5)-E5</f>
        <v>510156</v>
      </c>
      <c r="G5" s="676"/>
      <c r="H5" s="680"/>
      <c r="I5" s="680"/>
      <c r="J5" s="680"/>
      <c r="K5" s="637"/>
      <c r="L5" s="1491">
        <f>F5-K5</f>
        <v>510156</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17917136</v>
      </c>
      <c r="D8" s="1821"/>
      <c r="E8" s="1821"/>
      <c r="F8" s="1815">
        <f>(C8+D8)-E8</f>
        <v>17917136</v>
      </c>
      <c r="G8" s="681">
        <v>50</v>
      </c>
      <c r="H8" s="619">
        <v>6012237</v>
      </c>
      <c r="I8" s="619">
        <v>347542</v>
      </c>
      <c r="J8" s="619"/>
      <c r="K8" s="1491">
        <f>(H8+I8)-J8</f>
        <v>6359779</v>
      </c>
      <c r="L8" s="1491">
        <f>F8-K8</f>
        <v>11557357</v>
      </c>
    </row>
    <row r="9" spans="1:14" ht="14.25" thickTop="1" thickBot="1" x14ac:dyDescent="0.25">
      <c r="A9" s="629" t="s">
        <v>1111</v>
      </c>
      <c r="B9" s="679">
        <v>232</v>
      </c>
      <c r="C9" s="1795">
        <v>1624862</v>
      </c>
      <c r="D9" s="1795"/>
      <c r="E9" s="1795"/>
      <c r="F9" s="1815">
        <f>(C9+D9)-E9</f>
        <v>1624862</v>
      </c>
      <c r="G9" s="681">
        <v>20</v>
      </c>
      <c r="H9" s="619">
        <v>558388</v>
      </c>
      <c r="I9" s="619">
        <v>79876</v>
      </c>
      <c r="J9" s="619"/>
      <c r="K9" s="1491">
        <f>(H9+I9)-J9</f>
        <v>638264</v>
      </c>
      <c r="L9" s="1491">
        <f>F9-K9</f>
        <v>986598</v>
      </c>
    </row>
    <row r="10" spans="1:14" ht="24" thickTop="1" thickBot="1" x14ac:dyDescent="0.25">
      <c r="A10" s="682" t="s">
        <v>1112</v>
      </c>
      <c r="B10" s="679">
        <v>240</v>
      </c>
      <c r="C10" s="1822">
        <v>116608</v>
      </c>
      <c r="D10" s="1822">
        <v>196280</v>
      </c>
      <c r="E10" s="1822"/>
      <c r="F10" s="1823">
        <f>(C10+D10)-E10</f>
        <v>312888</v>
      </c>
      <c r="G10" s="681">
        <v>20</v>
      </c>
      <c r="H10" s="683">
        <v>61066</v>
      </c>
      <c r="I10" s="683">
        <v>10480</v>
      </c>
      <c r="J10" s="683"/>
      <c r="K10" s="1491">
        <f>(H10+I10)-J10</f>
        <v>71546</v>
      </c>
      <c r="L10" s="1491">
        <f>F10-K10</f>
        <v>241342</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1419919</v>
      </c>
      <c r="D12" s="1821">
        <v>26463</v>
      </c>
      <c r="E12" s="1821"/>
      <c r="F12" s="1815">
        <f>(C12+D12)-E12</f>
        <v>1446382</v>
      </c>
      <c r="G12" s="681">
        <v>10</v>
      </c>
      <c r="H12" s="619">
        <v>1354418</v>
      </c>
      <c r="I12" s="619">
        <v>34282</v>
      </c>
      <c r="J12" s="619"/>
      <c r="K12" s="1491">
        <f>(H12+I12)-J12</f>
        <v>1388700</v>
      </c>
      <c r="L12" s="1491">
        <f>F12-K12</f>
        <v>57682</v>
      </c>
    </row>
    <row r="13" spans="1:14" ht="14.25" thickTop="1" thickBot="1" x14ac:dyDescent="0.25">
      <c r="A13" s="684" t="s">
        <v>1114</v>
      </c>
      <c r="B13" s="679">
        <v>252</v>
      </c>
      <c r="C13" s="1821">
        <v>361406</v>
      </c>
      <c r="D13" s="1821">
        <v>279058</v>
      </c>
      <c r="E13" s="1821">
        <v>44542</v>
      </c>
      <c r="F13" s="1815">
        <f>(C13+D13)-E13</f>
        <v>595922</v>
      </c>
      <c r="G13" s="681">
        <v>5</v>
      </c>
      <c r="H13" s="619">
        <v>282590</v>
      </c>
      <c r="I13" s="619">
        <v>116590</v>
      </c>
      <c r="J13" s="619">
        <v>44542</v>
      </c>
      <c r="K13" s="1491">
        <f>(H13+I13)-J13</f>
        <v>354638</v>
      </c>
      <c r="L13" s="1491">
        <f>F13-K13</f>
        <v>241284</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v>250498</v>
      </c>
      <c r="D15" s="1821">
        <v>7218904</v>
      </c>
      <c r="E15" s="1821"/>
      <c r="F15" s="1815">
        <f>(C15+D15)-E15</f>
        <v>7469402</v>
      </c>
      <c r="G15" s="685" t="s">
        <v>857</v>
      </c>
      <c r="H15" s="632"/>
      <c r="I15" s="632"/>
      <c r="J15" s="632"/>
      <c r="K15" s="632"/>
      <c r="L15" s="1491">
        <f>F15-K15</f>
        <v>7469402</v>
      </c>
    </row>
    <row r="16" spans="1:14" ht="15" customHeight="1" thickTop="1" thickBot="1" x14ac:dyDescent="0.25">
      <c r="A16" s="1487" t="s">
        <v>638</v>
      </c>
      <c r="B16" s="1488">
        <v>200</v>
      </c>
      <c r="C16" s="1815">
        <f>SUM(C3,C5:C6,C8:C10,C12:C15)</f>
        <v>22200585</v>
      </c>
      <c r="D16" s="1815">
        <f>SUM(D3,D5:D6,D8:D10,D12:D15)</f>
        <v>7720705</v>
      </c>
      <c r="E16" s="1815">
        <f>SUM(E3,E5:E6,E8:E10,E12:E15)</f>
        <v>44542</v>
      </c>
      <c r="F16" s="1815">
        <f>SUM(F3,F5:F6,F8:F10,F12:F15)</f>
        <v>29876748</v>
      </c>
      <c r="G16" s="681"/>
      <c r="H16" s="1484">
        <f>SUM(H3,H6,H8:H10,H12:H14,)</f>
        <v>8268699</v>
      </c>
      <c r="I16" s="1484">
        <f>SUM(I3,I6,I8:I10,I12:I14,)</f>
        <v>588770</v>
      </c>
      <c r="J16" s="1484">
        <f>SUM(J3,J6,J8:J10,J12:J14,)</f>
        <v>44542</v>
      </c>
      <c r="K16" s="1484">
        <f>(H16+I16)-J16</f>
        <v>8812927</v>
      </c>
      <c r="L16" s="1484">
        <f>F16-K16</f>
        <v>21063821</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144859</v>
      </c>
      <c r="G17" s="676">
        <v>10</v>
      </c>
      <c r="H17" s="621"/>
      <c r="I17" s="1491">
        <f>F17/G17</f>
        <v>14485.9</v>
      </c>
      <c r="J17" s="621"/>
      <c r="K17" s="638"/>
      <c r="L17" s="638"/>
    </row>
    <row r="18" spans="1:12" ht="14.25" thickTop="1" thickBot="1" x14ac:dyDescent="0.25">
      <c r="A18" s="1489" t="s">
        <v>680</v>
      </c>
      <c r="B18" s="1490"/>
      <c r="C18" s="623"/>
      <c r="D18" s="623"/>
      <c r="E18" s="623"/>
      <c r="F18" s="686"/>
      <c r="G18" s="687"/>
      <c r="H18" s="624"/>
      <c r="I18" s="1484">
        <f>SUM(I16,I17)</f>
        <v>603255.9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0"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474</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5"/>
      <c r="B5" s="2326"/>
      <c r="C5" s="2326"/>
      <c r="D5" s="2326"/>
      <c r="E5" s="2326"/>
      <c r="F5" s="2326"/>
    </row>
    <row r="6" spans="1:9" ht="13.5" customHeight="1" thickBot="1" x14ac:dyDescent="0.25">
      <c r="A6" s="2316" t="s">
        <v>1097</v>
      </c>
      <c r="B6" s="2317"/>
      <c r="C6" s="2317"/>
      <c r="D6" s="2317"/>
      <c r="E6" s="2317"/>
      <c r="F6" s="231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6134455</v>
      </c>
      <c r="G8" s="701"/>
    </row>
    <row r="9" spans="1:9" x14ac:dyDescent="0.2">
      <c r="A9" s="705" t="s">
        <v>457</v>
      </c>
      <c r="B9" s="706" t="s">
        <v>1851</v>
      </c>
      <c r="C9" s="707"/>
      <c r="D9" s="705" t="s">
        <v>498</v>
      </c>
      <c r="E9" s="704"/>
      <c r="F9" s="1825">
        <f>'Expenditures 15-22'!K151</f>
        <v>477244</v>
      </c>
      <c r="G9" s="708"/>
    </row>
    <row r="10" spans="1:9" x14ac:dyDescent="0.2">
      <c r="A10" s="705" t="s">
        <v>496</v>
      </c>
      <c r="B10" s="706" t="s">
        <v>1852</v>
      </c>
      <c r="C10" s="707"/>
      <c r="D10" s="705" t="s">
        <v>498</v>
      </c>
      <c r="E10" s="704"/>
      <c r="F10" s="1825">
        <f>'Expenditures 15-22'!K174</f>
        <v>999050</v>
      </c>
      <c r="G10" s="708"/>
    </row>
    <row r="11" spans="1:9" x14ac:dyDescent="0.2">
      <c r="A11" s="705" t="s">
        <v>458</v>
      </c>
      <c r="B11" s="706" t="s">
        <v>1853</v>
      </c>
      <c r="C11" s="707"/>
      <c r="D11" s="705" t="s">
        <v>498</v>
      </c>
      <c r="E11" s="704"/>
      <c r="F11" s="1825">
        <f>'Expenditures 15-22'!K210</f>
        <v>1786659</v>
      </c>
      <c r="G11" s="708"/>
    </row>
    <row r="12" spans="1:9" x14ac:dyDescent="0.2">
      <c r="A12" s="705" t="s">
        <v>459</v>
      </c>
      <c r="B12" s="706" t="s">
        <v>1854</v>
      </c>
      <c r="C12" s="707"/>
      <c r="D12" s="705" t="s">
        <v>498</v>
      </c>
      <c r="E12" s="704"/>
      <c r="F12" s="1825">
        <f>'Expenditures 15-22'!K295</f>
        <v>330041</v>
      </c>
      <c r="G12" s="708"/>
    </row>
    <row r="13" spans="1:9" x14ac:dyDescent="0.2">
      <c r="A13" s="705" t="s">
        <v>106</v>
      </c>
      <c r="B13" s="706" t="s">
        <v>1855</v>
      </c>
      <c r="C13" s="707"/>
      <c r="D13" s="705" t="s">
        <v>498</v>
      </c>
      <c r="E13" s="704"/>
      <c r="F13" s="1825">
        <f>'Expenditures 15-22'!K342</f>
        <v>335444</v>
      </c>
      <c r="G13" s="709"/>
    </row>
    <row r="14" spans="1:9" ht="12" customHeight="1" thickBot="1" x14ac:dyDescent="0.25">
      <c r="A14" s="1492"/>
      <c r="B14" s="1493"/>
      <c r="C14" s="1494"/>
      <c r="D14" s="1495" t="s">
        <v>498</v>
      </c>
      <c r="E14" s="1496" t="s">
        <v>952</v>
      </c>
      <c r="F14" s="1826">
        <f>SUM(F8:F13)</f>
        <v>10062893</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468209</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670083</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126579</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48858</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156648</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11048</v>
      </c>
      <c r="G52" s="701"/>
    </row>
    <row r="53" spans="1:7" x14ac:dyDescent="0.2">
      <c r="A53" s="705" t="s">
        <v>456</v>
      </c>
      <c r="B53" s="705" t="s">
        <v>1461</v>
      </c>
      <c r="C53" s="724">
        <f>'Expenditures 15-22'!B102</f>
        <v>4000</v>
      </c>
      <c r="D53" s="723" t="str">
        <f>'Expenditures 15-22'!A102</f>
        <v>Total Payments to Other Govt Units</v>
      </c>
      <c r="E53" s="704"/>
      <c r="F53" s="1832">
        <f>'Expenditures 15-22'!K102</f>
        <v>491422</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118634</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25804</v>
      </c>
      <c r="G58" s="701"/>
    </row>
    <row r="59" spans="1:7" x14ac:dyDescent="0.2">
      <c r="A59" s="728" t="s">
        <v>457</v>
      </c>
      <c r="B59" s="692" t="s">
        <v>1858</v>
      </c>
      <c r="C59" s="729" t="s">
        <v>975</v>
      </c>
      <c r="D59" s="692" t="s">
        <v>288</v>
      </c>
      <c r="F59" s="1835">
        <f>'Expenditures 15-22'!I151</f>
        <v>6639</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730000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545352</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6004</v>
      </c>
      <c r="G67" s="701"/>
    </row>
    <row r="68" spans="1:9" x14ac:dyDescent="0.2">
      <c r="A68" s="705" t="s">
        <v>459</v>
      </c>
      <c r="B68" s="705" t="s">
        <v>1465</v>
      </c>
      <c r="C68" s="721" t="str">
        <f>'Expenditures 15-22'!B218</f>
        <v>1225</v>
      </c>
      <c r="D68" s="727" t="str">
        <f>'Expenditures 15-22'!A218</f>
        <v>Special Education Programs - Pre-K</v>
      </c>
      <c r="E68" s="704"/>
      <c r="F68" s="1832">
        <f>'Expenditures 15-22'!K218</f>
        <v>2800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14830</v>
      </c>
      <c r="G76" s="703"/>
    </row>
    <row r="77" spans="1:9" ht="12" thickBot="1" x14ac:dyDescent="0.25">
      <c r="A77" s="1492"/>
      <c r="B77" s="1497"/>
      <c r="C77" s="1494"/>
      <c r="D77" s="1498" t="s">
        <v>2014</v>
      </c>
      <c r="E77" s="1496" t="s">
        <v>952</v>
      </c>
      <c r="F77" s="1837">
        <f>SUM(F18:F76)</f>
        <v>3422910</v>
      </c>
      <c r="G77" s="701"/>
    </row>
    <row r="78" spans="1:9" s="728" customFormat="1" ht="12" customHeight="1" thickTop="1" thickBot="1" x14ac:dyDescent="0.25">
      <c r="A78" s="1499"/>
      <c r="B78" s="1497"/>
      <c r="C78" s="1494"/>
      <c r="D78" s="1498" t="s">
        <v>2015</v>
      </c>
      <c r="E78" s="1496"/>
      <c r="F78" s="1838">
        <f>(F14-F77)</f>
        <v>6639983</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719.5</v>
      </c>
      <c r="G79" s="733"/>
      <c r="H79" s="705"/>
      <c r="I79" s="705"/>
    </row>
    <row r="80" spans="1:9" s="728" customFormat="1" ht="12" customHeight="1" thickBot="1" x14ac:dyDescent="0.25">
      <c r="A80" s="1501"/>
      <c r="B80" s="1497"/>
      <c r="C80" s="1494"/>
      <c r="D80" s="1498" t="s">
        <v>2016</v>
      </c>
      <c r="E80" s="1496" t="s">
        <v>952</v>
      </c>
      <c r="F80" s="1840">
        <f>IF(F79&gt;0,F78/F79," Complete Line 79")</f>
        <v>9228.6073662265462</v>
      </c>
      <c r="G80" s="705"/>
    </row>
    <row r="81" spans="1:7" s="728" customFormat="1" ht="8.25" customHeight="1" thickTop="1" x14ac:dyDescent="0.2">
      <c r="A81" s="734"/>
      <c r="B81" s="705"/>
      <c r="C81" s="707"/>
      <c r="D81" s="735"/>
      <c r="E81" s="704"/>
      <c r="F81" s="1841"/>
      <c r="G81" s="705"/>
    </row>
    <row r="82" spans="1:7" s="728" customFormat="1" ht="12" thickBot="1" x14ac:dyDescent="0.25">
      <c r="A82" s="2316" t="s">
        <v>1098</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13083</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46402</v>
      </c>
      <c r="G95" s="745"/>
    </row>
    <row r="96" spans="1:7" x14ac:dyDescent="0.2">
      <c r="A96" s="741" t="s">
        <v>139</v>
      </c>
      <c r="B96" s="741" t="s">
        <v>174</v>
      </c>
      <c r="C96" s="743">
        <v>1700</v>
      </c>
      <c r="D96" s="751" t="str">
        <f>'Revenues 9-14'!A82</f>
        <v>Total District/School Activity Income</v>
      </c>
      <c r="E96" s="739"/>
      <c r="F96" s="1843">
        <f>SUM('Revenues 9-14'!C82,'Revenues 9-14'!D82)</f>
        <v>42987</v>
      </c>
      <c r="G96" s="745"/>
    </row>
    <row r="97" spans="1:7" x14ac:dyDescent="0.2">
      <c r="A97" s="741" t="s">
        <v>456</v>
      </c>
      <c r="B97" s="741" t="s">
        <v>175</v>
      </c>
      <c r="C97" s="743">
        <f>'Revenues 9-14'!B84</f>
        <v>1811</v>
      </c>
      <c r="D97" s="744" t="str">
        <f>'Revenues 9-14'!A84</f>
        <v>Rentals - Regular Textbooks</v>
      </c>
      <c r="E97" s="739"/>
      <c r="F97" s="1843">
        <f>'Revenues 9-14'!C84</f>
        <v>67925</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1588</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40034</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106896</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113912</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902</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204729</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65195</v>
      </c>
      <c r="G126" s="763"/>
    </row>
    <row r="127" spans="1:7" x14ac:dyDescent="0.2">
      <c r="A127" s="760" t="s">
        <v>663</v>
      </c>
      <c r="B127" s="760" t="s">
        <v>1934</v>
      </c>
      <c r="C127" s="765">
        <v>4300</v>
      </c>
      <c r="D127" s="766" t="str">
        <f>'Revenues 9-14'!A204</f>
        <v>Total Title I</v>
      </c>
      <c r="E127" s="739"/>
      <c r="F127" s="1843">
        <f>SUM('Revenues 9-14'!C204,'Revenues 9-14'!D204,'Revenues 9-14'!F204,'Revenues 9-14'!G204)</f>
        <v>81100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13886</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83745</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3355</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5629</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18129</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22008</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7504</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2072</v>
      </c>
      <c r="G171" s="760"/>
    </row>
    <row r="172" spans="1:7" x14ac:dyDescent="0.2">
      <c r="A172" s="1579" t="s">
        <v>5</v>
      </c>
      <c r="B172" s="1580" t="s">
        <v>1888</v>
      </c>
      <c r="C172" s="1581">
        <v>3100</v>
      </c>
      <c r="D172" s="1582" t="s">
        <v>1890</v>
      </c>
      <c r="E172" s="739"/>
      <c r="F172" s="1844">
        <v>0</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941831</v>
      </c>
    </row>
    <row r="176" spans="1:7" ht="12" customHeight="1" x14ac:dyDescent="0.2">
      <c r="A176" s="1492"/>
      <c r="B176" s="1502"/>
      <c r="C176" s="1503"/>
      <c r="D176" s="1504" t="s">
        <v>2017</v>
      </c>
      <c r="E176" s="1505"/>
      <c r="F176" s="1843">
        <f>'PCTC-OEPP 27-28'!F78-F175</f>
        <v>5698152</v>
      </c>
    </row>
    <row r="177" spans="1:9" ht="12" customHeight="1" x14ac:dyDescent="0.2">
      <c r="A177" s="1492"/>
      <c r="B177" s="1502"/>
      <c r="C177" s="1503"/>
      <c r="D177" s="1504" t="s">
        <v>1797</v>
      </c>
      <c r="E177" s="1505"/>
      <c r="F177" s="1843">
        <f>'Cap Outlay Deprec 26'!I18</f>
        <v>603255.9</v>
      </c>
    </row>
    <row r="178" spans="1:9" ht="12" customHeight="1" x14ac:dyDescent="0.2">
      <c r="A178" s="1492"/>
      <c r="B178" s="1502"/>
      <c r="C178" s="1503"/>
      <c r="D178" s="1504" t="s">
        <v>2018</v>
      </c>
      <c r="E178" s="1505"/>
      <c r="F178" s="1843">
        <f>F176+F177</f>
        <v>6301407.9000000004</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719.5</v>
      </c>
      <c r="G179" s="763"/>
      <c r="I179" s="701"/>
    </row>
    <row r="180" spans="1:9" ht="12" customHeight="1" thickBot="1" x14ac:dyDescent="0.25">
      <c r="A180" s="1492"/>
      <c r="B180" s="1506"/>
      <c r="C180" s="1503"/>
      <c r="D180" s="1504" t="s">
        <v>2020</v>
      </c>
      <c r="E180" s="1505" t="s">
        <v>1531</v>
      </c>
      <c r="F180" s="1848">
        <f>F178/F179</f>
        <v>8758.037387074357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142"/>
  <sheetViews>
    <sheetView showGridLines="0" topLeftCell="A13" zoomScaleNormal="100" workbookViewId="0">
      <selection activeCell="A25" sqref="A25"/>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330" t="s">
        <v>1798</v>
      </c>
      <c r="B4" s="2331"/>
      <c r="C4" s="2331"/>
      <c r="D4" s="2331"/>
      <c r="E4" s="2331"/>
      <c r="F4" s="2332"/>
    </row>
    <row r="5" spans="1:6" x14ac:dyDescent="0.25">
      <c r="A5" s="2333"/>
      <c r="B5" s="2334"/>
      <c r="C5" s="2334"/>
      <c r="D5" s="2334"/>
      <c r="E5" s="2334"/>
      <c r="F5" s="2335"/>
    </row>
    <row r="6" spans="1:6" ht="18.75" x14ac:dyDescent="0.25">
      <c r="A6" s="1930" t="s">
        <v>1799</v>
      </c>
      <c r="B6" s="1931"/>
      <c r="C6" s="1932"/>
      <c r="D6" s="1932"/>
      <c r="E6" s="1932"/>
      <c r="F6" s="1933"/>
    </row>
    <row r="7" spans="1:6" ht="47.25" customHeight="1" x14ac:dyDescent="0.25">
      <c r="A7" s="2336" t="s">
        <v>1988</v>
      </c>
      <c r="B7" s="2337"/>
      <c r="C7" s="2337"/>
      <c r="D7" s="2337"/>
      <c r="E7" s="2337"/>
      <c r="F7" s="2338"/>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339" t="s">
        <v>1984</v>
      </c>
      <c r="B10" s="2340"/>
      <c r="C10" s="2340"/>
      <c r="D10" s="2340"/>
      <c r="E10" s="2340"/>
      <c r="F10" s="2341"/>
    </row>
    <row r="11" spans="1:6" ht="33" customHeight="1" x14ac:dyDescent="0.25">
      <c r="A11" s="2336" t="s">
        <v>1989</v>
      </c>
      <c r="B11" s="2337"/>
      <c r="C11" s="2337"/>
      <c r="D11" s="2337"/>
      <c r="E11" s="2337"/>
      <c r="F11" s="2338"/>
    </row>
    <row r="12" spans="1:6" ht="15" customHeight="1" x14ac:dyDescent="0.25">
      <c r="A12" s="1936" t="s">
        <v>1985</v>
      </c>
      <c r="B12" s="1937"/>
      <c r="C12" s="1938"/>
      <c r="D12" s="1938"/>
      <c r="E12" s="1938"/>
      <c r="F12" s="1939"/>
    </row>
    <row r="13" spans="1:6" ht="17.25" customHeight="1" x14ac:dyDescent="0.25">
      <c r="A13" s="2336" t="s">
        <v>1986</v>
      </c>
      <c r="B13" s="2337"/>
      <c r="C13" s="2337"/>
      <c r="D13" s="2337"/>
      <c r="E13" s="2337"/>
      <c r="F13" s="2338"/>
    </row>
    <row r="14" spans="1:6" ht="15" customHeight="1" x14ac:dyDescent="0.25">
      <c r="A14" s="1936" t="s">
        <v>1803</v>
      </c>
      <c r="B14" s="1937"/>
      <c r="C14" s="1938"/>
      <c r="D14" s="1938"/>
      <c r="E14" s="1938"/>
      <c r="F14" s="1939"/>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8" t="s">
        <v>2057</v>
      </c>
      <c r="B18" s="1971">
        <v>202540300</v>
      </c>
      <c r="C18" s="1989" t="s">
        <v>2058</v>
      </c>
      <c r="D18" s="1949">
        <v>489</v>
      </c>
      <c r="E18" s="1969">
        <f t="shared" ref="E18:E81" si="0">IF(D18&lt;25000,D18,"25,000")</f>
        <v>489</v>
      </c>
      <c r="F18" s="1969" t="str">
        <f t="shared" ref="F18:F81" si="1">IF(D18&gt;=25000,(D18-E18),"0")</f>
        <v>0</v>
      </c>
      <c r="G18" s="1950"/>
    </row>
    <row r="19" spans="1:7" x14ac:dyDescent="0.25">
      <c r="A19" s="1988" t="s">
        <v>2057</v>
      </c>
      <c r="B19" s="1971">
        <v>202540300</v>
      </c>
      <c r="C19" s="1989" t="s">
        <v>2059</v>
      </c>
      <c r="D19" s="1949">
        <v>823</v>
      </c>
      <c r="E19" s="1969">
        <f t="shared" si="0"/>
        <v>823</v>
      </c>
      <c r="F19" s="1969" t="str">
        <f t="shared" si="1"/>
        <v>0</v>
      </c>
    </row>
    <row r="20" spans="1:7" x14ac:dyDescent="0.25">
      <c r="A20" s="1988" t="s">
        <v>2057</v>
      </c>
      <c r="B20" s="1971">
        <v>202540300</v>
      </c>
      <c r="C20" s="1989" t="s">
        <v>2059</v>
      </c>
      <c r="D20" s="1949">
        <v>15119</v>
      </c>
      <c r="E20" s="1969">
        <f t="shared" si="0"/>
        <v>15119</v>
      </c>
      <c r="F20" s="1969" t="str">
        <f t="shared" si="1"/>
        <v>0</v>
      </c>
    </row>
    <row r="21" spans="1:7" x14ac:dyDescent="0.25">
      <c r="A21" s="1988" t="s">
        <v>2057</v>
      </c>
      <c r="B21" s="1971">
        <v>202540300</v>
      </c>
      <c r="C21" s="1989" t="s">
        <v>2060</v>
      </c>
      <c r="D21" s="1949">
        <v>5257</v>
      </c>
      <c r="E21" s="1969">
        <f t="shared" si="0"/>
        <v>5257</v>
      </c>
      <c r="F21" s="1969" t="str">
        <f t="shared" si="1"/>
        <v>0</v>
      </c>
    </row>
    <row r="22" spans="1:7" x14ac:dyDescent="0.25">
      <c r="A22" s="1988" t="s">
        <v>2057</v>
      </c>
      <c r="B22" s="1971">
        <v>202540300</v>
      </c>
      <c r="C22" s="1989" t="s">
        <v>2059</v>
      </c>
      <c r="D22" s="1949">
        <v>2810</v>
      </c>
      <c r="E22" s="1969">
        <f t="shared" si="0"/>
        <v>2810</v>
      </c>
      <c r="F22" s="1969" t="str">
        <f t="shared" si="1"/>
        <v>0</v>
      </c>
    </row>
    <row r="23" spans="1:7" x14ac:dyDescent="0.25">
      <c r="A23" s="1988" t="s">
        <v>2057</v>
      </c>
      <c r="B23" s="1971">
        <v>202540300</v>
      </c>
      <c r="C23" s="1989" t="s">
        <v>2061</v>
      </c>
      <c r="D23" s="1949">
        <v>18510</v>
      </c>
      <c r="E23" s="1969">
        <f t="shared" si="0"/>
        <v>18510</v>
      </c>
      <c r="F23" s="1969" t="str">
        <f t="shared" si="1"/>
        <v>0</v>
      </c>
    </row>
    <row r="24" spans="1:7" x14ac:dyDescent="0.25">
      <c r="A24" s="1988" t="s">
        <v>2062</v>
      </c>
      <c r="B24" s="1971">
        <v>102560300</v>
      </c>
      <c r="C24" s="1989" t="s">
        <v>2063</v>
      </c>
      <c r="D24" s="1949">
        <v>443</v>
      </c>
      <c r="E24" s="1969">
        <f t="shared" si="0"/>
        <v>443</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43451</v>
      </c>
      <c r="E142" s="1956">
        <f>SUM(E18:E141)</f>
        <v>43451</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2" t="s">
        <v>1663</v>
      </c>
      <c r="B5" s="2343"/>
      <c r="C5" s="2343"/>
      <c r="D5" s="2343"/>
      <c r="E5" s="2343"/>
      <c r="F5" s="2343"/>
      <c r="G5" s="234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109696</v>
      </c>
      <c r="F10" s="805"/>
      <c r="G10" s="806"/>
      <c r="H10" s="157"/>
      <c r="I10" s="157"/>
    </row>
    <row r="11" spans="1:13" s="542" customFormat="1" ht="22.5" customHeight="1" x14ac:dyDescent="0.2">
      <c r="A11" s="234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8"/>
      <c r="C11" s="2348"/>
      <c r="D11" s="2349"/>
      <c r="E11" s="1851">
        <v>13203</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4223858</v>
      </c>
      <c r="F19" s="1852"/>
      <c r="G19" s="1854">
        <f>'Expenditures 15-22'!K33-SUM('Expenditures 15-22'!G33,'Expenditures 15-22'!I33)+'Expenditures 15-22'!D229</f>
        <v>4223858</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421702</v>
      </c>
      <c r="F21" s="1855"/>
      <c r="G21" s="1858">
        <f>'Expenditures 15-22'!K42-SUM('Expenditures 15-22'!G42,'Expenditures 15-22'!I42)+'Expenditures 15-22'!K120-SUM('Expenditures 15-22'!G120,'Expenditures 15-22'!I120)+'Expenditures 15-22'!K180-SUM('Expenditures 15-22'!G180,'Expenditures 15-22'!I180)+'Expenditures 15-22'!D238</f>
        <v>421702</v>
      </c>
      <c r="H21" s="817"/>
      <c r="I21" s="157"/>
    </row>
    <row r="22" spans="1:9" s="542" customFormat="1" ht="12" customHeight="1" x14ac:dyDescent="0.2">
      <c r="A22" s="824" t="s">
        <v>560</v>
      </c>
      <c r="B22" s="825"/>
      <c r="C22" s="823">
        <v>2200</v>
      </c>
      <c r="D22" s="1855"/>
      <c r="E22" s="1857">
        <f>'Expenditures 15-22'!K47-SUM('Expenditures 15-22'!G47,'Expenditures 15-22'!I47)+'Expenditures 15-22'!D243</f>
        <v>288347</v>
      </c>
      <c r="F22" s="1855"/>
      <c r="G22" s="1858">
        <f>'Expenditures 15-22'!K47-SUM('Expenditures 15-22'!G47,'Expenditures 15-22'!I47)+'Expenditures 15-22'!D243</f>
        <v>288347</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575876</v>
      </c>
      <c r="F23" s="1855"/>
      <c r="G23" s="1857">
        <f>'Expenditures 15-22'!K53-SUM('Expenditures 15-22'!G53,'Expenditures 15-22'!I53)+'Expenditures 15-22'!D257+'Expenditures 15-22'!K330-SUM('Expenditures 15-22'!G330,'Expenditures 15-22'!I330)</f>
        <v>575876</v>
      </c>
      <c r="H23" s="817"/>
      <c r="I23" s="157"/>
    </row>
    <row r="24" spans="1:9" s="542" customFormat="1" ht="12" customHeight="1" x14ac:dyDescent="0.2">
      <c r="A24" s="824" t="s">
        <v>562</v>
      </c>
      <c r="B24" s="825"/>
      <c r="C24" s="823">
        <v>2400</v>
      </c>
      <c r="D24" s="1855"/>
      <c r="E24" s="1857">
        <f>'Expenditures 15-22'!K57-SUM('Expenditures 15-22'!G57,'Expenditures 15-22'!I57)+'Expenditures 15-22'!D261</f>
        <v>226111</v>
      </c>
      <c r="F24" s="1855"/>
      <c r="G24" s="1858">
        <f>'Expenditures 15-22'!K57-SUM('Expenditures 15-22'!G57,'Expenditures 15-22'!I57)+'Expenditures 15-22'!D261</f>
        <v>226111</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342</v>
      </c>
      <c r="E26" s="1857">
        <f>'Expenditures 15-22'!K122-SUM('Expenditures 15-22'!G122,'Expenditures 15-22'!I122)+E7</f>
        <v>28502</v>
      </c>
      <c r="F26" s="1857">
        <f>'Expenditures 15-22'!K59-SUM('Expenditures 15-22'!G59,'Expenditures 15-22'!I59)+'Expenditures 15-22'!D263-E7</f>
        <v>342</v>
      </c>
      <c r="G26" s="1858">
        <f>'Expenditures 15-22'!K122-SUM('Expenditures 15-22'!G122,'Expenditures 15-22'!I122)+E7</f>
        <v>28502</v>
      </c>
      <c r="H26" s="817"/>
      <c r="I26" s="157"/>
    </row>
    <row r="27" spans="1:9" s="542" customFormat="1" ht="12" customHeight="1" x14ac:dyDescent="0.2">
      <c r="A27" s="824" t="s">
        <v>460</v>
      </c>
      <c r="B27" s="827"/>
      <c r="C27" s="823">
        <v>2520</v>
      </c>
      <c r="D27" s="1857">
        <f>'Expenditures 15-22'!K60-SUM('Expenditures 15-22'!G60,'Expenditures 15-22'!I60)+'Expenditures 15-22'!D264-E8</f>
        <v>88553</v>
      </c>
      <c r="E27" s="1857">
        <f>E8</f>
        <v>0</v>
      </c>
      <c r="F27" s="1857">
        <f>'Expenditures 15-22'!K60-SUM('Expenditures 15-22'!G60,'Expenditures 15-22'!I60)+'Expenditures 15-22'!D264-E8</f>
        <v>88553</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444447</v>
      </c>
      <c r="F28" s="1859">
        <f>'Expenditures 15-22'!K61-SUM('Expenditures 15-22'!G61,'Expenditures 15-22'!I61)+'Expenditures 15-22'!K124-SUM('Expenditures 15-22'!G124,'Expenditures 15-22'!I124)+'Expenditures 15-22'!D266-E9</f>
        <v>444447</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1373337</v>
      </c>
      <c r="F29" s="1855"/>
      <c r="G29" s="1858">
        <f>'Expenditures 15-22'!K62-SUM('Expenditures 15-22'!G62,'Expenditures 15-22'!I62)+'Expenditures 15-22'!K125-SUM('Expenditures 15-22'!G125,'Expenditures 15-22'!I125)+'Expenditures 15-22'!K182-SUM('Expenditures 15-22'!G182,'Expenditures 15-22'!I182)+'Expenditures 15-22'!D267</f>
        <v>1373337</v>
      </c>
      <c r="H29" s="815"/>
    </row>
    <row r="30" spans="1:9" ht="12" customHeight="1" x14ac:dyDescent="0.2">
      <c r="A30" s="824" t="s">
        <v>100</v>
      </c>
      <c r="B30" s="827"/>
      <c r="C30" s="823">
        <v>2560</v>
      </c>
      <c r="D30" s="1855"/>
      <c r="E30" s="1857">
        <f>'Expenditures 15-22'!K63-SUM('Expenditures 15-22'!G63,'Expenditures 15-22'!I63)+'Expenditures 15-22'!D268-E10</f>
        <v>68989</v>
      </c>
      <c r="F30" s="1855"/>
      <c r="G30" s="1857">
        <f>'Expenditures 15-22'!K63-SUM('Expenditures 15-22'!G63,'Expenditures 15-22'!I63)+'Expenditures 15-22'!D268-E10</f>
        <v>68989</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354</v>
      </c>
      <c r="F38" s="1855"/>
      <c r="G38" s="1857">
        <f>'Expenditures 15-22'!K73-SUM('Expenditures 15-22'!G73,'Expenditures 15-22'!I73)+'Expenditures 15-22'!K128-SUM('Expenditures 15-22'!G128,'Expenditures 15-22'!I128)+'Expenditures 15-22'!K183-SUM('Expenditures 15-22'!G183,'Expenditures 15-22'!I183)+'Expenditures 15-22'!D278</f>
        <v>354</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11048</v>
      </c>
      <c r="F39" s="1855"/>
      <c r="G39" s="1857">
        <f>'Expenditures 15-22'!K75-SUM('Expenditures 15-22'!G75,'Expenditures 15-22'!I75)+'Expenditures 15-22'!K130-SUM('Expenditures 15-22'!G130,'Expenditures 15-22'!I130)+'Expenditures 15-22'!K185-SUM('Expenditures 15-22'!G185,'Expenditures 15-22'!I185)+'Expenditures 15-22'!D280</f>
        <v>11048</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88895</v>
      </c>
      <c r="E41" s="1859">
        <f>SUM(E19:E40)</f>
        <v>7662571</v>
      </c>
      <c r="F41" s="1859">
        <f>SUM(F19:F39)</f>
        <v>533342</v>
      </c>
      <c r="G41" s="1859">
        <f>SUM(G19:G40)</f>
        <v>7218124</v>
      </c>
    </row>
    <row r="42" spans="1:7" x14ac:dyDescent="0.2">
      <c r="A42" s="817"/>
      <c r="B42" s="157"/>
      <c r="C42" s="831"/>
      <c r="D42" s="2345" t="s">
        <v>519</v>
      </c>
      <c r="E42" s="2346"/>
      <c r="F42" s="832" t="s">
        <v>520</v>
      </c>
      <c r="G42" s="833"/>
    </row>
    <row r="43" spans="1:7" ht="12" customHeight="1" x14ac:dyDescent="0.2">
      <c r="A43" s="817"/>
      <c r="B43" s="157"/>
      <c r="C43" s="831"/>
      <c r="D43" s="1507" t="s">
        <v>470</v>
      </c>
      <c r="E43" s="1860">
        <f>D41</f>
        <v>88895</v>
      </c>
      <c r="F43" s="1507" t="s">
        <v>470</v>
      </c>
      <c r="G43" s="1860">
        <f>F41</f>
        <v>533342</v>
      </c>
    </row>
    <row r="44" spans="1:7" ht="12" customHeight="1" x14ac:dyDescent="0.2">
      <c r="A44" s="817"/>
      <c r="B44" s="157"/>
      <c r="C44" s="831"/>
      <c r="D44" s="1507" t="s">
        <v>471</v>
      </c>
      <c r="E44" s="1860">
        <f>E41</f>
        <v>7662571</v>
      </c>
      <c r="F44" s="1507" t="s">
        <v>471</v>
      </c>
      <c r="G44" s="1860">
        <f>G41</f>
        <v>7218124</v>
      </c>
    </row>
    <row r="45" spans="1:7" ht="12" customHeight="1" x14ac:dyDescent="0.2">
      <c r="A45" s="817"/>
      <c r="B45" s="157"/>
      <c r="C45" s="157"/>
      <c r="D45" s="1508" t="s">
        <v>999</v>
      </c>
      <c r="E45" s="1861">
        <f>(E43/E44)</f>
        <v>1.1601197561497309E-2</v>
      </c>
      <c r="F45" s="1508" t="s">
        <v>999</v>
      </c>
      <c r="G45" s="1861">
        <f>(G43/G44)</f>
        <v>7.3889282035055098E-2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F21" sqref="F2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64" t="s">
        <v>1365</v>
      </c>
      <c r="B1" s="2364"/>
      <c r="C1" s="2364"/>
      <c r="D1" s="2364"/>
      <c r="E1" s="2364"/>
      <c r="F1" s="2364"/>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65" t="s">
        <v>1532</v>
      </c>
      <c r="B5" s="2366"/>
      <c r="C5" s="2367"/>
      <c r="D5" s="2367"/>
      <c r="E5" s="2367"/>
      <c r="F5" s="2367"/>
      <c r="G5" s="1556"/>
      <c r="L5" s="1556"/>
      <c r="M5" s="1913"/>
      <c r="N5" s="1913"/>
      <c r="O5" s="1913"/>
    </row>
    <row r="6" spans="1:15" ht="12" customHeight="1" x14ac:dyDescent="0.25">
      <c r="A6" s="1529"/>
      <c r="B6" s="1530"/>
      <c r="C6" s="2368" t="str">
        <f>COVER!A17</f>
        <v xml:space="preserve">Saratoga CCSD 60C </v>
      </c>
      <c r="D6" s="2368"/>
      <c r="E6" s="2368"/>
      <c r="F6" s="1531"/>
      <c r="G6" s="1556"/>
      <c r="L6" s="1556"/>
      <c r="M6" s="1913"/>
      <c r="N6" s="1913"/>
      <c r="O6" s="1913"/>
    </row>
    <row r="7" spans="1:15" ht="11.25" customHeight="1" thickBot="1" x14ac:dyDescent="0.3">
      <c r="A7" s="1529"/>
      <c r="B7" s="1530"/>
      <c r="C7" s="2369" t="str">
        <f>COVER!A13</f>
        <v>24032060C04</v>
      </c>
      <c r="D7" s="2369"/>
      <c r="E7" s="2369"/>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t="s">
        <v>2038</v>
      </c>
      <c r="D16" s="1544" t="s">
        <v>2038</v>
      </c>
      <c r="E16" s="1547"/>
      <c r="F16" s="1546" t="s">
        <v>2040</v>
      </c>
      <c r="G16" s="1556"/>
      <c r="H16" s="1556">
        <f t="shared" si="0"/>
        <v>5</v>
      </c>
      <c r="I16" s="1556">
        <f t="shared" si="1"/>
        <v>5</v>
      </c>
      <c r="J16" s="1556">
        <f t="shared" si="2"/>
        <v>0</v>
      </c>
      <c r="L16" s="1556"/>
      <c r="M16" s="1913"/>
      <c r="N16" s="1913"/>
      <c r="O16" s="1913"/>
    </row>
    <row r="17" spans="1:15" ht="12" customHeight="1" x14ac:dyDescent="0.2">
      <c r="A17" s="1542" t="s">
        <v>1375</v>
      </c>
      <c r="B17" s="1543"/>
      <c r="C17" s="1544" t="s">
        <v>2038</v>
      </c>
      <c r="D17" s="1544" t="s">
        <v>2038</v>
      </c>
      <c r="E17" s="1547"/>
      <c r="F17" s="1546" t="s">
        <v>2040</v>
      </c>
      <c r="G17" s="1556"/>
      <c r="H17" s="1556">
        <f t="shared" si="0"/>
        <v>5</v>
      </c>
      <c r="I17" s="1556">
        <f t="shared" si="1"/>
        <v>5</v>
      </c>
      <c r="J17" s="1556">
        <f t="shared" si="2"/>
        <v>0</v>
      </c>
      <c r="L17" s="1556"/>
      <c r="M17" s="1913"/>
      <c r="N17" s="1913"/>
      <c r="O17" s="1913"/>
    </row>
    <row r="18" spans="1:15" ht="12" customHeight="1" x14ac:dyDescent="0.2">
      <c r="A18" s="1542" t="s">
        <v>1376</v>
      </c>
      <c r="B18" s="1543"/>
      <c r="C18" s="1544" t="s">
        <v>2038</v>
      </c>
      <c r="D18" s="1544" t="s">
        <v>2038</v>
      </c>
      <c r="E18" s="1547"/>
      <c r="F18" s="1546" t="s">
        <v>2041</v>
      </c>
      <c r="G18" s="1556"/>
      <c r="H18" s="1556">
        <f t="shared" si="0"/>
        <v>5</v>
      </c>
      <c r="I18" s="1556">
        <f t="shared" si="1"/>
        <v>5</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t="s">
        <v>2038</v>
      </c>
      <c r="D21" s="1544" t="s">
        <v>2038</v>
      </c>
      <c r="E21" s="1547"/>
      <c r="F21" s="1546" t="s">
        <v>2042</v>
      </c>
      <c r="G21" s="1556"/>
      <c r="H21" s="1556">
        <f t="shared" si="0"/>
        <v>5</v>
      </c>
      <c r="I21" s="1556">
        <f t="shared" si="1"/>
        <v>5</v>
      </c>
      <c r="J21" s="1556">
        <f t="shared" si="2"/>
        <v>0</v>
      </c>
      <c r="L21" s="1556"/>
      <c r="M21" s="1913"/>
      <c r="N21" s="1913"/>
      <c r="O21" s="1913"/>
    </row>
    <row r="22" spans="1:15" ht="12" customHeight="1" x14ac:dyDescent="0.2">
      <c r="A22" s="1542" t="s">
        <v>1516</v>
      </c>
      <c r="B22" s="1543"/>
      <c r="C22" s="1544" t="s">
        <v>2038</v>
      </c>
      <c r="D22" s="1544" t="s">
        <v>2038</v>
      </c>
      <c r="E22" s="1547"/>
      <c r="F22" s="1546" t="s">
        <v>2042</v>
      </c>
      <c r="G22" s="1556"/>
      <c r="H22" s="1556">
        <f t="shared" si="0"/>
        <v>5</v>
      </c>
      <c r="I22" s="1556">
        <f t="shared" si="1"/>
        <v>5</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t="s">
        <v>2038</v>
      </c>
      <c r="D24" s="1544" t="s">
        <v>2038</v>
      </c>
      <c r="E24" s="1547"/>
      <c r="F24" s="1546" t="s">
        <v>2042</v>
      </c>
      <c r="G24" s="1556"/>
      <c r="H24" s="1556">
        <f t="shared" si="0"/>
        <v>5</v>
      </c>
      <c r="I24" s="1556">
        <f t="shared" si="1"/>
        <v>5</v>
      </c>
      <c r="J24" s="1556">
        <f t="shared" si="2"/>
        <v>0</v>
      </c>
      <c r="L24" s="1556"/>
      <c r="M24" s="1913"/>
      <c r="N24" s="1913"/>
      <c r="O24" s="1913"/>
    </row>
    <row r="25" spans="1:15" ht="12" customHeight="1" x14ac:dyDescent="0.2">
      <c r="A25" s="1542" t="s">
        <v>1519</v>
      </c>
      <c r="B25" s="1543"/>
      <c r="C25" s="1544" t="s">
        <v>2038</v>
      </c>
      <c r="D25" s="1544" t="s">
        <v>2038</v>
      </c>
      <c r="E25" s="1547"/>
      <c r="F25" s="1546" t="s">
        <v>2043</v>
      </c>
      <c r="G25" s="1556"/>
      <c r="H25" s="1556">
        <f t="shared" si="0"/>
        <v>5</v>
      </c>
      <c r="I25" s="1556">
        <f t="shared" si="1"/>
        <v>5</v>
      </c>
      <c r="J25" s="1556">
        <f t="shared" si="2"/>
        <v>0</v>
      </c>
      <c r="L25" s="1556"/>
      <c r="M25" s="1913"/>
      <c r="N25" s="1913"/>
      <c r="O25" s="1913"/>
    </row>
    <row r="26" spans="1:15" ht="12" customHeight="1" x14ac:dyDescent="0.2">
      <c r="A26" s="1542" t="s">
        <v>1520</v>
      </c>
      <c r="B26" s="1543"/>
      <c r="C26" s="1544" t="s">
        <v>2038</v>
      </c>
      <c r="D26" s="1544" t="s">
        <v>2038</v>
      </c>
      <c r="E26" s="1547"/>
      <c r="F26" s="1546" t="s">
        <v>2044</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t="s">
        <v>2038</v>
      </c>
      <c r="D28" s="1544" t="s">
        <v>2038</v>
      </c>
      <c r="E28" s="1547"/>
      <c r="F28" s="1546" t="s">
        <v>2045</v>
      </c>
      <c r="G28" s="1556"/>
      <c r="H28" s="1556">
        <f t="shared" si="0"/>
        <v>5</v>
      </c>
      <c r="I28" s="1556">
        <f t="shared" si="1"/>
        <v>5</v>
      </c>
      <c r="J28" s="1556">
        <f t="shared" si="2"/>
        <v>0</v>
      </c>
      <c r="L28" s="1556"/>
      <c r="M28" s="1913"/>
      <c r="N28" s="1913"/>
      <c r="O28" s="1913"/>
    </row>
    <row r="29" spans="1:15" ht="12" customHeight="1" x14ac:dyDescent="0.2">
      <c r="A29" s="1542" t="s">
        <v>1523</v>
      </c>
      <c r="B29" s="1543"/>
      <c r="C29" s="1544" t="s">
        <v>2038</v>
      </c>
      <c r="D29" s="1544" t="s">
        <v>2038</v>
      </c>
      <c r="E29" s="1547"/>
      <c r="F29" s="1546" t="s">
        <v>2046</v>
      </c>
      <c r="G29" s="1556"/>
      <c r="H29" s="1556">
        <f t="shared" si="0"/>
        <v>5</v>
      </c>
      <c r="I29" s="1556">
        <f t="shared" si="1"/>
        <v>5</v>
      </c>
      <c r="J29" s="1556">
        <f t="shared" si="2"/>
        <v>0</v>
      </c>
      <c r="L29" s="1556"/>
      <c r="M29" s="1913"/>
      <c r="N29" s="1913"/>
      <c r="O29" s="1913"/>
    </row>
    <row r="30" spans="1:15" ht="12" customHeight="1" x14ac:dyDescent="0.2">
      <c r="A30" s="1542" t="s">
        <v>1524</v>
      </c>
      <c r="B30" s="1543"/>
      <c r="C30" s="1544" t="s">
        <v>2038</v>
      </c>
      <c r="D30" s="1544" t="s">
        <v>2038</v>
      </c>
      <c r="E30" s="1547"/>
      <c r="F30" s="1546" t="s">
        <v>2047</v>
      </c>
      <c r="G30" s="1556"/>
      <c r="H30" s="1556">
        <f t="shared" si="0"/>
        <v>5</v>
      </c>
      <c r="I30" s="1556">
        <f t="shared" si="1"/>
        <v>5</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55</v>
      </c>
      <c r="I34" s="1556">
        <f>SUM(I11:I32)</f>
        <v>55</v>
      </c>
      <c r="J34" s="1556">
        <f>SUM(J11:J32)</f>
        <v>0</v>
      </c>
      <c r="K34" s="1556">
        <f>SUM(H34:J34)</f>
        <v>110</v>
      </c>
      <c r="L34" s="1556"/>
      <c r="M34" s="1913"/>
      <c r="N34" s="1913"/>
      <c r="O34" s="1913"/>
    </row>
    <row r="35" spans="1:15" ht="12" customHeight="1" x14ac:dyDescent="0.2">
      <c r="A35" s="1549" t="s">
        <v>1378</v>
      </c>
      <c r="B35" s="1550"/>
      <c r="C35" s="2370"/>
      <c r="D35" s="2370"/>
      <c r="E35" s="2370"/>
      <c r="F35" s="2371"/>
    </row>
    <row r="36" spans="1:15" ht="12" customHeight="1" x14ac:dyDescent="0.2">
      <c r="A36" s="2353"/>
      <c r="B36" s="2354"/>
      <c r="C36" s="2354"/>
      <c r="D36" s="2354"/>
      <c r="E36" s="2354"/>
      <c r="F36" s="2355"/>
    </row>
    <row r="37" spans="1:15" ht="12" customHeight="1" x14ac:dyDescent="0.2">
      <c r="A37" s="2353"/>
      <c r="B37" s="2354"/>
      <c r="C37" s="2354"/>
      <c r="D37" s="2354"/>
      <c r="E37" s="2354"/>
      <c r="F37" s="2355"/>
    </row>
    <row r="38" spans="1:15" ht="12" customHeight="1" x14ac:dyDescent="0.2">
      <c r="A38" s="2356"/>
      <c r="B38" s="2357"/>
      <c r="C38" s="2357"/>
      <c r="D38" s="2357"/>
      <c r="E38" s="2357"/>
      <c r="F38" s="2358"/>
    </row>
    <row r="39" spans="1:15" ht="4.5" hidden="1" customHeight="1" x14ac:dyDescent="0.2">
      <c r="A39" s="1551"/>
      <c r="B39" s="1551"/>
      <c r="C39" s="1551"/>
      <c r="D39" s="1551"/>
      <c r="E39" s="1551"/>
      <c r="F39" s="1551"/>
    </row>
    <row r="40" spans="1:15" s="1548" customFormat="1" ht="12" customHeight="1" x14ac:dyDescent="0.25">
      <c r="A40" s="1552" t="s">
        <v>1377</v>
      </c>
      <c r="B40" s="1553"/>
      <c r="C40" s="2359"/>
      <c r="D40" s="2359"/>
      <c r="E40" s="2359"/>
      <c r="F40" s="2360"/>
      <c r="H40" s="1557"/>
      <c r="I40" s="1557"/>
      <c r="J40" s="1557"/>
      <c r="K40" s="1557"/>
    </row>
    <row r="41" spans="1:15" s="1548" customFormat="1" ht="12" customHeight="1" x14ac:dyDescent="0.25">
      <c r="A41" s="2361" t="s">
        <v>2039</v>
      </c>
      <c r="B41" s="2362"/>
      <c r="C41" s="2362"/>
      <c r="D41" s="2362"/>
      <c r="E41" s="2362"/>
      <c r="F41" s="2363"/>
      <c r="H41" s="1557"/>
      <c r="I41" s="1557"/>
      <c r="J41" s="1557"/>
      <c r="K41" s="1557"/>
    </row>
    <row r="42" spans="1:15" s="1548" customFormat="1" ht="12" customHeight="1" x14ac:dyDescent="0.25">
      <c r="A42" s="2361"/>
      <c r="B42" s="2362"/>
      <c r="C42" s="2362"/>
      <c r="D42" s="2362"/>
      <c r="E42" s="2362"/>
      <c r="F42" s="2363"/>
      <c r="H42" s="1557"/>
      <c r="I42" s="1557"/>
      <c r="J42" s="1557"/>
      <c r="K42" s="1557"/>
    </row>
    <row r="43" spans="1:15" s="1548" customFormat="1" ht="15" x14ac:dyDescent="0.25">
      <c r="A43" s="2350"/>
      <c r="B43" s="2351"/>
      <c r="C43" s="2351"/>
      <c r="D43" s="2351"/>
      <c r="E43" s="2351"/>
      <c r="F43" s="2352"/>
      <c r="H43" s="1557"/>
      <c r="I43" s="1557"/>
      <c r="J43" s="1557"/>
      <c r="K43" s="1557"/>
    </row>
    <row r="44" spans="1:15" s="1548" customFormat="1" ht="12" hidden="1" customHeight="1" x14ac:dyDescent="0.25">
      <c r="A44" s="2350"/>
      <c r="B44" s="2351"/>
      <c r="C44" s="2351"/>
      <c r="D44" s="2351"/>
      <c r="E44" s="2351"/>
      <c r="F44" s="235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27" sqref="I2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7" t="str">
        <f>COVER!A17</f>
        <v xml:space="preserve">Saratoga CCSD 60C </v>
      </c>
      <c r="J6" s="2378"/>
      <c r="K6" s="2379"/>
      <c r="R6" s="1427"/>
    </row>
    <row r="7" spans="1:18" x14ac:dyDescent="0.2">
      <c r="A7" s="2380" t="s">
        <v>864</v>
      </c>
      <c r="B7" s="2381"/>
      <c r="C7" s="2381"/>
      <c r="D7" s="2381"/>
      <c r="E7" s="2382"/>
      <c r="F7" s="847"/>
      <c r="G7" s="839"/>
      <c r="H7" s="846" t="s">
        <v>369</v>
      </c>
      <c r="I7" s="2383" t="str">
        <f>COVER!A13</f>
        <v>24032060C04</v>
      </c>
      <c r="J7" s="2383"/>
      <c r="K7" s="2383"/>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384" t="s">
        <v>478</v>
      </c>
      <c r="B11" s="2385"/>
      <c r="C11" s="2386"/>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135774</v>
      </c>
      <c r="F12" s="1864"/>
      <c r="G12" s="1863">
        <f t="shared" ref="G12:G18" si="0">SUM(E12:F12)</f>
        <v>135774</v>
      </c>
      <c r="H12" s="1865">
        <v>138060</v>
      </c>
      <c r="I12" s="1864"/>
      <c r="J12" s="1865">
        <v>28285</v>
      </c>
      <c r="K12" s="1863">
        <f t="shared" ref="K12:K18" si="1">SUM(H12:J12)</f>
        <v>166345</v>
      </c>
    </row>
    <row r="13" spans="1:18" ht="15" customHeight="1" x14ac:dyDescent="0.2">
      <c r="A13" s="863">
        <v>2</v>
      </c>
      <c r="B13" s="864" t="s">
        <v>42</v>
      </c>
      <c r="C13" s="865"/>
      <c r="D13" s="866">
        <v>2330</v>
      </c>
      <c r="E13" s="1863">
        <f>'Expenditures 15-22'!K51</f>
        <v>44551</v>
      </c>
      <c r="F13" s="1864"/>
      <c r="G13" s="1863">
        <f t="shared" si="0"/>
        <v>44551</v>
      </c>
      <c r="H13" s="1865">
        <v>101985</v>
      </c>
      <c r="I13" s="1864"/>
      <c r="J13" s="1865">
        <v>9010</v>
      </c>
      <c r="K13" s="1863">
        <f t="shared" si="1"/>
        <v>110995</v>
      </c>
    </row>
    <row r="14" spans="1:18" ht="15" customHeight="1" x14ac:dyDescent="0.2">
      <c r="A14" s="863">
        <v>3</v>
      </c>
      <c r="B14" s="864" t="s">
        <v>43</v>
      </c>
      <c r="C14" s="865"/>
      <c r="D14" s="867">
        <v>2490</v>
      </c>
      <c r="E14" s="1863">
        <f>'Expenditures 15-22'!K56</f>
        <v>0</v>
      </c>
      <c r="F14" s="1864"/>
      <c r="G14" s="1863">
        <f t="shared" si="0"/>
        <v>0</v>
      </c>
      <c r="H14" s="1865">
        <v>0</v>
      </c>
      <c r="I14" s="1864"/>
      <c r="J14" s="1865">
        <v>0</v>
      </c>
      <c r="K14" s="1863">
        <f t="shared" si="1"/>
        <v>0</v>
      </c>
    </row>
    <row r="15" spans="1:18" ht="15" customHeight="1" x14ac:dyDescent="0.2">
      <c r="A15" s="863">
        <v>4</v>
      </c>
      <c r="B15" s="864" t="s">
        <v>1061</v>
      </c>
      <c r="C15" s="865"/>
      <c r="D15" s="866">
        <v>2510</v>
      </c>
      <c r="E15" s="1863">
        <f>'Expenditures 15-22'!K59</f>
        <v>0</v>
      </c>
      <c r="F15" s="1863">
        <f>'Expenditures 15-22'!K122</f>
        <v>28502</v>
      </c>
      <c r="G15" s="1863">
        <f t="shared" si="0"/>
        <v>28502</v>
      </c>
      <c r="H15" s="1865">
        <v>0</v>
      </c>
      <c r="I15" s="1865">
        <v>34355</v>
      </c>
      <c r="J15" s="1865">
        <v>0</v>
      </c>
      <c r="K15" s="1863">
        <f t="shared" si="1"/>
        <v>34355</v>
      </c>
    </row>
    <row r="16" spans="1:18" ht="15" customHeight="1" x14ac:dyDescent="0.2">
      <c r="A16" s="863">
        <v>5</v>
      </c>
      <c r="B16" s="864" t="s">
        <v>101</v>
      </c>
      <c r="C16" s="865"/>
      <c r="D16" s="866">
        <v>2570</v>
      </c>
      <c r="E16" s="1863">
        <f>'Expenditures 15-22'!K64</f>
        <v>0</v>
      </c>
      <c r="F16" s="1864"/>
      <c r="G16" s="1863">
        <f t="shared" si="0"/>
        <v>0</v>
      </c>
      <c r="H16" s="1865">
        <v>0</v>
      </c>
      <c r="I16" s="1864"/>
      <c r="J16" s="1865">
        <v>0</v>
      </c>
      <c r="K16" s="1863">
        <f t="shared" si="1"/>
        <v>0</v>
      </c>
    </row>
    <row r="17" spans="1:11" ht="15" customHeight="1" x14ac:dyDescent="0.2">
      <c r="A17" s="863">
        <v>6</v>
      </c>
      <c r="B17" s="864" t="s">
        <v>1053</v>
      </c>
      <c r="C17" s="865"/>
      <c r="D17" s="866">
        <v>2610</v>
      </c>
      <c r="E17" s="1863">
        <f>'Expenditures 15-22'!K67</f>
        <v>0</v>
      </c>
      <c r="F17" s="1864"/>
      <c r="G17" s="1863">
        <f t="shared" si="0"/>
        <v>0</v>
      </c>
      <c r="H17" s="1865">
        <v>0</v>
      </c>
      <c r="I17" s="1864"/>
      <c r="J17" s="1865">
        <v>0</v>
      </c>
      <c r="K17" s="1863">
        <f t="shared" si="1"/>
        <v>0</v>
      </c>
    </row>
    <row r="18" spans="1:11" ht="22.5" customHeight="1" x14ac:dyDescent="0.2">
      <c r="A18" s="868">
        <v>7</v>
      </c>
      <c r="B18" s="2387" t="s">
        <v>7</v>
      </c>
      <c r="C18" s="2388"/>
      <c r="D18" s="2389"/>
      <c r="E18" s="1866">
        <v>13608</v>
      </c>
      <c r="F18" s="1866">
        <v>3036</v>
      </c>
      <c r="G18" s="1867">
        <f t="shared" si="0"/>
        <v>16644</v>
      </c>
      <c r="H18" s="1865">
        <v>19130</v>
      </c>
      <c r="I18" s="1865">
        <v>3685</v>
      </c>
      <c r="J18" s="1865">
        <v>3787</v>
      </c>
      <c r="K18" s="1863">
        <f t="shared" si="1"/>
        <v>26602</v>
      </c>
    </row>
    <row r="19" spans="1:11" ht="12.75" customHeight="1" thickBot="1" x14ac:dyDescent="0.25">
      <c r="A19" s="863">
        <v>8</v>
      </c>
      <c r="B19" s="869" t="s">
        <v>1153</v>
      </c>
      <c r="D19" s="870"/>
      <c r="E19" s="1868">
        <f t="shared" ref="E19:K19" si="2">SUM(E12:E17)-E18</f>
        <v>166717</v>
      </c>
      <c r="F19" s="1868">
        <f t="shared" si="2"/>
        <v>25466</v>
      </c>
      <c r="G19" s="1868">
        <f t="shared" si="2"/>
        <v>192183</v>
      </c>
      <c r="H19" s="1868">
        <f t="shared" si="2"/>
        <v>220915</v>
      </c>
      <c r="I19" s="1868">
        <f t="shared" si="2"/>
        <v>30670</v>
      </c>
      <c r="J19" s="1868">
        <f t="shared" si="2"/>
        <v>33508</v>
      </c>
      <c r="K19" s="1868">
        <f t="shared" si="2"/>
        <v>285093</v>
      </c>
    </row>
    <row r="20" spans="1:11" ht="13.5" thickTop="1" x14ac:dyDescent="0.2">
      <c r="A20" s="863">
        <v>9</v>
      </c>
      <c r="B20" s="2390" t="str">
        <f>"Percent Increase (Decrease) for FY"&amp;'AFR20'!E2+1&amp;" (Budgeted) over FY"&amp;'AFR20'!E2&amp;" (Actual)"</f>
        <v>Percent Increase (Decrease) for FY2021 (Budgeted) over FY2020 (Actual)</v>
      </c>
      <c r="C20" s="2390"/>
      <c r="D20" s="2391"/>
      <c r="E20" s="1869"/>
      <c r="F20" s="1869"/>
      <c r="G20" s="1869"/>
      <c r="H20" s="1869"/>
      <c r="I20" s="1869"/>
      <c r="J20" s="1978"/>
      <c r="K20" s="1870">
        <f>IF(AND(G19&gt;0,K19&gt;0),(((K19-G19)/G19)),"Enter Budget Data")</f>
        <v>0.48344546604018046</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96"/>
      <c r="D26" s="2396"/>
      <c r="E26" s="874"/>
      <c r="F26" s="2395"/>
      <c r="G26" s="2395"/>
    </row>
    <row r="27" spans="1:11" x14ac:dyDescent="0.2">
      <c r="B27" s="871"/>
      <c r="C27" s="875" t="s">
        <v>1026</v>
      </c>
      <c r="D27" s="876"/>
      <c r="E27" s="877"/>
      <c r="F27" s="2392" t="s">
        <v>1495</v>
      </c>
      <c r="G27" s="2392"/>
    </row>
    <row r="28" spans="1:11" ht="28.5" customHeight="1" x14ac:dyDescent="0.2">
      <c r="B28" s="871"/>
      <c r="C28" s="2394"/>
      <c r="D28" s="2394"/>
      <c r="E28" s="878"/>
      <c r="F28" s="2394"/>
      <c r="G28" s="2394"/>
    </row>
    <row r="29" spans="1:11" x14ac:dyDescent="0.2">
      <c r="B29" s="871"/>
      <c r="C29" s="879" t="s">
        <v>1547</v>
      </c>
      <c r="E29" s="880"/>
      <c r="F29" s="2393" t="s">
        <v>1496</v>
      </c>
      <c r="G29" s="2393"/>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t="s">
        <v>2038</v>
      </c>
      <c r="C33" s="237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5"/>
      <c r="E33" s="2375"/>
      <c r="F33" s="2375"/>
      <c r="G33" s="2375"/>
      <c r="H33" s="2375"/>
      <c r="I33" s="2375"/>
      <c r="J33" s="1976"/>
    </row>
    <row r="34" spans="1:11" ht="10.35" customHeight="1" x14ac:dyDescent="0.2">
      <c r="C34" s="2375"/>
      <c r="D34" s="2375"/>
      <c r="E34" s="2375"/>
      <c r="F34" s="2375"/>
      <c r="G34" s="2375"/>
      <c r="H34" s="2375"/>
      <c r="I34" s="2375"/>
      <c r="J34" s="1976"/>
    </row>
    <row r="35" spans="1:11" ht="7.5" customHeight="1" x14ac:dyDescent="0.2">
      <c r="C35" s="886"/>
    </row>
    <row r="36" spans="1:11" ht="13.5" customHeight="1" x14ac:dyDescent="0.2">
      <c r="B36" s="885"/>
      <c r="C36" s="237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5"/>
      <c r="E36" s="2375"/>
      <c r="F36" s="2375"/>
      <c r="G36" s="2375"/>
      <c r="H36" s="2375"/>
      <c r="I36" s="2375"/>
      <c r="J36" s="1976"/>
      <c r="K36" s="887"/>
    </row>
    <row r="37" spans="1:11" ht="22.5" customHeight="1" x14ac:dyDescent="0.2">
      <c r="C37" s="2375"/>
      <c r="D37" s="2375"/>
      <c r="E37" s="2375"/>
      <c r="F37" s="2375"/>
      <c r="G37" s="2375"/>
      <c r="H37" s="2375"/>
      <c r="I37" s="2375"/>
      <c r="J37" s="1976"/>
      <c r="K37" s="887"/>
    </row>
    <row r="38" spans="1:11" ht="7.5" customHeight="1" x14ac:dyDescent="0.2">
      <c r="C38" s="886"/>
      <c r="D38" s="888"/>
      <c r="E38" s="889"/>
      <c r="F38" s="890"/>
      <c r="G38" s="889"/>
    </row>
    <row r="39" spans="1:11" ht="13.5" customHeight="1" x14ac:dyDescent="0.2">
      <c r="B39" s="885"/>
      <c r="C39" s="2372" t="str">
        <f>"The district will amend their budget to become in compliance with the limitation."</f>
        <v>The district will amend their budget to become in compliance with the limitation.</v>
      </c>
      <c r="D39" s="2373"/>
      <c r="E39" s="2373"/>
      <c r="F39" s="2373"/>
      <c r="G39" s="2373"/>
      <c r="H39" s="2373"/>
      <c r="I39" s="2373"/>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4"/>
  <sheetViews>
    <sheetView showGridLines="0" zoomScale="110" zoomScaleNormal="110" workbookViewId="0">
      <selection activeCell="F21" sqref="F2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2048</v>
      </c>
    </row>
    <row r="6" spans="1:2" x14ac:dyDescent="0.2">
      <c r="A6" s="892">
        <v>2</v>
      </c>
      <c r="B6" s="307" t="s">
        <v>2049</v>
      </c>
    </row>
    <row r="7" spans="1:2" x14ac:dyDescent="0.2">
      <c r="A7" s="892">
        <v>3</v>
      </c>
      <c r="B7" s="307" t="s">
        <v>2053</v>
      </c>
    </row>
    <row r="8" spans="1:2" x14ac:dyDescent="0.2">
      <c r="A8" s="892">
        <v>4</v>
      </c>
      <c r="B8" s="307" t="s">
        <v>2066</v>
      </c>
    </row>
    <row r="9" spans="1:2" x14ac:dyDescent="0.2">
      <c r="A9" s="892">
        <v>5</v>
      </c>
      <c r="B9" s="307" t="s">
        <v>2050</v>
      </c>
    </row>
    <row r="10" spans="1:2" x14ac:dyDescent="0.2">
      <c r="A10" s="892">
        <v>6</v>
      </c>
      <c r="B10" s="307" t="s">
        <v>2054</v>
      </c>
    </row>
    <row r="11" spans="1:2" x14ac:dyDescent="0.2">
      <c r="A11" s="892">
        <v>7</v>
      </c>
      <c r="B11" s="307" t="s">
        <v>2055</v>
      </c>
    </row>
    <row r="12" spans="1:2" x14ac:dyDescent="0.2">
      <c r="A12" s="892">
        <v>8</v>
      </c>
      <c r="B12" s="307" t="s">
        <v>2065</v>
      </c>
    </row>
    <row r="13" spans="1:2" x14ac:dyDescent="0.2">
      <c r="A13" s="892">
        <v>9</v>
      </c>
      <c r="B13" s="307" t="s">
        <v>2051</v>
      </c>
    </row>
    <row r="14" spans="1:2" x14ac:dyDescent="0.2">
      <c r="A14" s="892">
        <v>10</v>
      </c>
      <c r="B14" s="307" t="s">
        <v>2052</v>
      </c>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c r="B63" s="253" t="str">
        <f>COVER!A17</f>
        <v xml:space="preserve">Saratoga CCSD 60C </v>
      </c>
    </row>
    <row r="64" spans="1:2" x14ac:dyDescent="0.2">
      <c r="B64" s="894" t="str">
        <f>COVER!A13</f>
        <v>24032060C04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7" t="s">
        <v>1668</v>
      </c>
      <c r="B18" s="239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J12" sqref="J1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8" t="s">
        <v>1672</v>
      </c>
      <c r="B1" s="2399"/>
      <c r="C1" s="2399"/>
      <c r="D1" s="2399"/>
      <c r="E1" s="2399"/>
      <c r="F1" s="2400"/>
    </row>
    <row r="2" spans="1:8" ht="45" customHeight="1" x14ac:dyDescent="0.2">
      <c r="A2" s="24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9"/>
      <c r="C2" s="2409"/>
      <c r="D2" s="2409"/>
      <c r="E2" s="2409"/>
      <c r="F2" s="2410"/>
      <c r="G2" s="898"/>
      <c r="H2" s="898"/>
    </row>
    <row r="3" spans="1:8" ht="57" customHeight="1" x14ac:dyDescent="0.2">
      <c r="A3" s="2411" t="s">
        <v>1975</v>
      </c>
      <c r="B3" s="2412"/>
      <c r="C3" s="2412"/>
      <c r="D3" s="2412"/>
      <c r="E3" s="2412"/>
      <c r="F3" s="2413"/>
      <c r="G3" s="898"/>
      <c r="H3" s="898"/>
    </row>
    <row r="4" spans="1:8" ht="14.25" customHeight="1" x14ac:dyDescent="0.2">
      <c r="A4" s="24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8"/>
      <c r="C4" s="2418"/>
      <c r="D4" s="2418"/>
      <c r="E4" s="2418"/>
      <c r="F4" s="2419"/>
      <c r="G4" s="898"/>
      <c r="H4" s="898"/>
    </row>
    <row r="5" spans="1:8" ht="14.25" customHeight="1" x14ac:dyDescent="0.2">
      <c r="A5" s="24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1"/>
      <c r="C5" s="2421"/>
      <c r="D5" s="2421"/>
      <c r="E5" s="2421"/>
      <c r="F5" s="2422"/>
      <c r="G5" s="898"/>
      <c r="H5" s="898"/>
    </row>
    <row r="6" spans="1:8" s="899" customFormat="1" ht="41.25" customHeight="1" x14ac:dyDescent="0.2">
      <c r="A6" s="2414" t="s">
        <v>1673</v>
      </c>
      <c r="B6" s="2415"/>
      <c r="C6" s="2415"/>
      <c r="D6" s="2415"/>
      <c r="E6" s="2415"/>
      <c r="F6" s="2416"/>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6226606</v>
      </c>
      <c r="C8" s="1871">
        <f>'Acct Summary 7-8'!D8</f>
        <v>597344</v>
      </c>
      <c r="D8" s="1871">
        <f>'Acct Summary 7-8'!F8</f>
        <v>1653457</v>
      </c>
      <c r="E8" s="1871">
        <f>'Acct Summary 7-8'!I8</f>
        <v>118899</v>
      </c>
      <c r="F8" s="1871">
        <f>SUM(B8:E8)</f>
        <v>8596306</v>
      </c>
    </row>
    <row r="9" spans="1:8" s="903" customFormat="1" ht="14.25" customHeight="1" thickBot="1" x14ac:dyDescent="0.25">
      <c r="A9" s="902" t="s">
        <v>1355</v>
      </c>
      <c r="B9" s="1872">
        <f>'Acct Summary 7-8'!C17</f>
        <v>6134455</v>
      </c>
      <c r="C9" s="1872">
        <f>'Acct Summary 7-8'!D17</f>
        <v>477244</v>
      </c>
      <c r="D9" s="1872">
        <f>'Acct Summary 7-8'!F17</f>
        <v>1786659</v>
      </c>
      <c r="E9" s="1871"/>
      <c r="F9" s="1871">
        <f>SUM(B9:E9)</f>
        <v>8398358</v>
      </c>
    </row>
    <row r="10" spans="1:8" s="903" customFormat="1" ht="14.25" thickTop="1" thickBot="1" x14ac:dyDescent="0.25">
      <c r="A10" s="904" t="s">
        <v>1356</v>
      </c>
      <c r="B10" s="1873">
        <f>(B8-B9)</f>
        <v>92151</v>
      </c>
      <c r="C10" s="1873">
        <f>(C8-C9)</f>
        <v>120100</v>
      </c>
      <c r="D10" s="1873">
        <f>(D8-D9)</f>
        <v>-133202</v>
      </c>
      <c r="E10" s="1872">
        <f>(E8-E9)</f>
        <v>118899</v>
      </c>
      <c r="F10" s="1874">
        <f>SUM(F8-F9)</f>
        <v>197948</v>
      </c>
    </row>
    <row r="11" spans="1:8" s="903" customFormat="1" ht="14.25" thickTop="1" thickBot="1" x14ac:dyDescent="0.25">
      <c r="A11" s="905" t="s">
        <v>1906</v>
      </c>
      <c r="B11" s="1875">
        <f>'Acct Summary 7-8'!C81</f>
        <v>2729324</v>
      </c>
      <c r="C11" s="1875">
        <f>'Acct Summary 7-8'!D81</f>
        <v>779158</v>
      </c>
      <c r="D11" s="1875">
        <f>'Acct Summary 7-8'!F81</f>
        <v>580038</v>
      </c>
      <c r="E11" s="1875">
        <f>'Acct Summary 7-8'!I81</f>
        <v>649426</v>
      </c>
      <c r="F11" s="1876">
        <f>SUM(B11:E11)</f>
        <v>4737946</v>
      </c>
    </row>
    <row r="12" spans="1:8" ht="16.5" customHeight="1" thickTop="1" x14ac:dyDescent="0.2">
      <c r="A12" s="906"/>
      <c r="B12" s="907"/>
      <c r="C12" s="2402" t="str">
        <f>IF(AND(F10&lt;0,F11&gt;=0,ABS(F10*3)&gt;ABS(F11)),A16,IF(AND(F10&lt;0,F11&gt;0,ABS(F10*3)&lt;=ABS(F11)),A17,IF(AND(F10&lt;0,F11&lt;0),A16,IF(F11=0,A19,A18))))</f>
        <v>Balanced - no deficit reduction plan is required.</v>
      </c>
      <c r="D12" s="2403"/>
      <c r="E12" s="2403"/>
      <c r="F12" s="2404"/>
    </row>
    <row r="13" spans="1:8" ht="19.5" customHeight="1" x14ac:dyDescent="0.2">
      <c r="A13" s="908"/>
      <c r="B13" s="909"/>
      <c r="C13" s="2402"/>
      <c r="D13" s="2403"/>
      <c r="E13" s="2403"/>
      <c r="F13" s="2404"/>
      <c r="H13" s="898"/>
    </row>
    <row r="14" spans="1:8" ht="19.5" customHeight="1" x14ac:dyDescent="0.2">
      <c r="A14" s="908"/>
      <c r="B14" s="909"/>
      <c r="C14" s="2402"/>
      <c r="D14" s="2403"/>
      <c r="E14" s="2403"/>
      <c r="F14" s="2404"/>
      <c r="H14" s="898"/>
    </row>
    <row r="15" spans="1:8" ht="17.25" customHeight="1" x14ac:dyDescent="0.2">
      <c r="A15" s="908"/>
      <c r="B15" s="909"/>
      <c r="C15" s="2405"/>
      <c r="D15" s="2406"/>
      <c r="E15" s="2406"/>
      <c r="F15" s="2407"/>
      <c r="H15" s="898"/>
    </row>
    <row r="16" spans="1:8" s="288" customFormat="1" ht="51.75" hidden="1" customHeight="1" x14ac:dyDescent="0.2">
      <c r="A16" s="2401" t="s">
        <v>1669</v>
      </c>
      <c r="B16" s="2401"/>
      <c r="C16" s="2401"/>
      <c r="D16" s="2401"/>
      <c r="E16" s="2401"/>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2"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3" t="s">
        <v>660</v>
      </c>
      <c r="B3" s="2424"/>
      <c r="C3" s="2424"/>
      <c r="D3" s="2425"/>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4" t="s">
        <v>1490</v>
      </c>
      <c r="D7" s="2435"/>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6" t="s">
        <v>1001</v>
      </c>
      <c r="B15" s="2427"/>
      <c r="C15" s="2427"/>
      <c r="D15" s="2428"/>
    </row>
    <row r="16" spans="1:4" s="542" customFormat="1" ht="24" customHeight="1" x14ac:dyDescent="0.2">
      <c r="A16" s="2429" t="s">
        <v>658</v>
      </c>
      <c r="B16" s="2430"/>
      <c r="C16" s="2430"/>
      <c r="D16" s="2431"/>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8" t="s">
        <v>311</v>
      </c>
      <c r="D21" s="2439"/>
    </row>
    <row r="22" spans="1:10" ht="12.75" x14ac:dyDescent="0.2">
      <c r="A22" s="963"/>
      <c r="B22" s="964">
        <v>2</v>
      </c>
      <c r="C22" s="2436" t="s">
        <v>1510</v>
      </c>
      <c r="D22" s="2437"/>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0" t="s">
        <v>533</v>
      </c>
      <c r="D43" s="2441"/>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2" t="s">
        <v>779</v>
      </c>
      <c r="D56" s="2433"/>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2" t="s">
        <v>1677</v>
      </c>
      <c r="D70" s="2433"/>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t="str">
        <f>COVER!A13</f>
        <v>24032060C04</v>
      </c>
      <c r="E2" s="1592">
        <v>2020</v>
      </c>
      <c r="F2" s="1592">
        <v>1</v>
      </c>
      <c r="G2" s="1962">
        <v>101000300</v>
      </c>
    </row>
    <row r="3" spans="1:7" ht="15" x14ac:dyDescent="0.25">
      <c r="A3" t="s">
        <v>950</v>
      </c>
      <c r="B3" s="135" t="str">
        <f>COVER!A15</f>
        <v>Grundy</v>
      </c>
      <c r="E3" s="1888" t="s">
        <v>1974</v>
      </c>
      <c r="F3" s="1888" t="s">
        <v>1973</v>
      </c>
      <c r="G3" s="1962">
        <v>101000400</v>
      </c>
    </row>
    <row r="4" spans="1:7" ht="15" x14ac:dyDescent="0.25">
      <c r="A4" t="s">
        <v>1000</v>
      </c>
      <c r="B4" s="135" t="str">
        <f>COVER!A17</f>
        <v xml:space="preserve">Saratoga CCSD 60C </v>
      </c>
      <c r="E4" s="1886">
        <v>44119</v>
      </c>
      <c r="F4" s="1887">
        <v>44151</v>
      </c>
      <c r="G4" s="1962">
        <v>101000600</v>
      </c>
    </row>
    <row r="5" spans="1:7" ht="15" x14ac:dyDescent="0.25">
      <c r="A5" t="s">
        <v>699</v>
      </c>
      <c r="B5" s="135" t="str">
        <f>COVER!A38</f>
        <v>Kathy Perry</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065-029342</v>
      </c>
      <c r="G15" s="1962">
        <v>402100400</v>
      </c>
    </row>
    <row r="16" spans="1:7" ht="15" x14ac:dyDescent="0.25">
      <c r="A16" t="s">
        <v>419</v>
      </c>
      <c r="B16" s="135" t="str">
        <f>COVER!T13</f>
        <v>Mack &amp; Associates, P.C.</v>
      </c>
      <c r="G16" s="1962">
        <v>402100600</v>
      </c>
    </row>
    <row r="17" spans="1:7" ht="15" x14ac:dyDescent="0.25">
      <c r="A17" t="s">
        <v>878</v>
      </c>
      <c r="B17" s="135" t="str">
        <f>COVER!T15</f>
        <v>Tawnya Mack, CPA</v>
      </c>
      <c r="G17" s="1962">
        <v>402100800</v>
      </c>
    </row>
    <row r="18" spans="1:7" ht="15" x14ac:dyDescent="0.25">
      <c r="A18" t="s">
        <v>1142</v>
      </c>
      <c r="B18" s="135" t="str">
        <f>COVER!T17</f>
        <v>116 E Washington St., Suite 1</v>
      </c>
      <c r="G18" s="1962">
        <v>102200300</v>
      </c>
    </row>
    <row r="19" spans="1:7" ht="15" x14ac:dyDescent="0.25">
      <c r="A19" t="s">
        <v>880</v>
      </c>
      <c r="B19" s="135" t="str">
        <f>COVER!T25</f>
        <v>tmack@mackcpas.com</v>
      </c>
      <c r="G19" s="1962">
        <v>102200400</v>
      </c>
    </row>
    <row r="20" spans="1:7" ht="15" x14ac:dyDescent="0.25">
      <c r="A20" t="s">
        <v>881</v>
      </c>
      <c r="B20" s="135" t="str">
        <f>COVER!T19</f>
        <v>Morris</v>
      </c>
      <c r="G20" s="1962">
        <v>102200600</v>
      </c>
    </row>
    <row r="21" spans="1:7" ht="15" x14ac:dyDescent="0.25">
      <c r="A21" t="s">
        <v>476</v>
      </c>
      <c r="B21" s="135" t="str">
        <f>COVER!X19</f>
        <v>IL</v>
      </c>
      <c r="G21" s="1962">
        <v>102200800</v>
      </c>
    </row>
    <row r="22" spans="1:7" ht="15" x14ac:dyDescent="0.25">
      <c r="A22" t="s">
        <v>882</v>
      </c>
      <c r="B22" s="135">
        <f>COVER!Z19</f>
        <v>60450</v>
      </c>
      <c r="G22" s="1962">
        <v>102300300</v>
      </c>
    </row>
    <row r="23" spans="1:7" ht="15" x14ac:dyDescent="0.25">
      <c r="A23" t="s">
        <v>1144</v>
      </c>
      <c r="B23" s="135" t="str">
        <f>COVER!T21</f>
        <v>815-942-3306</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2044389</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2729324</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2173505</v>
      </c>
      <c r="D92" s="2" t="str">
        <f t="shared" si="0"/>
        <v>Error?</v>
      </c>
      <c r="G92" s="1962">
        <v>102640600</v>
      </c>
    </row>
    <row r="93" spans="1:7" ht="15" x14ac:dyDescent="0.25">
      <c r="A93" s="5">
        <v>32</v>
      </c>
      <c r="B93" s="1890">
        <f>'Assets-Liab 5-6'!C41</f>
        <v>2729324</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127016</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779158</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779158</v>
      </c>
      <c r="D123" s="2" t="str">
        <f t="shared" si="0"/>
        <v>Error?</v>
      </c>
      <c r="G123" s="1962">
        <v>203000400</v>
      </c>
    </row>
    <row r="124" spans="1:7" ht="15" x14ac:dyDescent="0.25">
      <c r="A124" s="5">
        <v>63</v>
      </c>
      <c r="B124" s="1890">
        <f>'Assets-Liab 5-6'!D41</f>
        <v>779158</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225072</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1487971</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1487971</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135757</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580038</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580038</v>
      </c>
      <c r="D170" s="2" t="str">
        <f t="shared" si="1"/>
        <v>Error?</v>
      </c>
    </row>
    <row r="171" spans="1:4" x14ac:dyDescent="0.2">
      <c r="A171" s="5">
        <v>110</v>
      </c>
      <c r="B171" s="1890">
        <f>'Assets-Liab 5-6'!F41</f>
        <v>580038</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8008</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105284</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-16239</v>
      </c>
      <c r="D189" s="2" t="str">
        <f t="shared" si="1"/>
        <v>Error?</v>
      </c>
    </row>
    <row r="190" spans="1:4" x14ac:dyDescent="0.2">
      <c r="A190" s="5">
        <v>129</v>
      </c>
      <c r="B190" s="1890">
        <f>'Assets-Liab 5-6'!G41</f>
        <v>105284</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6331327</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7010102</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438328</v>
      </c>
      <c r="D212" s="2" t="str">
        <f t="shared" si="2"/>
        <v>Error?</v>
      </c>
    </row>
    <row r="213" spans="1:4" x14ac:dyDescent="0.2">
      <c r="A213" s="12">
        <v>152</v>
      </c>
      <c r="B213" s="1890">
        <f>'Assets-Liab 5-6'!H41</f>
        <v>7010102</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510156</v>
      </c>
      <c r="D273" s="2" t="str">
        <f t="shared" si="3"/>
        <v>Error?</v>
      </c>
    </row>
    <row r="274" spans="1:4" x14ac:dyDescent="0.2">
      <c r="A274" s="5">
        <v>213</v>
      </c>
      <c r="B274" s="1890">
        <f>'Assets-Liab 5-6'!M17</f>
        <v>12543955</v>
      </c>
      <c r="D274" s="2" t="str">
        <f t="shared" si="3"/>
        <v>Error?</v>
      </c>
    </row>
    <row r="275" spans="1:4" x14ac:dyDescent="0.2">
      <c r="A275" s="5">
        <v>214</v>
      </c>
      <c r="B275" s="1890">
        <f>'Assets-Liab 5-6'!M18</f>
        <v>241342</v>
      </c>
      <c r="D275" s="2" t="str">
        <f t="shared" si="3"/>
        <v>Error?</v>
      </c>
    </row>
    <row r="276" spans="1:4" x14ac:dyDescent="0.2">
      <c r="A276" s="5">
        <v>215</v>
      </c>
      <c r="B276" s="1890">
        <f>'Assets-Liab 5-6'!M19</f>
        <v>298956</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21063811</v>
      </c>
      <c r="C279" s="2" t="s">
        <v>569</v>
      </c>
      <c r="D279" s="2" t="str">
        <f t="shared" si="3"/>
        <v>Error?</v>
      </c>
    </row>
    <row r="280" spans="1:4" x14ac:dyDescent="0.2">
      <c r="A280" s="5">
        <v>219</v>
      </c>
      <c r="B280" s="1890">
        <f>'Assets-Liab 5-6'!M40</f>
        <v>21063811</v>
      </c>
      <c r="D280" s="2" t="str">
        <f t="shared" si="3"/>
        <v>Error?</v>
      </c>
    </row>
    <row r="281" spans="1:4" x14ac:dyDescent="0.2">
      <c r="A281" s="5">
        <v>220</v>
      </c>
      <c r="B281" s="1890">
        <f>'Assets-Liab 5-6'!M41</f>
        <v>21063811</v>
      </c>
      <c r="C281" s="2" t="s">
        <v>569</v>
      </c>
      <c r="D281" s="2" t="str">
        <f t="shared" si="3"/>
        <v>Error?</v>
      </c>
    </row>
    <row r="282" spans="1:4" x14ac:dyDescent="0.2">
      <c r="A282" s="5">
        <v>221</v>
      </c>
      <c r="B282" s="1890">
        <f>'Assets-Liab 5-6'!N21</f>
        <v>1487971</v>
      </c>
      <c r="D282" s="2" t="str">
        <f t="shared" si="3"/>
        <v>Error?</v>
      </c>
    </row>
    <row r="283" spans="1:4" x14ac:dyDescent="0.2">
      <c r="A283" s="5">
        <v>222</v>
      </c>
      <c r="B283" s="1890">
        <f>'Assets-Liab 5-6'!N22</f>
        <v>17497029</v>
      </c>
      <c r="D283" s="2" t="str">
        <f t="shared" si="3"/>
        <v>Error?</v>
      </c>
    </row>
    <row r="284" spans="1:4" x14ac:dyDescent="0.2">
      <c r="A284" s="5">
        <v>223</v>
      </c>
      <c r="B284" s="1890">
        <f>'Assets-Liab 5-6'!N23</f>
        <v>18985000</v>
      </c>
      <c r="C284" s="2" t="s">
        <v>569</v>
      </c>
      <c r="D284" s="2" t="str">
        <f t="shared" si="3"/>
        <v>Error?</v>
      </c>
    </row>
    <row r="285" spans="1:4" x14ac:dyDescent="0.2">
      <c r="A285" s="5">
        <v>224</v>
      </c>
      <c r="B285" s="1890">
        <f>'Assets-Liab 5-6'!N36</f>
        <v>18985000</v>
      </c>
      <c r="D285" s="2" t="str">
        <f t="shared" si="3"/>
        <v>Error?</v>
      </c>
    </row>
    <row r="286" spans="1:4" x14ac:dyDescent="0.2">
      <c r="A286" s="10">
        <v>225</v>
      </c>
      <c r="B286" s="1890"/>
      <c r="D286" s="2" t="str">
        <f t="shared" si="3"/>
        <v>OK</v>
      </c>
    </row>
    <row r="287" spans="1:4" x14ac:dyDescent="0.2">
      <c r="A287" s="5">
        <v>226</v>
      </c>
      <c r="B287" s="1890">
        <f>'Assets-Liab 5-6'!N37</f>
        <v>18985000</v>
      </c>
      <c r="C287" s="2" t="s">
        <v>569</v>
      </c>
      <c r="D287" s="2" t="str">
        <f t="shared" si="3"/>
        <v>Error?</v>
      </c>
    </row>
    <row r="288" spans="1:4" x14ac:dyDescent="0.2">
      <c r="A288" s="5">
        <v>227</v>
      </c>
      <c r="B288" s="1890">
        <f>'Assets-Liab 5-6'!N41</f>
        <v>18985000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10300000</v>
      </c>
      <c r="D618" s="2" t="str">
        <f t="shared" si="8"/>
        <v>Error?</v>
      </c>
    </row>
    <row r="619" spans="1:4" x14ac:dyDescent="0.2">
      <c r="A619" s="5">
        <v>558</v>
      </c>
      <c r="B619" s="1890">
        <f>'Acct Summary 7-8'!H34</f>
        <v>627698</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2700000</v>
      </c>
      <c r="D651" s="2" t="str">
        <f t="shared" si="9"/>
        <v>Error?</v>
      </c>
    </row>
    <row r="652" spans="1:4" x14ac:dyDescent="0.2">
      <c r="A652" s="5">
        <v>591</v>
      </c>
      <c r="B652" s="1890">
        <f>'Acct Summary 7-8'!I34</f>
        <v>541176</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2208881</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49980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68535</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3114707</v>
      </c>
      <c r="C720" s="2" t="s">
        <v>569</v>
      </c>
      <c r="D720" s="2" t="str">
        <f t="shared" si="10"/>
        <v>Error?</v>
      </c>
    </row>
    <row r="721" spans="1:4" x14ac:dyDescent="0.2">
      <c r="A721" s="5">
        <v>660</v>
      </c>
      <c r="B721" s="1890">
        <f>'Expenditures 15-22'!C36</f>
        <v>121267</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68881</v>
      </c>
      <c r="D723" s="2" t="str">
        <f t="shared" si="10"/>
        <v>Error?</v>
      </c>
    </row>
    <row r="724" spans="1:4" x14ac:dyDescent="0.2">
      <c r="A724" s="5">
        <v>663</v>
      </c>
      <c r="B724" s="1890">
        <f>'Expenditures 15-22'!C39</f>
        <v>58573</v>
      </c>
      <c r="D724" s="2" t="str">
        <f t="shared" si="10"/>
        <v>Error?</v>
      </c>
    </row>
    <row r="725" spans="1:4" x14ac:dyDescent="0.2">
      <c r="A725" s="5">
        <v>664</v>
      </c>
      <c r="B725" s="1890">
        <f>'Expenditures 15-22'!C40</f>
        <v>97993</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346714</v>
      </c>
      <c r="C727" s="2" t="s">
        <v>569</v>
      </c>
      <c r="D727" s="2" t="str">
        <f t="shared" si="10"/>
        <v>Error?</v>
      </c>
    </row>
    <row r="728" spans="1:4" x14ac:dyDescent="0.2">
      <c r="A728" s="5">
        <v>667</v>
      </c>
      <c r="B728" s="1890">
        <f>'Expenditures 15-22'!C44</f>
        <v>25525</v>
      </c>
      <c r="D728" s="2" t="str">
        <f t="shared" si="10"/>
        <v>Error?</v>
      </c>
    </row>
    <row r="729" spans="1:4" x14ac:dyDescent="0.2">
      <c r="A729" s="5">
        <v>668</v>
      </c>
      <c r="B729" s="1890">
        <f>'Expenditures 15-22'!C45</f>
        <v>170616</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196141</v>
      </c>
      <c r="C731" s="2" t="s">
        <v>569</v>
      </c>
      <c r="D731" s="2" t="str">
        <f t="shared" si="10"/>
        <v>Error?</v>
      </c>
    </row>
    <row r="732" spans="1:4" x14ac:dyDescent="0.2">
      <c r="A732" s="5">
        <v>671</v>
      </c>
      <c r="B732" s="1890">
        <f>'Expenditures 15-22'!C49</f>
        <v>3461</v>
      </c>
      <c r="D732" s="2" t="str">
        <f t="shared" si="10"/>
        <v>Error?</v>
      </c>
    </row>
    <row r="733" spans="1:4" x14ac:dyDescent="0.2">
      <c r="A733" s="5">
        <v>672</v>
      </c>
      <c r="B733" s="1890">
        <f>'Expenditures 15-22'!C50</f>
        <v>115878</v>
      </c>
      <c r="D733" s="2" t="str">
        <f t="shared" si="10"/>
        <v>Error?</v>
      </c>
    </row>
    <row r="734" spans="1:4" x14ac:dyDescent="0.2">
      <c r="A734" s="5">
        <v>673</v>
      </c>
      <c r="B734" s="1890">
        <f>'Expenditures 15-22'!C53</f>
        <v>156163</v>
      </c>
      <c r="C734" s="2" t="s">
        <v>569</v>
      </c>
      <c r="D734" s="2" t="str">
        <f t="shared" si="10"/>
        <v>Error?</v>
      </c>
    </row>
    <row r="735" spans="1:4" x14ac:dyDescent="0.2">
      <c r="A735" s="5">
        <v>674</v>
      </c>
      <c r="B735" s="1890">
        <f>'Expenditures 15-22'!C55</f>
        <v>196333</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196333</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66498</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62179</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128677</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1024028</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4138735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481550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5683</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7913</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571485</v>
      </c>
      <c r="C778" s="2" t="s">
        <v>569</v>
      </c>
      <c r="D778" s="2" t="str">
        <f t="shared" si="11"/>
        <v>Error?</v>
      </c>
    </row>
    <row r="779" spans="1:4" x14ac:dyDescent="0.2">
      <c r="A779" s="5">
        <v>718</v>
      </c>
      <c r="B779" s="1890">
        <f>'Expenditures 15-22'!D36</f>
        <v>15157</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9463</v>
      </c>
      <c r="D782" s="2" t="str">
        <f t="shared" si="11"/>
        <v>Error?</v>
      </c>
    </row>
    <row r="783" spans="1:4" x14ac:dyDescent="0.2">
      <c r="A783" s="5">
        <v>722</v>
      </c>
      <c r="B783" s="1890">
        <f>'Expenditures 15-22'!D40</f>
        <v>24811</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49431</v>
      </c>
      <c r="C785" s="2" t="s">
        <v>569</v>
      </c>
      <c r="D785" s="2" t="str">
        <f t="shared" si="11"/>
        <v>Error?</v>
      </c>
    </row>
    <row r="786" spans="1:4" x14ac:dyDescent="0.2">
      <c r="A786" s="5">
        <v>725</v>
      </c>
      <c r="B786" s="1890">
        <f>'Expenditures 15-22'!D44</f>
        <v>3178</v>
      </c>
      <c r="D786" s="2" t="str">
        <f t="shared" si="11"/>
        <v>Error?</v>
      </c>
    </row>
    <row r="787" spans="1:4" x14ac:dyDescent="0.2">
      <c r="A787" s="5">
        <v>726</v>
      </c>
      <c r="B787" s="1890">
        <f>'Expenditures 15-22'!D45</f>
        <v>20974</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24152</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17471</v>
      </c>
      <c r="D791" s="2" t="str">
        <f t="shared" si="11"/>
        <v>Error?</v>
      </c>
    </row>
    <row r="792" spans="1:4" x14ac:dyDescent="0.2">
      <c r="A792" s="5">
        <v>731</v>
      </c>
      <c r="B792" s="1890">
        <f>'Expenditures 15-22'!D53</f>
        <v>25198</v>
      </c>
      <c r="C792" s="2" t="s">
        <v>569</v>
      </c>
      <c r="D792" s="2" t="str">
        <f t="shared" si="11"/>
        <v>Error?</v>
      </c>
    </row>
    <row r="793" spans="1:4" x14ac:dyDescent="0.2">
      <c r="A793" s="5">
        <v>732</v>
      </c>
      <c r="B793" s="1890">
        <f>'Expenditures 15-22'!D55</f>
        <v>14229</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14229</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5574</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5574</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118584</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690069</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23365</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17796</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49271</v>
      </c>
      <c r="C836" s="2" t="s">
        <v>569</v>
      </c>
      <c r="D836" s="2" t="str">
        <f t="shared" si="12"/>
        <v>Error?</v>
      </c>
    </row>
    <row r="837" spans="1:4" x14ac:dyDescent="0.2">
      <c r="A837" s="5">
        <v>776</v>
      </c>
      <c r="B837" s="1890">
        <f>'Expenditures 15-22'!E36</f>
        <v>3029</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550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3579</v>
      </c>
      <c r="C843" s="2" t="s">
        <v>569</v>
      </c>
      <c r="D843" s="2" t="str">
        <f t="shared" si="12"/>
        <v>Error?</v>
      </c>
    </row>
    <row r="844" spans="1:4" x14ac:dyDescent="0.2">
      <c r="A844" s="5">
        <v>783</v>
      </c>
      <c r="B844" s="1890">
        <f>'Expenditures 15-22'!E44</f>
        <v>30114</v>
      </c>
      <c r="D844" s="2" t="str">
        <f t="shared" si="12"/>
        <v>Error?</v>
      </c>
    </row>
    <row r="845" spans="1:4" x14ac:dyDescent="0.2">
      <c r="A845" s="5">
        <v>784</v>
      </c>
      <c r="B845" s="1890">
        <f>'Expenditures 15-22'!E45</f>
        <v>11112</v>
      </c>
      <c r="D845" s="2" t="str">
        <f t="shared" si="12"/>
        <v>Error?</v>
      </c>
    </row>
    <row r="846" spans="1:4" x14ac:dyDescent="0.2">
      <c r="A846" s="5">
        <v>785</v>
      </c>
      <c r="B846" s="1890">
        <f>'Expenditures 15-22'!E46</f>
        <v>1105</v>
      </c>
      <c r="D846" s="2" t="str">
        <f t="shared" si="12"/>
        <v>Error?</v>
      </c>
    </row>
    <row r="847" spans="1:4" x14ac:dyDescent="0.2">
      <c r="A847" s="5">
        <v>786</v>
      </c>
      <c r="B847" s="1890">
        <f>'Expenditures 15-22'!E47</f>
        <v>42331</v>
      </c>
      <c r="C847" s="2" t="s">
        <v>569</v>
      </c>
      <c r="D847" s="2" t="str">
        <f t="shared" si="12"/>
        <v>Error?</v>
      </c>
    </row>
    <row r="848" spans="1:4" x14ac:dyDescent="0.2">
      <c r="A848" s="5">
        <v>787</v>
      </c>
      <c r="B848" s="1890">
        <f>'Expenditures 15-22'!E49</f>
        <v>41132</v>
      </c>
      <c r="D848" s="2" t="str">
        <f t="shared" si="12"/>
        <v>Error?</v>
      </c>
    </row>
    <row r="849" spans="1:4" x14ac:dyDescent="0.2">
      <c r="A849" s="5">
        <v>788</v>
      </c>
      <c r="B849" s="1890">
        <f>'Expenditures 15-22'!E50</f>
        <v>219</v>
      </c>
      <c r="D849" s="2" t="str">
        <f t="shared" si="12"/>
        <v>Error?</v>
      </c>
    </row>
    <row r="850" spans="1:4" x14ac:dyDescent="0.2">
      <c r="A850" s="5">
        <v>789</v>
      </c>
      <c r="B850" s="1890">
        <f>'Expenditures 15-22'!E53</f>
        <v>41351</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107793</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107793</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195054</v>
      </c>
      <c r="C871" s="2" t="s">
        <v>569</v>
      </c>
      <c r="D871" s="2" t="str">
        <f t="shared" si="12"/>
        <v>Error?</v>
      </c>
    </row>
    <row r="872" spans="1:4" x14ac:dyDescent="0.2">
      <c r="A872" s="5">
        <v>811</v>
      </c>
      <c r="B872" s="1890">
        <f>'Expenditures 15-22'!E75</f>
        <v>10163</v>
      </c>
      <c r="D872" s="2" t="str">
        <f t="shared" si="12"/>
        <v>Error?</v>
      </c>
    </row>
    <row r="873" spans="1:4" x14ac:dyDescent="0.2">
      <c r="A873" s="5">
        <v>812</v>
      </c>
      <c r="B873" s="1890">
        <f>'Expenditures 15-22'!E114</f>
        <v>254488</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206406</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3919</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233936</v>
      </c>
      <c r="C894" s="2" t="s">
        <v>569</v>
      </c>
      <c r="D894" s="2" t="str">
        <f t="shared" si="12"/>
        <v>Error?</v>
      </c>
    </row>
    <row r="895" spans="1:4" x14ac:dyDescent="0.2">
      <c r="A895" s="5">
        <v>834</v>
      </c>
      <c r="B895" s="1890">
        <f>'Expenditures 15-22'!F36</f>
        <v>3826</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1632</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95</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5553</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14387</v>
      </c>
      <c r="D903" s="2" t="str">
        <f t="shared" si="13"/>
        <v>Error?</v>
      </c>
    </row>
    <row r="904" spans="1:4" x14ac:dyDescent="0.2">
      <c r="A904" s="5">
        <v>843</v>
      </c>
      <c r="B904" s="1890">
        <f>'Expenditures 15-22'!F46</f>
        <v>776</v>
      </c>
      <c r="D904" s="2" t="str">
        <f t="shared" si="13"/>
        <v>Error?</v>
      </c>
    </row>
    <row r="905" spans="1:4" x14ac:dyDescent="0.2">
      <c r="A905" s="5">
        <v>844</v>
      </c>
      <c r="B905" s="1890">
        <f>'Expenditures 15-22'!F47</f>
        <v>15163</v>
      </c>
      <c r="C905" s="2" t="s">
        <v>569</v>
      </c>
      <c r="D905" s="2" t="str">
        <f t="shared" si="13"/>
        <v>Error?</v>
      </c>
    </row>
    <row r="906" spans="1:4" x14ac:dyDescent="0.2">
      <c r="A906" s="5">
        <v>845</v>
      </c>
      <c r="B906" s="1890">
        <f>'Expenditures 15-22'!F49</f>
        <v>9215</v>
      </c>
      <c r="D906" s="2" t="str">
        <f t="shared" si="13"/>
        <v>Error?</v>
      </c>
    </row>
    <row r="907" spans="1:4" x14ac:dyDescent="0.2">
      <c r="A907" s="5">
        <v>846</v>
      </c>
      <c r="B907" s="1890">
        <f>'Expenditures 15-22'!F50</f>
        <v>275</v>
      </c>
      <c r="D907" s="2" t="str">
        <f t="shared" si="13"/>
        <v>Error?</v>
      </c>
    </row>
    <row r="908" spans="1:4" x14ac:dyDescent="0.2">
      <c r="A908" s="5">
        <v>847</v>
      </c>
      <c r="B908" s="1890">
        <f>'Expenditures 15-22'!F53</f>
        <v>9490</v>
      </c>
      <c r="C908" s="2" t="s">
        <v>569</v>
      </c>
      <c r="D908" s="2" t="str">
        <f t="shared" si="13"/>
        <v>Error?</v>
      </c>
    </row>
    <row r="909" spans="1:4" x14ac:dyDescent="0.2">
      <c r="A909" s="5">
        <v>848</v>
      </c>
      <c r="B909" s="1890">
        <f>'Expenditures 15-22'!F55</f>
        <v>59</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59</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5788</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1903</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7691</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354</v>
      </c>
      <c r="D928" s="2" t="str">
        <f t="shared" si="13"/>
        <v>Error?</v>
      </c>
    </row>
    <row r="929" spans="1:4" x14ac:dyDescent="0.2">
      <c r="A929" s="5">
        <v>868</v>
      </c>
      <c r="B929" s="1890">
        <f>'Expenditures 15-22'!F74</f>
        <v>38310</v>
      </c>
      <c r="C929" s="2" t="s">
        <v>569</v>
      </c>
      <c r="D929" s="2" t="str">
        <f t="shared" si="13"/>
        <v>Error?</v>
      </c>
    </row>
    <row r="930" spans="1:4" x14ac:dyDescent="0.2">
      <c r="A930" s="5">
        <v>869</v>
      </c>
      <c r="B930" s="1890">
        <f>'Expenditures 15-22'!F75</f>
        <v>885</v>
      </c>
      <c r="D930" s="2" t="str">
        <f t="shared" si="13"/>
        <v>Error?</v>
      </c>
    </row>
    <row r="931" spans="1:4" x14ac:dyDescent="0.2">
      <c r="A931" s="5">
        <v>870</v>
      </c>
      <c r="B931" s="1890">
        <f>'Expenditures 15-22'!F114</f>
        <v>273131</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436</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4022</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161106</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679</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679</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3820</v>
      </c>
      <c r="D1022" s="2" t="str">
        <f t="shared" si="14"/>
        <v>Error?</v>
      </c>
    </row>
    <row r="1023" spans="1:4" x14ac:dyDescent="0.2">
      <c r="A1023" s="5">
        <v>962</v>
      </c>
      <c r="B1023" s="1890">
        <f>'Expenditures 15-22'!H50</f>
        <v>1931</v>
      </c>
      <c r="D1023" s="2" t="str">
        <f t="shared" ref="D1023:D1086" si="15">IF(ISBLANK(B1023),"OK",IF(A1023-B1023=0,"OK","Error?"))</f>
        <v>Error?</v>
      </c>
    </row>
    <row r="1024" spans="1:4" x14ac:dyDescent="0.2">
      <c r="A1024" s="5">
        <v>963</v>
      </c>
      <c r="B1024" s="1890">
        <f>'Expenditures 15-22'!H53</f>
        <v>5751</v>
      </c>
      <c r="C1024" s="2" t="s">
        <v>569</v>
      </c>
      <c r="D1024" s="2" t="str">
        <f t="shared" si="15"/>
        <v>Error?</v>
      </c>
    </row>
    <row r="1025" spans="1:4" x14ac:dyDescent="0.2">
      <c r="A1025" s="5">
        <v>964</v>
      </c>
      <c r="B1025" s="1890">
        <f>'Expenditures 15-22'!H55</f>
        <v>440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440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6870</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491422</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659398</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2920638</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55663</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102185</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4130505</v>
      </c>
      <c r="C1108" s="2" t="s">
        <v>569</v>
      </c>
      <c r="D1108" s="2" t="str">
        <f t="shared" si="16"/>
        <v>Error?</v>
      </c>
    </row>
    <row r="1109" spans="1:4" x14ac:dyDescent="0.2">
      <c r="A1109" s="5">
        <v>1048</v>
      </c>
      <c r="B1109" s="1890">
        <f>'Expenditures 15-22'!K36</f>
        <v>143279</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71063</v>
      </c>
      <c r="C1111" s="2" t="s">
        <v>569</v>
      </c>
      <c r="D1111" s="2" t="str">
        <f t="shared" si="16"/>
        <v>Error?</v>
      </c>
    </row>
    <row r="1112" spans="1:4" x14ac:dyDescent="0.2">
      <c r="A1112" s="5">
        <v>1051</v>
      </c>
      <c r="B1112" s="1890">
        <f>'Expenditures 15-22'!K39</f>
        <v>68036</v>
      </c>
      <c r="C1112" s="2" t="s">
        <v>569</v>
      </c>
      <c r="D1112" s="2" t="str">
        <f t="shared" si="16"/>
        <v>Error?</v>
      </c>
    </row>
    <row r="1113" spans="1:4" x14ac:dyDescent="0.2">
      <c r="A1113" s="5">
        <v>1052</v>
      </c>
      <c r="B1113" s="1890">
        <f>'Expenditures 15-22'!K40</f>
        <v>123578</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405956</v>
      </c>
      <c r="C1115" s="2" t="s">
        <v>569</v>
      </c>
      <c r="D1115" s="2" t="str">
        <f t="shared" si="16"/>
        <v>Error?</v>
      </c>
    </row>
    <row r="1116" spans="1:4" x14ac:dyDescent="0.2">
      <c r="A1116" s="5">
        <v>1055</v>
      </c>
      <c r="B1116" s="1890">
        <f>'Expenditures 15-22'!K44</f>
        <v>58817</v>
      </c>
      <c r="C1116" s="2" t="s">
        <v>569</v>
      </c>
      <c r="D1116" s="2" t="str">
        <f t="shared" si="16"/>
        <v>Error?</v>
      </c>
    </row>
    <row r="1117" spans="1:4" x14ac:dyDescent="0.2">
      <c r="A1117" s="5">
        <v>1056</v>
      </c>
      <c r="B1117" s="1890">
        <f>'Expenditures 15-22'!K45</f>
        <v>335723</v>
      </c>
      <c r="C1117" s="2" t="s">
        <v>569</v>
      </c>
      <c r="D1117" s="2" t="str">
        <f t="shared" si="16"/>
        <v>Error?</v>
      </c>
    </row>
    <row r="1118" spans="1:4" x14ac:dyDescent="0.2">
      <c r="A1118" s="5">
        <v>1057</v>
      </c>
      <c r="B1118" s="1890">
        <f>'Expenditures 15-22'!K46</f>
        <v>1881</v>
      </c>
      <c r="C1118" s="2" t="s">
        <v>569</v>
      </c>
      <c r="D1118" s="2" t="str">
        <f t="shared" si="16"/>
        <v>Error?</v>
      </c>
    </row>
    <row r="1119" spans="1:4" x14ac:dyDescent="0.2">
      <c r="A1119" s="5">
        <v>1058</v>
      </c>
      <c r="B1119" s="1890">
        <f>'Expenditures 15-22'!K47</f>
        <v>396421</v>
      </c>
      <c r="C1119" s="2" t="s">
        <v>569</v>
      </c>
      <c r="D1119" s="2" t="str">
        <f t="shared" si="16"/>
        <v>Error?</v>
      </c>
    </row>
    <row r="1120" spans="1:4" x14ac:dyDescent="0.2">
      <c r="A1120" s="5">
        <v>1059</v>
      </c>
      <c r="B1120" s="1890">
        <f>'Expenditures 15-22'!K49</f>
        <v>57628</v>
      </c>
      <c r="C1120" s="2" t="s">
        <v>569</v>
      </c>
      <c r="D1120" s="2" t="str">
        <f t="shared" si="16"/>
        <v>Error?</v>
      </c>
    </row>
    <row r="1121" spans="1:4" x14ac:dyDescent="0.2">
      <c r="A1121" s="5">
        <v>1060</v>
      </c>
      <c r="B1121" s="1890">
        <f>'Expenditures 15-22'!K50</f>
        <v>135774</v>
      </c>
      <c r="C1121" s="2" t="s">
        <v>569</v>
      </c>
      <c r="D1121" s="2" t="str">
        <f t="shared" si="16"/>
        <v>Error?</v>
      </c>
    </row>
    <row r="1122" spans="1:4" x14ac:dyDescent="0.2">
      <c r="A1122" s="5">
        <v>1061</v>
      </c>
      <c r="B1122" s="1890">
        <f>'Expenditures 15-22'!K53</f>
        <v>237953</v>
      </c>
      <c r="C1122" s="2" t="s">
        <v>569</v>
      </c>
      <c r="D1122" s="2" t="str">
        <f t="shared" si="16"/>
        <v>Error?</v>
      </c>
    </row>
    <row r="1123" spans="1:4" x14ac:dyDescent="0.2">
      <c r="A1123" s="5">
        <v>1062</v>
      </c>
      <c r="B1123" s="1890">
        <f>'Expenditures 15-22'!K55</f>
        <v>211061</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211061</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77860</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171875</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249735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354</v>
      </c>
      <c r="C1142" s="2" t="s">
        <v>569</v>
      </c>
      <c r="D1142" s="2" t="str">
        <f t="shared" si="16"/>
        <v>Error?</v>
      </c>
    </row>
    <row r="1143" spans="1:4" x14ac:dyDescent="0.2">
      <c r="A1143" s="5">
        <v>1082</v>
      </c>
      <c r="B1143" s="1890">
        <f>'Expenditures 15-22'!K74</f>
        <v>1501480</v>
      </c>
      <c r="C1143" s="2" t="s">
        <v>569</v>
      </c>
      <c r="D1143" s="2" t="str">
        <f t="shared" si="16"/>
        <v>Error?</v>
      </c>
    </row>
    <row r="1144" spans="1:4" x14ac:dyDescent="0.2">
      <c r="A1144" s="5">
        <v>1083</v>
      </c>
      <c r="B1144" s="1890">
        <f>'Expenditures 15-22'!K75</f>
        <v>11048</v>
      </c>
      <c r="C1144" s="2" t="s">
        <v>569</v>
      </c>
      <c r="D1144" s="2" t="str">
        <f t="shared" si="16"/>
        <v>Error?</v>
      </c>
    </row>
    <row r="1145" spans="1:4" x14ac:dyDescent="0.2">
      <c r="A1145" s="5">
        <v>1084</v>
      </c>
      <c r="B1145" s="1890">
        <f>'Expenditures 15-22'!K102</f>
        <v>491422</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6134455</v>
      </c>
      <c r="C1152" s="2" t="s">
        <v>569</v>
      </c>
      <c r="D1152" s="2" t="str">
        <f t="shared" si="17"/>
        <v>Error?</v>
      </c>
    </row>
    <row r="1153" spans="1:4" x14ac:dyDescent="0.2">
      <c r="A1153" s="5">
        <v>1092</v>
      </c>
      <c r="B1153" s="1890">
        <f>'Expenditures 15-22'!K115</f>
        <v>92151</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24382</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195019</v>
      </c>
      <c r="D1221" s="2" t="str">
        <f t="shared" si="18"/>
        <v>Error?</v>
      </c>
    </row>
    <row r="1222" spans="1:4" x14ac:dyDescent="0.2">
      <c r="A1222" s="10">
        <v>1161</v>
      </c>
      <c r="B1222" s="1890"/>
      <c r="D1222" s="2" t="str">
        <f t="shared" si="18"/>
        <v>OK</v>
      </c>
    </row>
    <row r="1223" spans="1:4" x14ac:dyDescent="0.2">
      <c r="A1223" s="5">
        <v>1162</v>
      </c>
      <c r="B1223" s="1890">
        <f>'Expenditures 15-22'!C127</f>
        <v>219401</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219401</v>
      </c>
      <c r="C1225" s="2" t="s">
        <v>569</v>
      </c>
      <c r="D1225" s="2" t="str">
        <f t="shared" si="18"/>
        <v>Error?</v>
      </c>
    </row>
    <row r="1226" spans="1:4" x14ac:dyDescent="0.2">
      <c r="A1226" s="5">
        <v>1165</v>
      </c>
      <c r="B1226" s="1890">
        <f>'Expenditures 15-22'!C151</f>
        <v>219401</v>
      </c>
      <c r="C1226" s="2" t="s">
        <v>569</v>
      </c>
      <c r="D1226" s="2" t="str">
        <f t="shared" si="18"/>
        <v>Error?</v>
      </c>
    </row>
    <row r="1227" spans="1:4" x14ac:dyDescent="0.2">
      <c r="A1227" s="5">
        <v>1166</v>
      </c>
      <c r="B1227" s="1890">
        <f>'Expenditures 15-22'!D122</f>
        <v>4120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12633</v>
      </c>
      <c r="D1229" s="2" t="str">
        <f t="shared" si="18"/>
        <v>Error?</v>
      </c>
    </row>
    <row r="1230" spans="1:4" x14ac:dyDescent="0.2">
      <c r="A1230" s="10">
        <v>1169</v>
      </c>
      <c r="B1230" s="1890"/>
      <c r="D1230" s="2" t="str">
        <f t="shared" si="18"/>
        <v>OK</v>
      </c>
    </row>
    <row r="1231" spans="1:4" x14ac:dyDescent="0.2">
      <c r="A1231" s="5">
        <v>1170</v>
      </c>
      <c r="B1231" s="1890">
        <f>'Expenditures 15-22'!D127</f>
        <v>16753</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16753</v>
      </c>
      <c r="C1233" s="2" t="s">
        <v>569</v>
      </c>
      <c r="D1233" s="2" t="str">
        <f t="shared" si="18"/>
        <v>Error?</v>
      </c>
    </row>
    <row r="1234" spans="1:4" x14ac:dyDescent="0.2">
      <c r="A1234" s="5">
        <v>1173</v>
      </c>
      <c r="B1234" s="1890">
        <f>'Expenditures 15-22'!D151</f>
        <v>16753</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72317</v>
      </c>
      <c r="D1237" s="2" t="str">
        <f t="shared" si="18"/>
        <v>Error?</v>
      </c>
    </row>
    <row r="1238" spans="1:4" x14ac:dyDescent="0.2">
      <c r="A1238" s="10">
        <v>1177</v>
      </c>
      <c r="B1238" s="1890"/>
      <c r="D1238" s="2" t="str">
        <f t="shared" si="18"/>
        <v>OK</v>
      </c>
    </row>
    <row r="1239" spans="1:4" x14ac:dyDescent="0.2">
      <c r="A1239" s="5">
        <v>1178</v>
      </c>
      <c r="B1239" s="1890">
        <f>'Expenditures 15-22'!E127</f>
        <v>72317</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72317</v>
      </c>
      <c r="C1241" s="2" t="s">
        <v>569</v>
      </c>
      <c r="D1241" s="2" t="str">
        <f t="shared" si="18"/>
        <v>Error?</v>
      </c>
    </row>
    <row r="1242" spans="1:4" x14ac:dyDescent="0.2">
      <c r="A1242" s="5">
        <v>1181</v>
      </c>
      <c r="B1242" s="1890">
        <f>'Expenditures 15-22'!E151</f>
        <v>72317</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136330</v>
      </c>
      <c r="D1245" s="2" t="str">
        <f t="shared" si="18"/>
        <v>Error?</v>
      </c>
    </row>
    <row r="1246" spans="1:4" x14ac:dyDescent="0.2">
      <c r="A1246" s="10">
        <v>1185</v>
      </c>
      <c r="B1246" s="1890"/>
      <c r="D1246" s="2" t="str">
        <f t="shared" si="18"/>
        <v>OK</v>
      </c>
    </row>
    <row r="1247" spans="1:4" x14ac:dyDescent="0.2">
      <c r="A1247" s="5">
        <v>1186</v>
      </c>
      <c r="B1247" s="1890">
        <f>'Expenditures 15-22'!F127</f>
        <v>136330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136330</v>
      </c>
      <c r="C1249" s="2" t="s">
        <v>569</v>
      </c>
      <c r="D1249" s="2" t="str">
        <f t="shared" si="18"/>
        <v>Error?</v>
      </c>
    </row>
    <row r="1250" spans="1:4" x14ac:dyDescent="0.2">
      <c r="A1250" s="5">
        <v>1189</v>
      </c>
      <c r="B1250" s="1890">
        <f>'Expenditures 15-22'!F151</f>
        <v>136330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25804</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25804</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25804</v>
      </c>
      <c r="C1258" s="2" t="s">
        <v>569</v>
      </c>
      <c r="D1258" s="2" t="str">
        <f t="shared" si="18"/>
        <v>Error?</v>
      </c>
    </row>
    <row r="1259" spans="1:4" x14ac:dyDescent="0.2">
      <c r="A1259" s="5">
        <v>1198</v>
      </c>
      <c r="B1259" s="1890">
        <f>'Expenditures 15-22'!G151</f>
        <v>25804</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28502</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448742</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477244</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477244</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477244</v>
      </c>
      <c r="C1288" s="2" t="s">
        <v>569</v>
      </c>
      <c r="D1288" s="2" t="str">
        <f t="shared" si="19"/>
        <v>Error?</v>
      </c>
    </row>
    <row r="1289" spans="1:4" x14ac:dyDescent="0.2">
      <c r="A1289" s="5">
        <v>1228</v>
      </c>
      <c r="B1289" s="1890">
        <f>'Expenditures 15-22'!K152</f>
        <v>120100</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268600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730000</v>
      </c>
      <c r="D1315" s="2" t="str">
        <f t="shared" si="19"/>
        <v>Error?</v>
      </c>
    </row>
    <row r="1316" spans="1:4" x14ac:dyDescent="0.2">
      <c r="A1316" s="5">
        <v>1255</v>
      </c>
      <c r="B1316" s="1890">
        <f>'Expenditures 15-22'!H171</f>
        <v>450</v>
      </c>
      <c r="D1316" s="2" t="str">
        <f t="shared" si="19"/>
        <v>Error?</v>
      </c>
    </row>
    <row r="1317" spans="1:4" x14ac:dyDescent="0.2">
      <c r="A1317" s="5">
        <v>1256</v>
      </c>
      <c r="B1317" s="1890">
        <f>'Expenditures 15-22'!H172</f>
        <v>999050</v>
      </c>
      <c r="C1317" s="2" t="s">
        <v>569</v>
      </c>
      <c r="D1317" s="2" t="str">
        <f t="shared" si="19"/>
        <v>Error?</v>
      </c>
    </row>
    <row r="1318" spans="1:4" x14ac:dyDescent="0.2">
      <c r="A1318" s="5">
        <v>1257</v>
      </c>
      <c r="B1318" s="1890">
        <f>'Expenditures 15-22'!H174</f>
        <v>999050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268600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730000</v>
      </c>
      <c r="C1329" s="2" t="s">
        <v>569</v>
      </c>
      <c r="D1329" s="2" t="str">
        <f t="shared" si="19"/>
        <v>Error?</v>
      </c>
    </row>
    <row r="1330" spans="1:4" x14ac:dyDescent="0.2">
      <c r="A1330" s="5">
        <v>1269</v>
      </c>
      <c r="B1330" s="1890">
        <f>'Expenditures 15-22'!K171</f>
        <v>450</v>
      </c>
      <c r="C1330" s="2" t="s">
        <v>569</v>
      </c>
      <c r="D1330" s="2" t="str">
        <f t="shared" si="19"/>
        <v>Error?</v>
      </c>
    </row>
    <row r="1331" spans="1:4" x14ac:dyDescent="0.2">
      <c r="A1331" s="5">
        <v>1270</v>
      </c>
      <c r="B1331" s="1890">
        <f>'Expenditures 15-22'!K172</f>
        <v>999050</v>
      </c>
      <c r="C1331" s="2" t="s">
        <v>569</v>
      </c>
      <c r="D1331" s="2" t="str">
        <f t="shared" si="19"/>
        <v>Error?</v>
      </c>
    </row>
    <row r="1332" spans="1:4" x14ac:dyDescent="0.2">
      <c r="A1332" s="5">
        <v>1271</v>
      </c>
      <c r="B1332" s="1890">
        <f>'Expenditures 15-22'!K174</f>
        <v>999050</v>
      </c>
      <c r="C1332" s="2" t="s">
        <v>569</v>
      </c>
      <c r="D1332" s="2" t="str">
        <f t="shared" si="19"/>
        <v>Error?</v>
      </c>
    </row>
    <row r="1333" spans="1:4" x14ac:dyDescent="0.2">
      <c r="A1333" s="5">
        <v>1272</v>
      </c>
      <c r="B1333" s="1890">
        <f>'Expenditures 15-22'!K175</f>
        <v>537989</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862207</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862207</v>
      </c>
      <c r="C1339" s="2" t="s">
        <v>569</v>
      </c>
      <c r="D1339" s="2" t="str">
        <f t="shared" si="19"/>
        <v>Error?</v>
      </c>
    </row>
    <row r="1340" spans="1:4" x14ac:dyDescent="0.2">
      <c r="A1340" s="5">
        <v>1279</v>
      </c>
      <c r="B1340" s="1890">
        <f>'Expenditures 15-22'!C210</f>
        <v>862207</v>
      </c>
      <c r="C1340" s="2" t="s">
        <v>569</v>
      </c>
      <c r="D1340" s="2" t="str">
        <f t="shared" si="19"/>
        <v>Error?</v>
      </c>
    </row>
    <row r="1341" spans="1:4" x14ac:dyDescent="0.2">
      <c r="A1341" s="5">
        <v>1280</v>
      </c>
      <c r="B1341" s="1890">
        <f>'Expenditures 15-22'!D182</f>
        <v>24024</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24024</v>
      </c>
      <c r="C1345" s="2" t="s">
        <v>569</v>
      </c>
      <c r="D1345" s="2" t="str">
        <f t="shared" si="20"/>
        <v>Error?</v>
      </c>
    </row>
    <row r="1346" spans="1:4" x14ac:dyDescent="0.2">
      <c r="A1346" s="5">
        <v>1285</v>
      </c>
      <c r="B1346" s="1890">
        <f>'Expenditures 15-22'!D210</f>
        <v>24024</v>
      </c>
      <c r="C1346" s="2" t="s">
        <v>569</v>
      </c>
      <c r="D1346" s="2" t="str">
        <f t="shared" si="20"/>
        <v>Error?</v>
      </c>
    </row>
    <row r="1347" spans="1:4" x14ac:dyDescent="0.2">
      <c r="A1347" s="5">
        <v>1286</v>
      </c>
      <c r="B1347" s="1890">
        <f>'Expenditures 15-22'!E182</f>
        <v>188231</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188231</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188231</v>
      </c>
      <c r="C1353" s="2" t="s">
        <v>569</v>
      </c>
      <c r="D1353" s="2" t="str">
        <f t="shared" si="20"/>
        <v>Error?</v>
      </c>
    </row>
    <row r="1354" spans="1:4" x14ac:dyDescent="0.2">
      <c r="A1354" s="5">
        <v>1293</v>
      </c>
      <c r="B1354" s="1890">
        <f>'Expenditures 15-22'!F182</f>
        <v>166845</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166845</v>
      </c>
      <c r="C1358" s="2" t="s">
        <v>569</v>
      </c>
      <c r="D1358" s="2" t="str">
        <f t="shared" si="20"/>
        <v>Error?</v>
      </c>
    </row>
    <row r="1359" spans="1:4" x14ac:dyDescent="0.2">
      <c r="A1359" s="5">
        <v>1298</v>
      </c>
      <c r="B1359" s="1890">
        <f>'Expenditures 15-22'!F210</f>
        <v>166845</v>
      </c>
      <c r="C1359" s="2" t="s">
        <v>569</v>
      </c>
      <c r="D1359" s="2" t="str">
        <f t="shared" si="20"/>
        <v>Error?</v>
      </c>
    </row>
    <row r="1360" spans="1:4" x14ac:dyDescent="0.2">
      <c r="A1360" s="5">
        <v>1299</v>
      </c>
      <c r="B1360" s="1890">
        <f>'Expenditures 15-22'!G182</f>
        <v>545352</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545352</v>
      </c>
      <c r="C1364" s="2" t="s">
        <v>569</v>
      </c>
      <c r="D1364" s="2" t="str">
        <f t="shared" si="20"/>
        <v>Error?</v>
      </c>
    </row>
    <row r="1365" spans="1:4" x14ac:dyDescent="0.2">
      <c r="A1365" s="5">
        <v>1304</v>
      </c>
      <c r="B1365" s="1890">
        <f>'Expenditures 15-22'!G210</f>
        <v>545352</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1786659</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1786659</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1786659</v>
      </c>
      <c r="C1388" s="2" t="s">
        <v>569</v>
      </c>
      <c r="D1388" s="2" t="str">
        <f t="shared" si="20"/>
        <v>Error?</v>
      </c>
    </row>
    <row r="1389" spans="1:4" x14ac:dyDescent="0.2">
      <c r="A1389" s="5">
        <v>1328</v>
      </c>
      <c r="B1389" s="1890">
        <f>'Expenditures 15-22'!K211</f>
        <v>-133202</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725</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1519</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93353</v>
      </c>
      <c r="C1410" s="2" t="s">
        <v>569</v>
      </c>
      <c r="D1410" s="2" t="str">
        <f t="shared" si="21"/>
        <v>Error?</v>
      </c>
    </row>
    <row r="1411" spans="1:4" x14ac:dyDescent="0.2">
      <c r="A1411" s="5">
        <v>1350</v>
      </c>
      <c r="B1411" s="1890">
        <f>'Expenditures 15-22'!D232</f>
        <v>1728</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10883</v>
      </c>
      <c r="D1413" s="2" t="str">
        <f t="shared" si="21"/>
        <v>Error?</v>
      </c>
    </row>
    <row r="1414" spans="1:4" x14ac:dyDescent="0.2">
      <c r="A1414" s="5">
        <v>1353</v>
      </c>
      <c r="B1414" s="1890">
        <f>'Expenditures 15-22'!D235</f>
        <v>1845</v>
      </c>
      <c r="D1414" s="2" t="str">
        <f t="shared" si="21"/>
        <v>Error?</v>
      </c>
    </row>
    <row r="1415" spans="1:4" x14ac:dyDescent="0.2">
      <c r="A1415" s="5">
        <v>1354</v>
      </c>
      <c r="B1415" s="1890">
        <f>'Expenditures 15-22'!D236</f>
        <v>1290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15746</v>
      </c>
      <c r="C1417" s="2" t="s">
        <v>569</v>
      </c>
      <c r="D1417" s="2" t="str">
        <f t="shared" si="21"/>
        <v>Error?</v>
      </c>
    </row>
    <row r="1418" spans="1:4" x14ac:dyDescent="0.2">
      <c r="A1418" s="5">
        <v>1357</v>
      </c>
      <c r="B1418" s="1890">
        <f>'Expenditures 15-22'!D240</f>
        <v>363</v>
      </c>
      <c r="D1418" s="2" t="str">
        <f t="shared" si="21"/>
        <v>Error?</v>
      </c>
    </row>
    <row r="1419" spans="1:4" x14ac:dyDescent="0.2">
      <c r="A1419" s="5">
        <v>1358</v>
      </c>
      <c r="B1419" s="1890">
        <f>'Expenditures 15-22'!D241</f>
        <v>10197</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10560</v>
      </c>
      <c r="C1421" s="2" t="s">
        <v>569</v>
      </c>
      <c r="D1421" s="2" t="str">
        <f t="shared" si="21"/>
        <v>Error?</v>
      </c>
    </row>
    <row r="1422" spans="1:4" x14ac:dyDescent="0.2">
      <c r="A1422" s="5">
        <v>1361</v>
      </c>
      <c r="B1422" s="1890">
        <f>'Expenditures 15-22'!D245</f>
        <v>556</v>
      </c>
      <c r="D1422" s="2" t="str">
        <f t="shared" si="21"/>
        <v>Error?</v>
      </c>
    </row>
    <row r="1423" spans="1:4" x14ac:dyDescent="0.2">
      <c r="A1423" s="5">
        <v>1362</v>
      </c>
      <c r="B1423" s="1890">
        <f>'Expenditures 15-22'!D246</f>
        <v>8010</v>
      </c>
      <c r="D1423" s="2" t="str">
        <f t="shared" si="21"/>
        <v>Error?</v>
      </c>
    </row>
    <row r="1424" spans="1:4" x14ac:dyDescent="0.2">
      <c r="A1424" s="5">
        <v>1363</v>
      </c>
      <c r="B1424" s="1890">
        <f>'Expenditures 15-22'!D257</f>
        <v>17309</v>
      </c>
      <c r="C1424" s="2" t="s">
        <v>569</v>
      </c>
      <c r="D1424" s="2" t="str">
        <f t="shared" si="21"/>
        <v>Error?</v>
      </c>
    </row>
    <row r="1425" spans="1:4" x14ac:dyDescent="0.2">
      <c r="A1425" s="5">
        <v>1364</v>
      </c>
      <c r="B1425" s="1890">
        <f>'Expenditures 15-22'!D259</f>
        <v>15050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15050</v>
      </c>
      <c r="C1427" s="2" t="s">
        <v>569</v>
      </c>
      <c r="D1427" s="2" t="str">
        <f t="shared" si="21"/>
        <v>Error?</v>
      </c>
    </row>
    <row r="1428" spans="1:4" x14ac:dyDescent="0.2">
      <c r="A1428" s="5">
        <v>1367</v>
      </c>
      <c r="B1428" s="1890">
        <f>'Expenditures 15-22'!D263</f>
        <v>342</v>
      </c>
      <c r="D1428" s="2" t="str">
        <f t="shared" si="21"/>
        <v>Error?</v>
      </c>
    </row>
    <row r="1429" spans="1:4" x14ac:dyDescent="0.2">
      <c r="A1429" s="5">
        <v>1368</v>
      </c>
      <c r="B1429" s="1890">
        <f>'Expenditures 15-22'!D264</f>
        <v>10693</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28148</v>
      </c>
      <c r="D1431" s="2" t="str">
        <f t="shared" si="21"/>
        <v>Error?</v>
      </c>
    </row>
    <row r="1432" spans="1:4" x14ac:dyDescent="0.2">
      <c r="A1432" s="5">
        <v>1371</v>
      </c>
      <c r="B1432" s="1890">
        <f>'Expenditures 15-22'!D267</f>
        <v>132030</v>
      </c>
      <c r="D1432" s="2" t="str">
        <f t="shared" si="21"/>
        <v>Error?</v>
      </c>
    </row>
    <row r="1433" spans="1:4" x14ac:dyDescent="0.2">
      <c r="A1433" s="5">
        <v>1372</v>
      </c>
      <c r="B1433" s="1890">
        <f>'Expenditures 15-22'!D268</f>
        <v>6810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178023</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236688</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330041</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725</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1519</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93353</v>
      </c>
      <c r="C1474" s="2" t="s">
        <v>569</v>
      </c>
      <c r="D1474" s="2" t="str">
        <f t="shared" si="22"/>
        <v>Error?</v>
      </c>
    </row>
    <row r="1475" spans="1:4" x14ac:dyDescent="0.2">
      <c r="A1475" s="5">
        <v>1414</v>
      </c>
      <c r="B1475" s="1890">
        <f>'Expenditures 15-22'!K232</f>
        <v>1728</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10883</v>
      </c>
      <c r="C1477" s="2" t="s">
        <v>569</v>
      </c>
      <c r="D1477" s="2" t="str">
        <f t="shared" si="22"/>
        <v>Error?</v>
      </c>
    </row>
    <row r="1478" spans="1:4" x14ac:dyDescent="0.2">
      <c r="A1478" s="5">
        <v>1417</v>
      </c>
      <c r="B1478" s="1890">
        <f>'Expenditures 15-22'!K235</f>
        <v>1845</v>
      </c>
      <c r="C1478" s="2" t="s">
        <v>569</v>
      </c>
      <c r="D1478" s="2" t="str">
        <f t="shared" si="22"/>
        <v>Error?</v>
      </c>
    </row>
    <row r="1479" spans="1:4" x14ac:dyDescent="0.2">
      <c r="A1479" s="5">
        <v>1418</v>
      </c>
      <c r="B1479" s="1890">
        <f>'Expenditures 15-22'!K236</f>
        <v>1290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15746</v>
      </c>
      <c r="C1481" s="2" t="s">
        <v>569</v>
      </c>
      <c r="D1481" s="2" t="str">
        <f t="shared" si="22"/>
        <v>Error?</v>
      </c>
    </row>
    <row r="1482" spans="1:4" x14ac:dyDescent="0.2">
      <c r="A1482" s="5">
        <v>1421</v>
      </c>
      <c r="B1482" s="1890">
        <f>'Expenditures 15-22'!K240</f>
        <v>363</v>
      </c>
      <c r="C1482" s="2" t="s">
        <v>569</v>
      </c>
      <c r="D1482" s="2" t="str">
        <f t="shared" si="22"/>
        <v>Error?</v>
      </c>
    </row>
    <row r="1483" spans="1:4" x14ac:dyDescent="0.2">
      <c r="A1483" s="5">
        <v>1422</v>
      </c>
      <c r="B1483" s="1890">
        <f>'Expenditures 15-22'!K241</f>
        <v>10197</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10560</v>
      </c>
      <c r="C1485" s="2" t="s">
        <v>569</v>
      </c>
      <c r="D1485" s="2" t="str">
        <f t="shared" si="22"/>
        <v>Error?</v>
      </c>
    </row>
    <row r="1486" spans="1:4" x14ac:dyDescent="0.2">
      <c r="A1486" s="5">
        <v>1425</v>
      </c>
      <c r="B1486" s="1890">
        <f>'Expenditures 15-22'!K245</f>
        <v>556</v>
      </c>
      <c r="C1486" s="2" t="s">
        <v>569</v>
      </c>
      <c r="D1486" s="2" t="str">
        <f t="shared" si="22"/>
        <v>Error?</v>
      </c>
    </row>
    <row r="1487" spans="1:4" x14ac:dyDescent="0.2">
      <c r="A1487" s="5">
        <v>1426</v>
      </c>
      <c r="B1487" s="1890">
        <f>'Expenditures 15-22'!K246</f>
        <v>8010</v>
      </c>
      <c r="C1487" s="2" t="s">
        <v>569</v>
      </c>
      <c r="D1487" s="2" t="str">
        <f t="shared" si="22"/>
        <v>Error?</v>
      </c>
    </row>
    <row r="1488" spans="1:4" x14ac:dyDescent="0.2">
      <c r="A1488" s="5">
        <v>1427</v>
      </c>
      <c r="B1488" s="1890">
        <f>'Expenditures 15-22'!K257</f>
        <v>17309</v>
      </c>
      <c r="C1488" s="2" t="s">
        <v>569</v>
      </c>
      <c r="D1488" s="2" t="str">
        <f t="shared" si="22"/>
        <v>Error?</v>
      </c>
    </row>
    <row r="1489" spans="1:4" x14ac:dyDescent="0.2">
      <c r="A1489" s="5">
        <v>1428</v>
      </c>
      <c r="B1489" s="1890">
        <f>'Expenditures 15-22'!K259</f>
        <v>15050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15050</v>
      </c>
      <c r="C1491" s="2" t="s">
        <v>569</v>
      </c>
      <c r="D1491" s="2" t="str">
        <f t="shared" si="22"/>
        <v>Error?</v>
      </c>
    </row>
    <row r="1492" spans="1:4" x14ac:dyDescent="0.2">
      <c r="A1492" s="5">
        <v>1431</v>
      </c>
      <c r="B1492" s="1890">
        <f>'Expenditures 15-22'!K263</f>
        <v>342</v>
      </c>
      <c r="C1492" s="2" t="s">
        <v>569</v>
      </c>
      <c r="D1492" s="2" t="str">
        <f t="shared" si="22"/>
        <v>Error?</v>
      </c>
    </row>
    <row r="1493" spans="1:4" x14ac:dyDescent="0.2">
      <c r="A1493" s="5">
        <v>1432</v>
      </c>
      <c r="B1493" s="1890">
        <f>'Expenditures 15-22'!K264</f>
        <v>10693</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28148</v>
      </c>
      <c r="C1495" s="2" t="s">
        <v>569</v>
      </c>
      <c r="D1495" s="2" t="str">
        <f t="shared" si="22"/>
        <v>Error?</v>
      </c>
    </row>
    <row r="1496" spans="1:4" x14ac:dyDescent="0.2">
      <c r="A1496" s="5">
        <v>1435</v>
      </c>
      <c r="B1496" s="1890">
        <f>'Expenditures 15-22'!K267</f>
        <v>132030</v>
      </c>
      <c r="C1496" s="2" t="s">
        <v>569</v>
      </c>
      <c r="D1496" s="2" t="str">
        <f t="shared" si="22"/>
        <v>Error?</v>
      </c>
    </row>
    <row r="1497" spans="1:4" x14ac:dyDescent="0.2">
      <c r="A1497" s="5">
        <v>1436</v>
      </c>
      <c r="B1497" s="1890">
        <f>'Expenditures 15-22'!K268</f>
        <v>6810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178023</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236688</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330041</v>
      </c>
      <c r="C1517" s="2" t="s">
        <v>569</v>
      </c>
      <c r="D1517" s="2" t="str">
        <f t="shared" si="22"/>
        <v>Error?</v>
      </c>
    </row>
    <row r="1518" spans="1:4" x14ac:dyDescent="0.2">
      <c r="A1518" s="5">
        <v>1457</v>
      </c>
      <c r="B1518" s="1890">
        <f>'Expenditures 15-22'!K296</f>
        <v>-51574</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856199</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856199</v>
      </c>
      <c r="C1535" s="2" t="s">
        <v>569</v>
      </c>
      <c r="D1535" s="2" t="str">
        <f t="shared" ref="D1535:D1598" si="23">IF(ISBLANK(B1535),"OK",IF(A1535-B1535=0,"OK","Error?"))</f>
        <v>Error?</v>
      </c>
    </row>
    <row r="1536" spans="1:4" x14ac:dyDescent="0.2">
      <c r="A1536" s="5">
        <v>1475</v>
      </c>
      <c r="B1536" s="1890">
        <f>'Expenditures 15-22'!E312</f>
        <v>856199</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6347328</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6347328</v>
      </c>
      <c r="C1547" s="2" t="s">
        <v>569</v>
      </c>
      <c r="D1547" s="2" t="str">
        <f t="shared" si="23"/>
        <v>Error?</v>
      </c>
    </row>
    <row r="1548" spans="1:4" x14ac:dyDescent="0.2">
      <c r="A1548" s="5">
        <v>1487</v>
      </c>
      <c r="B1548" s="1890">
        <f>'Expenditures 15-22'!G312</f>
        <v>6347328</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60685</v>
      </c>
      <c r="C1554" s="2" t="s">
        <v>569</v>
      </c>
      <c r="D1554" s="2" t="str">
        <f t="shared" si="23"/>
        <v>Error?</v>
      </c>
    </row>
    <row r="1555" spans="1:4" x14ac:dyDescent="0.2">
      <c r="A1555" s="5">
        <v>1494</v>
      </c>
      <c r="B1555" s="1890">
        <f>'Expenditures 15-22'!K301</f>
        <v>7208283</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7208283</v>
      </c>
      <c r="C1559" s="2" t="s">
        <v>569</v>
      </c>
      <c r="D1559" s="2" t="str">
        <f t="shared" si="23"/>
        <v>Error?</v>
      </c>
    </row>
    <row r="1560" spans="1:4" x14ac:dyDescent="0.2">
      <c r="A1560" s="5">
        <v>1499</v>
      </c>
      <c r="B1560" s="1890">
        <f>'Expenditures 15-22'!K312</f>
        <v>7268968</v>
      </c>
      <c r="C1560" s="2" t="s">
        <v>569</v>
      </c>
      <c r="D1560" s="2" t="str">
        <f t="shared" si="23"/>
        <v>Error?</v>
      </c>
    </row>
    <row r="1561" spans="1:4" x14ac:dyDescent="0.2">
      <c r="A1561" s="5">
        <v>1500</v>
      </c>
      <c r="B1561" s="1890">
        <f>'Expenditures 15-22'!K313</f>
        <v>-7168391</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2637173</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2729324</v>
      </c>
      <c r="C1630" s="2" t="s">
        <v>569</v>
      </c>
      <c r="D1630" s="2" t="str">
        <f t="shared" si="24"/>
        <v>Error?</v>
      </c>
    </row>
    <row r="1631" spans="1:4" x14ac:dyDescent="0.2">
      <c r="A1631" s="5">
        <v>1570</v>
      </c>
      <c r="B1631" s="1890">
        <f>'Acct Summary 7-8'!D79</f>
        <v>699058</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779158</v>
      </c>
      <c r="C1644" s="2" t="s">
        <v>569</v>
      </c>
      <c r="D1644" s="2" t="str">
        <f t="shared" si="24"/>
        <v>Error?</v>
      </c>
    </row>
    <row r="1645" spans="1:4" x14ac:dyDescent="0.2">
      <c r="A1645" s="5">
        <v>1584</v>
      </c>
      <c r="B1645" s="1890">
        <f>'Acct Summary 7-8'!E79</f>
        <v>949982</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1487971</v>
      </c>
      <c r="C1658" s="2" t="s">
        <v>569</v>
      </c>
      <c r="D1658" s="2" t="str">
        <f t="shared" si="24"/>
        <v>Error?</v>
      </c>
    </row>
    <row r="1659" spans="1:4" x14ac:dyDescent="0.2">
      <c r="A1659" s="5">
        <v>1598</v>
      </c>
      <c r="B1659" s="1890">
        <f>'Acct Summary 7-8'!F79</f>
        <v>696240</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580038</v>
      </c>
      <c r="C1672" s="2" t="s">
        <v>569</v>
      </c>
      <c r="D1672" s="2" t="str">
        <f t="shared" si="25"/>
        <v>Error?</v>
      </c>
    </row>
    <row r="1673" spans="1:4" x14ac:dyDescent="0.2">
      <c r="A1673" s="5">
        <v>1612</v>
      </c>
      <c r="B1673" s="1890">
        <f>'Acct Summary 7-8'!G79</f>
        <v>156858</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105284</v>
      </c>
      <c r="C1686" s="2" t="s">
        <v>569</v>
      </c>
      <c r="D1686" s="2" t="str">
        <f t="shared" si="25"/>
        <v>Error?</v>
      </c>
    </row>
    <row r="1687" spans="1:4" x14ac:dyDescent="0.2">
      <c r="A1687" s="5">
        <v>1626</v>
      </c>
      <c r="B1687" s="1890">
        <f>'Acct Summary 7-8'!H79</f>
        <v>159118</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7010102</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3859097</v>
      </c>
      <c r="C1744" s="2" t="s">
        <v>569</v>
      </c>
      <c r="D1744" s="2" t="str">
        <f t="shared" si="26"/>
        <v>Error?</v>
      </c>
    </row>
    <row r="1745" spans="1:5" x14ac:dyDescent="0.2">
      <c r="A1745" s="5">
        <v>1684</v>
      </c>
      <c r="B1745" s="1890">
        <f>'Tax Sched 23'!B5</f>
        <v>538975</v>
      </c>
      <c r="C1745" s="2" t="s">
        <v>569</v>
      </c>
      <c r="D1745" s="2" t="str">
        <f t="shared" si="26"/>
        <v>Error?</v>
      </c>
    </row>
    <row r="1746" spans="1:5" x14ac:dyDescent="0.2">
      <c r="A1746" s="5">
        <v>1685</v>
      </c>
      <c r="B1746" s="1890">
        <f>'Tax Sched 23'!B6</f>
        <v>996078</v>
      </c>
      <c r="C1746" s="2" t="s">
        <v>569</v>
      </c>
      <c r="D1746" s="2" t="str">
        <f t="shared" si="26"/>
        <v>Error?</v>
      </c>
    </row>
    <row r="1747" spans="1:5" x14ac:dyDescent="0.2">
      <c r="A1747" s="5">
        <v>1686</v>
      </c>
      <c r="B1747" s="1890">
        <f>'Tax Sched 23'!B7</f>
        <v>258708</v>
      </c>
      <c r="C1747" s="2" t="s">
        <v>569</v>
      </c>
      <c r="D1747" s="2" t="str">
        <f t="shared" si="26"/>
        <v>Error?</v>
      </c>
    </row>
    <row r="1748" spans="1:5" x14ac:dyDescent="0.2">
      <c r="A1748" s="5">
        <v>1687</v>
      </c>
      <c r="B1748" s="1890">
        <f>'Tax Sched 23'!B8</f>
        <v>71171</v>
      </c>
      <c r="C1748" s="2" t="s">
        <v>569</v>
      </c>
      <c r="D1748" s="2" t="str">
        <f t="shared" si="26"/>
        <v>Error?</v>
      </c>
    </row>
    <row r="1749" spans="1:5" x14ac:dyDescent="0.2">
      <c r="A1749" s="5">
        <v>1688</v>
      </c>
      <c r="B1749" s="1890">
        <f>'Tax Sched 23'!B10</f>
        <v>107795</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249092</v>
      </c>
      <c r="C1752" s="2" t="s">
        <v>569</v>
      </c>
      <c r="D1752" s="2" t="str">
        <f t="shared" si="26"/>
        <v>Error?</v>
      </c>
    </row>
    <row r="1753" spans="1:5" x14ac:dyDescent="0.2">
      <c r="A1753" s="5">
        <v>1692</v>
      </c>
      <c r="B1753" s="1890">
        <f>'Tax Sched 23'!B12</f>
        <v>107795</v>
      </c>
      <c r="C1753" s="2" t="s">
        <v>569</v>
      </c>
      <c r="D1753" s="2" t="str">
        <f t="shared" si="26"/>
        <v>Error?</v>
      </c>
    </row>
    <row r="1754" spans="1:5" x14ac:dyDescent="0.2">
      <c r="A1754" s="5">
        <v>1693</v>
      </c>
      <c r="B1754" s="1890">
        <f>'Tax Sched 23'!B14</f>
        <v>43118</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6433081</v>
      </c>
      <c r="C1759" s="2" t="s">
        <v>569</v>
      </c>
      <c r="D1759" s="2" t="str">
        <f t="shared" si="26"/>
        <v>Error?</v>
      </c>
    </row>
    <row r="1760" spans="1:5" x14ac:dyDescent="0.2">
      <c r="A1760" s="5">
        <v>1699</v>
      </c>
      <c r="B1760" s="1890">
        <f>'Tax Sched 23'!D4</f>
        <v>3859097</v>
      </c>
      <c r="C1760" s="2" t="s">
        <v>569</v>
      </c>
      <c r="D1760" s="2" t="str">
        <f t="shared" si="26"/>
        <v>Error?</v>
      </c>
    </row>
    <row r="1761" spans="1:7" x14ac:dyDescent="0.2">
      <c r="A1761" s="5">
        <v>1700</v>
      </c>
      <c r="B1761" s="1890">
        <f>'Tax Sched 23'!D5</f>
        <v>538975</v>
      </c>
      <c r="C1761" s="2" t="s">
        <v>569</v>
      </c>
      <c r="D1761" s="2" t="str">
        <f t="shared" si="26"/>
        <v>Error?</v>
      </c>
    </row>
    <row r="1762" spans="1:7" s="8" customFormat="1" x14ac:dyDescent="0.2">
      <c r="A1762" s="5">
        <v>1701</v>
      </c>
      <c r="B1762" s="1890">
        <f>'Tax Sched 23'!D6</f>
        <v>996078</v>
      </c>
      <c r="C1762" s="2" t="s">
        <v>569</v>
      </c>
      <c r="D1762" s="2" t="str">
        <f t="shared" si="26"/>
        <v>Error?</v>
      </c>
      <c r="E1762" s="9"/>
      <c r="G1762"/>
    </row>
    <row r="1763" spans="1:7" x14ac:dyDescent="0.2">
      <c r="A1763" s="5">
        <v>1702</v>
      </c>
      <c r="B1763" s="1890">
        <f>'Tax Sched 23'!D7</f>
        <v>258708</v>
      </c>
      <c r="C1763" s="2" t="s">
        <v>569</v>
      </c>
      <c r="D1763" s="2" t="str">
        <f t="shared" si="26"/>
        <v>Error?</v>
      </c>
    </row>
    <row r="1764" spans="1:7" x14ac:dyDescent="0.2">
      <c r="A1764" s="5">
        <v>1703</v>
      </c>
      <c r="B1764" s="1890">
        <f>'Tax Sched 23'!D8</f>
        <v>71171</v>
      </c>
      <c r="C1764" s="2" t="s">
        <v>569</v>
      </c>
      <c r="D1764" s="2" t="str">
        <f t="shared" si="26"/>
        <v>Error?</v>
      </c>
    </row>
    <row r="1765" spans="1:7" x14ac:dyDescent="0.2">
      <c r="A1765" s="5">
        <v>1704</v>
      </c>
      <c r="B1765" s="1890">
        <f>'Tax Sched 23'!D10</f>
        <v>107795</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249092</v>
      </c>
      <c r="C1768" s="2" t="s">
        <v>569</v>
      </c>
      <c r="D1768" s="2" t="str">
        <f t="shared" si="26"/>
        <v>Error?</v>
      </c>
    </row>
    <row r="1769" spans="1:7" x14ac:dyDescent="0.2">
      <c r="A1769" s="5">
        <v>1708</v>
      </c>
      <c r="B1769" s="1890">
        <f>'Tax Sched 23'!D12</f>
        <v>107795</v>
      </c>
      <c r="C1769" s="2" t="s">
        <v>569</v>
      </c>
      <c r="D1769" s="2" t="str">
        <f t="shared" si="26"/>
        <v>Error?</v>
      </c>
    </row>
    <row r="1770" spans="1:7" x14ac:dyDescent="0.2">
      <c r="A1770" s="5">
        <v>1709</v>
      </c>
      <c r="B1770" s="1890">
        <f>'Tax Sched 23'!D14</f>
        <v>43118</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6433081</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4117724</v>
      </c>
      <c r="C1792" s="2" t="s">
        <v>569</v>
      </c>
      <c r="D1792" s="2" t="str">
        <f t="shared" si="27"/>
        <v>Error?</v>
      </c>
    </row>
    <row r="1793" spans="1:4" x14ac:dyDescent="0.2">
      <c r="A1793" s="5">
        <v>1732</v>
      </c>
      <c r="B1793" s="1890">
        <f>'Tax Sched 23'!F5</f>
        <v>575101</v>
      </c>
      <c r="C1793" s="2" t="s">
        <v>569</v>
      </c>
      <c r="D1793" s="2" t="str">
        <f t="shared" si="27"/>
        <v>Error?</v>
      </c>
    </row>
    <row r="1794" spans="1:4" x14ac:dyDescent="0.2">
      <c r="A1794" s="5">
        <v>1733</v>
      </c>
      <c r="B1794" s="1890">
        <f>'Tax Sched 23'!F6</f>
        <v>1054319</v>
      </c>
      <c r="C1794" s="2" t="s">
        <v>569</v>
      </c>
      <c r="D1794" s="2" t="str">
        <f t="shared" si="27"/>
        <v>Error?</v>
      </c>
    </row>
    <row r="1795" spans="1:4" x14ac:dyDescent="0.2">
      <c r="A1795" s="5">
        <v>1734</v>
      </c>
      <c r="B1795" s="1890">
        <f>'Tax Sched 23'!F7</f>
        <v>276049</v>
      </c>
      <c r="C1795" s="2" t="s">
        <v>569</v>
      </c>
      <c r="D1795" s="2" t="str">
        <f t="shared" si="27"/>
        <v>Error?</v>
      </c>
    </row>
    <row r="1796" spans="1:4" x14ac:dyDescent="0.2">
      <c r="A1796" s="5">
        <v>1735</v>
      </c>
      <c r="B1796" s="1890">
        <f>'Tax Sched 23'!F8</f>
        <v>79916</v>
      </c>
      <c r="C1796" s="2" t="s">
        <v>569</v>
      </c>
      <c r="D1796" s="2" t="str">
        <f t="shared" si="27"/>
        <v>Error?</v>
      </c>
    </row>
    <row r="1797" spans="1:4" x14ac:dyDescent="0.2">
      <c r="A1797" s="5">
        <v>1736</v>
      </c>
      <c r="B1797" s="1890">
        <f>'Tax Sched 23'!F10</f>
        <v>115020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159809</v>
      </c>
      <c r="C1800" s="2" t="s">
        <v>569</v>
      </c>
      <c r="D1800" s="2" t="str">
        <f t="shared" si="27"/>
        <v>Error?</v>
      </c>
    </row>
    <row r="1801" spans="1:4" x14ac:dyDescent="0.2">
      <c r="A1801" s="5">
        <v>1740</v>
      </c>
      <c r="B1801" s="1890">
        <f>'Tax Sched 23'!F12</f>
        <v>115020</v>
      </c>
      <c r="C1801" s="2" t="s">
        <v>569</v>
      </c>
      <c r="D1801" s="2" t="str">
        <f t="shared" si="27"/>
        <v>Error?</v>
      </c>
    </row>
    <row r="1802" spans="1:4" x14ac:dyDescent="0.2">
      <c r="A1802" s="5">
        <v>1741</v>
      </c>
      <c r="B1802" s="1890">
        <f>'Tax Sched 23'!F14</f>
        <v>46008</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6867072</v>
      </c>
      <c r="C1807" s="2" t="s">
        <v>569</v>
      </c>
      <c r="D1807" s="2" t="str">
        <f t="shared" si="27"/>
        <v>Error?</v>
      </c>
    </row>
    <row r="1808" spans="1:4" x14ac:dyDescent="0.2">
      <c r="A1808" s="5">
        <v>1747</v>
      </c>
      <c r="B1808" s="1890">
        <f>'Tax Sched 23'!E4</f>
        <v>4117724</v>
      </c>
      <c r="D1808" s="2" t="str">
        <f t="shared" si="27"/>
        <v>Error?</v>
      </c>
    </row>
    <row r="1809" spans="1:4" x14ac:dyDescent="0.2">
      <c r="A1809" s="5">
        <v>1748</v>
      </c>
      <c r="B1809" s="1890">
        <f>'Tax Sched 23'!E5</f>
        <v>575101</v>
      </c>
      <c r="D1809" s="2" t="str">
        <f t="shared" si="27"/>
        <v>Error?</v>
      </c>
    </row>
    <row r="1810" spans="1:4" x14ac:dyDescent="0.2">
      <c r="A1810" s="5">
        <v>1749</v>
      </c>
      <c r="B1810" s="1890">
        <f>'Tax Sched 23'!E6</f>
        <v>1054319</v>
      </c>
      <c r="D1810" s="2" t="str">
        <f t="shared" si="27"/>
        <v>Error?</v>
      </c>
    </row>
    <row r="1811" spans="1:4" x14ac:dyDescent="0.2">
      <c r="A1811" s="5">
        <v>1750</v>
      </c>
      <c r="B1811" s="1890">
        <f>'Tax Sched 23'!E7</f>
        <v>276049</v>
      </c>
      <c r="D1811" s="2" t="str">
        <f t="shared" si="27"/>
        <v>Error?</v>
      </c>
    </row>
    <row r="1812" spans="1:4" x14ac:dyDescent="0.2">
      <c r="A1812" s="5">
        <v>1751</v>
      </c>
      <c r="B1812" s="1890">
        <f>'Tax Sched 23'!E8</f>
        <v>79916</v>
      </c>
      <c r="D1812" s="2" t="str">
        <f t="shared" si="27"/>
        <v>Error?</v>
      </c>
    </row>
    <row r="1813" spans="1:4" x14ac:dyDescent="0.2">
      <c r="A1813" s="5">
        <v>1752</v>
      </c>
      <c r="B1813" s="1890">
        <f>'Tax Sched 23'!E10</f>
        <v>115020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159809</v>
      </c>
      <c r="D1816" s="2" t="str">
        <f t="shared" si="27"/>
        <v>Error?</v>
      </c>
    </row>
    <row r="1817" spans="1:4" x14ac:dyDescent="0.2">
      <c r="A1817" s="5">
        <v>1756</v>
      </c>
      <c r="B1817" s="1890">
        <f>'Tax Sched 23'!E12</f>
        <v>115020</v>
      </c>
      <c r="D1817" s="2" t="str">
        <f t="shared" si="27"/>
        <v>Error?</v>
      </c>
    </row>
    <row r="1818" spans="1:4" x14ac:dyDescent="0.2">
      <c r="A1818" s="5">
        <v>1757</v>
      </c>
      <c r="B1818" s="1890">
        <f>'Tax Sched 23'!E14</f>
        <v>46008</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6867072</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6715000</v>
      </c>
      <c r="C1939" s="2" t="s">
        <v>569</v>
      </c>
      <c r="D1939" s="2" t="str">
        <f t="shared" si="29"/>
        <v>Error?</v>
      </c>
    </row>
    <row r="1940" spans="1:5" x14ac:dyDescent="0.2">
      <c r="A1940" s="5">
        <v>1879</v>
      </c>
      <c r="B1940" s="1890">
        <f>'Short-Term Long-Term Debt 24'!F49</f>
        <v>13000000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43118</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43118</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43118</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510156</v>
      </c>
      <c r="D2008" s="2" t="str">
        <f t="shared" si="30"/>
        <v>Error?</v>
      </c>
    </row>
    <row r="2009" spans="1:4" x14ac:dyDescent="0.2">
      <c r="A2009" s="5">
        <v>1948</v>
      </c>
      <c r="B2009" s="1890">
        <f>'Cap Outlay Deprec 26'!C8</f>
        <v>17917136</v>
      </c>
      <c r="D2009" s="2" t="str">
        <f t="shared" si="30"/>
        <v>Error?</v>
      </c>
    </row>
    <row r="2010" spans="1:4" x14ac:dyDescent="0.2">
      <c r="A2010" s="5">
        <v>1949</v>
      </c>
      <c r="B2010" s="1890">
        <f>'Cap Outlay Deprec 26'!C10</f>
        <v>116608</v>
      </c>
      <c r="D2010" s="2" t="str">
        <f t="shared" si="30"/>
        <v>Error?</v>
      </c>
    </row>
    <row r="2011" spans="1:4" x14ac:dyDescent="0.2">
      <c r="A2011" s="5">
        <v>1950</v>
      </c>
      <c r="B2011" s="1890">
        <f>'Cap Outlay Deprec 26'!C12</f>
        <v>1419919</v>
      </c>
      <c r="D2011" s="2" t="str">
        <f t="shared" si="30"/>
        <v>Error?</v>
      </c>
    </row>
    <row r="2012" spans="1:4" x14ac:dyDescent="0.2">
      <c r="A2012" s="5">
        <v>1951</v>
      </c>
      <c r="B2012" s="1890">
        <f>'Cap Outlay Deprec 26'!C13</f>
        <v>361406</v>
      </c>
      <c r="D2012" s="2" t="str">
        <f t="shared" si="30"/>
        <v>Error?</v>
      </c>
    </row>
    <row r="2013" spans="1:4" x14ac:dyDescent="0.2">
      <c r="A2013" s="5">
        <v>1952</v>
      </c>
      <c r="B2013" s="1890">
        <f>'Cap Outlay Deprec 26'!C16</f>
        <v>22200585</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196280</v>
      </c>
      <c r="D2016" s="2" t="str">
        <f t="shared" si="30"/>
        <v>Error?</v>
      </c>
    </row>
    <row r="2017" spans="1:4" x14ac:dyDescent="0.2">
      <c r="A2017" s="5">
        <v>1956</v>
      </c>
      <c r="B2017" s="1890">
        <f>'Cap Outlay Deprec 26'!D12</f>
        <v>26463</v>
      </c>
      <c r="D2017" s="2" t="str">
        <f t="shared" si="30"/>
        <v>Error?</v>
      </c>
    </row>
    <row r="2018" spans="1:4" x14ac:dyDescent="0.2">
      <c r="A2018" s="5">
        <v>1957</v>
      </c>
      <c r="B2018" s="1890">
        <f>'Cap Outlay Deprec 26'!D13</f>
        <v>279058</v>
      </c>
      <c r="D2018" s="2" t="str">
        <f t="shared" si="30"/>
        <v>Error?</v>
      </c>
    </row>
    <row r="2019" spans="1:4" x14ac:dyDescent="0.2">
      <c r="A2019" s="5">
        <v>1958</v>
      </c>
      <c r="B2019" s="1890">
        <f>'Cap Outlay Deprec 26'!D16</f>
        <v>7720705</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44542</v>
      </c>
      <c r="D2024" s="2" t="str">
        <f t="shared" si="30"/>
        <v>Error?</v>
      </c>
    </row>
    <row r="2025" spans="1:4" x14ac:dyDescent="0.2">
      <c r="A2025" s="5">
        <v>1964</v>
      </c>
      <c r="B2025" s="1890">
        <f>'Cap Outlay Deprec 26'!E16</f>
        <v>44542</v>
      </c>
      <c r="C2025" s="2" t="s">
        <v>569</v>
      </c>
      <c r="D2025" s="2" t="str">
        <f t="shared" si="30"/>
        <v>Error?</v>
      </c>
    </row>
    <row r="2026" spans="1:4" x14ac:dyDescent="0.2">
      <c r="A2026" s="5">
        <v>1965</v>
      </c>
      <c r="B2026" s="1890">
        <f>'Cap Outlay Deprec 26'!F5</f>
        <v>510156</v>
      </c>
      <c r="C2026" s="2" t="s">
        <v>569</v>
      </c>
      <c r="D2026" s="2" t="str">
        <f t="shared" si="30"/>
        <v>Error?</v>
      </c>
    </row>
    <row r="2027" spans="1:4" x14ac:dyDescent="0.2">
      <c r="A2027" s="5">
        <v>1966</v>
      </c>
      <c r="B2027" s="1890">
        <f>'Cap Outlay Deprec 26'!F8</f>
        <v>17917136</v>
      </c>
      <c r="C2027" s="2" t="s">
        <v>569</v>
      </c>
      <c r="D2027" s="2" t="str">
        <f t="shared" si="30"/>
        <v>Error?</v>
      </c>
    </row>
    <row r="2028" spans="1:4" x14ac:dyDescent="0.2">
      <c r="A2028" s="5">
        <v>1967</v>
      </c>
      <c r="B2028" s="1890">
        <f>'Cap Outlay Deprec 26'!F10</f>
        <v>312888</v>
      </c>
      <c r="C2028" s="2" t="s">
        <v>569</v>
      </c>
      <c r="D2028" s="2" t="str">
        <f t="shared" si="30"/>
        <v>Error?</v>
      </c>
    </row>
    <row r="2029" spans="1:4" x14ac:dyDescent="0.2">
      <c r="A2029" s="5">
        <v>1968</v>
      </c>
      <c r="B2029" s="1890">
        <f>'Cap Outlay Deprec 26'!F12</f>
        <v>1446382</v>
      </c>
      <c r="C2029" s="2" t="s">
        <v>569</v>
      </c>
      <c r="D2029" s="2" t="str">
        <f t="shared" si="30"/>
        <v>Error?</v>
      </c>
    </row>
    <row r="2030" spans="1:4" x14ac:dyDescent="0.2">
      <c r="A2030" s="5">
        <v>1969</v>
      </c>
      <c r="B2030" s="1890">
        <f>'Cap Outlay Deprec 26'!F13</f>
        <v>595922</v>
      </c>
      <c r="C2030" s="2" t="s">
        <v>569</v>
      </c>
      <c r="D2030" s="2" t="str">
        <f t="shared" si="30"/>
        <v>Error?</v>
      </c>
    </row>
    <row r="2031" spans="1:4" x14ac:dyDescent="0.2">
      <c r="A2031" s="5">
        <v>1970</v>
      </c>
      <c r="B2031" s="1890">
        <f>'Cap Outlay Deprec 26'!F16</f>
        <v>29876748</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6012237</v>
      </c>
      <c r="D2033" s="2" t="str">
        <f t="shared" si="30"/>
        <v>Error?</v>
      </c>
    </row>
    <row r="2034" spans="1:4" x14ac:dyDescent="0.2">
      <c r="A2034" s="5">
        <v>1973</v>
      </c>
      <c r="B2034" s="1890">
        <f>'Cap Outlay Deprec 26'!H10</f>
        <v>61066</v>
      </c>
      <c r="D2034" s="2" t="str">
        <f t="shared" si="30"/>
        <v>Error?</v>
      </c>
    </row>
    <row r="2035" spans="1:4" x14ac:dyDescent="0.2">
      <c r="A2035" s="5">
        <v>1974</v>
      </c>
      <c r="B2035" s="1890">
        <f>'Cap Outlay Deprec 26'!H12</f>
        <v>1354418</v>
      </c>
      <c r="D2035" s="2" t="str">
        <f t="shared" si="30"/>
        <v>Error?</v>
      </c>
    </row>
    <row r="2036" spans="1:4" x14ac:dyDescent="0.2">
      <c r="A2036" s="5">
        <v>1975</v>
      </c>
      <c r="B2036" s="1890">
        <f>'Cap Outlay Deprec 26'!H13</f>
        <v>282590</v>
      </c>
      <c r="D2036" s="2" t="str">
        <f t="shared" si="30"/>
        <v>Error?</v>
      </c>
    </row>
    <row r="2037" spans="1:4" x14ac:dyDescent="0.2">
      <c r="A2037" s="5">
        <v>1976</v>
      </c>
      <c r="B2037" s="1890">
        <f>'Cap Outlay Deprec 26'!H16</f>
        <v>8268699</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347542</v>
      </c>
      <c r="D2039" s="2" t="str">
        <f t="shared" si="30"/>
        <v>Error?</v>
      </c>
    </row>
    <row r="2040" spans="1:4" x14ac:dyDescent="0.2">
      <c r="A2040" s="5">
        <v>1979</v>
      </c>
      <c r="B2040" s="1890">
        <f>'Cap Outlay Deprec 26'!I10</f>
        <v>10480</v>
      </c>
      <c r="D2040" s="2" t="str">
        <f t="shared" si="30"/>
        <v>Error?</v>
      </c>
    </row>
    <row r="2041" spans="1:4" x14ac:dyDescent="0.2">
      <c r="A2041" s="5">
        <v>1980</v>
      </c>
      <c r="B2041" s="1890">
        <f>'Cap Outlay Deprec 26'!I12</f>
        <v>34282</v>
      </c>
      <c r="D2041" s="2" t="str">
        <f t="shared" si="30"/>
        <v>Error?</v>
      </c>
    </row>
    <row r="2042" spans="1:4" x14ac:dyDescent="0.2">
      <c r="A2042" s="5">
        <v>1981</v>
      </c>
      <c r="B2042" s="1890">
        <f>'Cap Outlay Deprec 26'!I13</f>
        <v>116590</v>
      </c>
      <c r="D2042" s="2" t="str">
        <f t="shared" si="30"/>
        <v>Error?</v>
      </c>
    </row>
    <row r="2043" spans="1:4" x14ac:dyDescent="0.2">
      <c r="A2043" s="5">
        <v>1982</v>
      </c>
      <c r="B2043" s="1890">
        <f>'Cap Outlay Deprec 26'!I16</f>
        <v>588770</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44542</v>
      </c>
      <c r="D2048" s="2" t="str">
        <f t="shared" si="31"/>
        <v>Error?</v>
      </c>
    </row>
    <row r="2049" spans="1:4" x14ac:dyDescent="0.2">
      <c r="A2049" s="5">
        <v>1988</v>
      </c>
      <c r="B2049" s="1890">
        <f>'Cap Outlay Deprec 26'!J16</f>
        <v>44542</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6359779</v>
      </c>
      <c r="C2051" s="2" t="s">
        <v>569</v>
      </c>
      <c r="D2051" s="2" t="str">
        <f t="shared" si="31"/>
        <v>Error?</v>
      </c>
    </row>
    <row r="2052" spans="1:4" x14ac:dyDescent="0.2">
      <c r="A2052" s="5">
        <v>1991</v>
      </c>
      <c r="B2052" s="1890">
        <f>'Cap Outlay Deprec 26'!K10</f>
        <v>71546</v>
      </c>
      <c r="C2052" s="2" t="s">
        <v>569</v>
      </c>
      <c r="D2052" s="2" t="str">
        <f t="shared" si="31"/>
        <v>Error?</v>
      </c>
    </row>
    <row r="2053" spans="1:4" x14ac:dyDescent="0.2">
      <c r="A2053" s="5">
        <v>1992</v>
      </c>
      <c r="B2053" s="1890">
        <f>'Cap Outlay Deprec 26'!K12</f>
        <v>1388700</v>
      </c>
      <c r="C2053" s="2" t="s">
        <v>569</v>
      </c>
      <c r="D2053" s="2" t="str">
        <f t="shared" si="31"/>
        <v>Error?</v>
      </c>
    </row>
    <row r="2054" spans="1:4" x14ac:dyDescent="0.2">
      <c r="A2054" s="5">
        <v>1993</v>
      </c>
      <c r="B2054" s="1890">
        <f>'Cap Outlay Deprec 26'!K13</f>
        <v>354638</v>
      </c>
      <c r="C2054" s="2" t="s">
        <v>569</v>
      </c>
      <c r="D2054" s="2" t="str">
        <f t="shared" si="31"/>
        <v>Error?</v>
      </c>
    </row>
    <row r="2055" spans="1:4" x14ac:dyDescent="0.2">
      <c r="A2055" s="5">
        <v>1994</v>
      </c>
      <c r="B2055" s="1890">
        <f>'Cap Outlay Deprec 26'!K16</f>
        <v>8812927</v>
      </c>
      <c r="C2055" s="2" t="s">
        <v>569</v>
      </c>
      <c r="D2055" s="2" t="str">
        <f t="shared" si="31"/>
        <v>Error?</v>
      </c>
    </row>
    <row r="2056" spans="1:4" x14ac:dyDescent="0.2">
      <c r="A2056" s="5">
        <v>1995</v>
      </c>
      <c r="B2056" s="1890">
        <f>'Cap Outlay Deprec 26'!L5</f>
        <v>510156</v>
      </c>
      <c r="C2056" s="2" t="s">
        <v>569</v>
      </c>
      <c r="D2056" s="2" t="str">
        <f t="shared" si="31"/>
        <v>Error?</v>
      </c>
    </row>
    <row r="2057" spans="1:4" x14ac:dyDescent="0.2">
      <c r="A2057" s="5">
        <v>1996</v>
      </c>
      <c r="B2057" s="1890">
        <f>'Cap Outlay Deprec 26'!L8</f>
        <v>11557357</v>
      </c>
      <c r="C2057" s="2" t="s">
        <v>569</v>
      </c>
      <c r="D2057" s="2" t="str">
        <f t="shared" si="31"/>
        <v>Error?</v>
      </c>
    </row>
    <row r="2058" spans="1:4" x14ac:dyDescent="0.2">
      <c r="A2058" s="5">
        <v>1997</v>
      </c>
      <c r="B2058" s="1890">
        <f>'Cap Outlay Deprec 26'!L10</f>
        <v>241342</v>
      </c>
      <c r="C2058" s="2" t="s">
        <v>569</v>
      </c>
      <c r="D2058" s="2" t="str">
        <f t="shared" si="31"/>
        <v>Error?</v>
      </c>
    </row>
    <row r="2059" spans="1:4" x14ac:dyDescent="0.2">
      <c r="A2059" s="5">
        <v>1998</v>
      </c>
      <c r="B2059" s="1890">
        <f>'Cap Outlay Deprec 26'!L12</f>
        <v>57682</v>
      </c>
      <c r="C2059" s="2" t="s">
        <v>569</v>
      </c>
      <c r="D2059" s="2" t="str">
        <f t="shared" si="31"/>
        <v>Error?</v>
      </c>
    </row>
    <row r="2060" spans="1:4" x14ac:dyDescent="0.2">
      <c r="A2060" s="5">
        <v>1999</v>
      </c>
      <c r="B2060" s="1890">
        <f>'Cap Outlay Deprec 26'!L13</f>
        <v>241284</v>
      </c>
      <c r="C2060" s="2" t="s">
        <v>569</v>
      </c>
      <c r="D2060" s="2" t="str">
        <f t="shared" si="31"/>
        <v>Error?</v>
      </c>
    </row>
    <row r="2061" spans="1:4" x14ac:dyDescent="0.2">
      <c r="A2061" s="5">
        <v>2000</v>
      </c>
      <c r="B2061" s="1890">
        <f>'Cap Outlay Deprec 26'!L16</f>
        <v>21063821</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51438</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51438</v>
      </c>
      <c r="C2088" s="2" t="s">
        <v>569</v>
      </c>
      <c r="D2088" s="2" t="str">
        <f t="shared" si="31"/>
        <v>Error?</v>
      </c>
    </row>
    <row r="2089" spans="1:4" x14ac:dyDescent="0.2">
      <c r="A2089" s="5">
        <v>2028</v>
      </c>
      <c r="B2089" s="1890">
        <f>'Expenditures 15-22'!K92</f>
        <v>439984</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60685</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3051677</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555819</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121523</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1487971</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6571774</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4573848</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1343817</v>
      </c>
      <c r="C2553" s="2" t="s">
        <v>569</v>
      </c>
      <c r="D2553" s="2" t="str">
        <f t="shared" si="38"/>
        <v>Error?</v>
      </c>
    </row>
    <row r="2554" spans="1:4" x14ac:dyDescent="0.2">
      <c r="A2554" s="5">
        <v>2493</v>
      </c>
      <c r="B2554" s="1890">
        <f>'Acct Summary 7-8'!C7</f>
        <v>300551</v>
      </c>
      <c r="C2554" s="2" t="s">
        <v>569</v>
      </c>
      <c r="D2554" s="2" t="str">
        <f t="shared" si="38"/>
        <v>Error?</v>
      </c>
    </row>
    <row r="2555" spans="1:4" x14ac:dyDescent="0.2">
      <c r="A2555" s="5">
        <v>2494</v>
      </c>
      <c r="B2555" s="1890">
        <f>'Acct Summary 7-8'!C8</f>
        <v>6226606</v>
      </c>
      <c r="C2555" s="2" t="s">
        <v>569</v>
      </c>
      <c r="D2555" s="2" t="str">
        <f t="shared" si="38"/>
        <v>Error?</v>
      </c>
    </row>
    <row r="2556" spans="1:4" x14ac:dyDescent="0.2">
      <c r="A2556" s="5">
        <v>2495</v>
      </c>
      <c r="B2556" s="1890">
        <f>'Acct Summary 7-8'!C12</f>
        <v>4130505</v>
      </c>
      <c r="C2556" s="2" t="s">
        <v>569</v>
      </c>
      <c r="D2556" s="2" t="str">
        <f t="shared" si="38"/>
        <v>Error?</v>
      </c>
    </row>
    <row r="2557" spans="1:4" x14ac:dyDescent="0.2">
      <c r="A2557" s="5">
        <v>2496</v>
      </c>
      <c r="B2557" s="1890">
        <f>'Acct Summary 7-8'!C13</f>
        <v>1501480</v>
      </c>
      <c r="C2557" s="2" t="s">
        <v>569</v>
      </c>
      <c r="D2557" s="2" t="str">
        <f t="shared" si="38"/>
        <v>Error?</v>
      </c>
    </row>
    <row r="2558" spans="1:4" x14ac:dyDescent="0.2">
      <c r="A2558" s="5">
        <v>2497</v>
      </c>
      <c r="B2558" s="1890">
        <f>'Acct Summary 7-8'!C14</f>
        <v>11048</v>
      </c>
      <c r="C2558" s="2" t="s">
        <v>569</v>
      </c>
      <c r="D2558" s="2" t="str">
        <f t="shared" si="38"/>
        <v>Error?</v>
      </c>
    </row>
    <row r="2559" spans="1:4" x14ac:dyDescent="0.2">
      <c r="A2559" s="5">
        <v>2498</v>
      </c>
      <c r="B2559" s="1890">
        <f>'Acct Summary 7-8'!C15</f>
        <v>491422</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6134455</v>
      </c>
      <c r="C2561" s="2" t="s">
        <v>569</v>
      </c>
      <c r="D2561" s="2" t="str">
        <f t="shared" si="39"/>
        <v>Error?</v>
      </c>
    </row>
    <row r="2562" spans="1:4" x14ac:dyDescent="0.2">
      <c r="A2562" s="5">
        <v>2501</v>
      </c>
      <c r="B2562" s="1890">
        <f>'Acct Summary 7-8'!C20</f>
        <v>92151</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595272</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2072</v>
      </c>
      <c r="C2567" s="2" t="s">
        <v>569</v>
      </c>
      <c r="D2567" s="2" t="str">
        <f t="shared" si="39"/>
        <v>Error?</v>
      </c>
    </row>
    <row r="2568" spans="1:4" x14ac:dyDescent="0.2">
      <c r="A2568" s="5">
        <v>2507</v>
      </c>
      <c r="B2568" s="1890">
        <f>'Acct Summary 7-8'!D8</f>
        <v>597344</v>
      </c>
      <c r="C2568" s="2" t="s">
        <v>569</v>
      </c>
      <c r="D2568" s="2" t="str">
        <f t="shared" si="39"/>
        <v>Error?</v>
      </c>
    </row>
    <row r="2569" spans="1:4" x14ac:dyDescent="0.2">
      <c r="A2569" s="5">
        <v>2508</v>
      </c>
      <c r="B2569" s="1890">
        <f>'Acct Summary 7-8'!D13</f>
        <v>477244</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477244</v>
      </c>
      <c r="C2573" s="2" t="s">
        <v>569</v>
      </c>
      <c r="D2573" s="2" t="str">
        <f t="shared" si="39"/>
        <v>Error?</v>
      </c>
    </row>
    <row r="2574" spans="1:4" x14ac:dyDescent="0.2">
      <c r="A2574" s="5">
        <v>2513</v>
      </c>
      <c r="B2574" s="1890">
        <f>'Acct Summary 7-8'!D20</f>
        <v>120100</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1413194</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240263</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1653457</v>
      </c>
      <c r="C2595" s="2" t="s">
        <v>569</v>
      </c>
      <c r="D2595" s="2" t="str">
        <f t="shared" si="39"/>
        <v>Error?</v>
      </c>
    </row>
    <row r="2596" spans="1:4" x14ac:dyDescent="0.2">
      <c r="A2596" s="5">
        <v>2535</v>
      </c>
      <c r="B2596" s="1890">
        <f>'Acct Summary 7-8'!F13</f>
        <v>1786659</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1786659</v>
      </c>
      <c r="C2600" s="2" t="s">
        <v>569</v>
      </c>
      <c r="D2600" s="2" t="str">
        <f t="shared" si="39"/>
        <v>Error?</v>
      </c>
    </row>
    <row r="2601" spans="1:4" x14ac:dyDescent="0.2">
      <c r="A2601" s="5">
        <v>2540</v>
      </c>
      <c r="B2601" s="1890">
        <f>'Acct Summary 7-8'!F20</f>
        <v>-133202</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278467</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278467</v>
      </c>
      <c r="C2606" s="2" t="s">
        <v>569</v>
      </c>
      <c r="D2606" s="2" t="str">
        <f t="shared" si="39"/>
        <v>Error?</v>
      </c>
    </row>
    <row r="2607" spans="1:4" x14ac:dyDescent="0.2">
      <c r="A2607" s="5">
        <v>2546</v>
      </c>
      <c r="B2607" s="1890">
        <f>'Acct Summary 7-8'!G12</f>
        <v>93353</v>
      </c>
      <c r="C2607" s="2" t="s">
        <v>569</v>
      </c>
      <c r="D2607" s="2" t="str">
        <f t="shared" si="39"/>
        <v>Error?</v>
      </c>
    </row>
    <row r="2608" spans="1:4" x14ac:dyDescent="0.2">
      <c r="A2608" s="5">
        <v>2547</v>
      </c>
      <c r="B2608" s="1890">
        <f>'Acct Summary 7-8'!G13</f>
        <v>236688</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330041</v>
      </c>
      <c r="C2612" s="2" t="s">
        <v>569</v>
      </c>
      <c r="D2612" s="2" t="str">
        <f t="shared" si="39"/>
        <v>Error?</v>
      </c>
    </row>
    <row r="2613" spans="1:4" x14ac:dyDescent="0.2">
      <c r="A2613" s="5">
        <v>2552</v>
      </c>
      <c r="B2613" s="1890">
        <f>'Acct Summary 7-8'!G20</f>
        <v>-51574</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1537039</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1537039</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999050</v>
      </c>
      <c r="C2634" s="2" t="s">
        <v>569</v>
      </c>
      <c r="D2634" s="2" t="str">
        <f t="shared" si="40"/>
        <v>Error?</v>
      </c>
    </row>
    <row r="2635" spans="1:4" x14ac:dyDescent="0.2">
      <c r="A2635" s="5">
        <v>2574</v>
      </c>
      <c r="B2635" s="1890">
        <f>'Acct Summary 7-8'!E17</f>
        <v>999050</v>
      </c>
      <c r="C2635" s="2" t="s">
        <v>569</v>
      </c>
      <c r="D2635" s="2" t="str">
        <f t="shared" si="40"/>
        <v>Error?</v>
      </c>
    </row>
    <row r="2636" spans="1:4" x14ac:dyDescent="0.2">
      <c r="A2636" s="5">
        <v>2575</v>
      </c>
      <c r="B2636" s="1890">
        <f>'Acct Summary 7-8'!E20</f>
        <v>537989</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100577</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100577</v>
      </c>
      <c r="C2658" s="2" t="s">
        <v>569</v>
      </c>
      <c r="D2658" s="2" t="str">
        <f t="shared" si="40"/>
        <v>Error?</v>
      </c>
    </row>
    <row r="2659" spans="1:4" x14ac:dyDescent="0.2">
      <c r="A2659" s="5">
        <v>2598</v>
      </c>
      <c r="B2659" s="1890">
        <f>'Acct Summary 7-8'!H13</f>
        <v>7208283</v>
      </c>
      <c r="C2659" s="2" t="s">
        <v>569</v>
      </c>
      <c r="D2659" s="2" t="str">
        <f t="shared" si="40"/>
        <v>Error?</v>
      </c>
    </row>
    <row r="2660" spans="1:4" x14ac:dyDescent="0.2">
      <c r="A2660" s="5">
        <v>2599</v>
      </c>
      <c r="B2660" s="1890">
        <f>'Acct Summary 7-8'!H15</f>
        <v>60685</v>
      </c>
      <c r="C2660" s="2" t="s">
        <v>569</v>
      </c>
      <c r="D2660" s="2" t="str">
        <f t="shared" si="40"/>
        <v>Error?</v>
      </c>
    </row>
    <row r="2661" spans="1:4" x14ac:dyDescent="0.2">
      <c r="A2661" s="5">
        <v>2600</v>
      </c>
      <c r="B2661" s="1890">
        <f>'Acct Summary 7-8'!H17</f>
        <v>7268968</v>
      </c>
      <c r="C2661" s="2" t="s">
        <v>569</v>
      </c>
      <c r="D2661" s="2" t="str">
        <f t="shared" si="40"/>
        <v>Error?</v>
      </c>
    </row>
    <row r="2662" spans="1:4" x14ac:dyDescent="0.2">
      <c r="A2662" s="5">
        <v>2601</v>
      </c>
      <c r="B2662" s="1890">
        <f>'Acct Summary 7-8'!H20</f>
        <v>-7168391</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36824</v>
      </c>
      <c r="D2718" s="2" t="str">
        <f t="shared" si="41"/>
        <v>Error?</v>
      </c>
    </row>
    <row r="2719" spans="1:4" x14ac:dyDescent="0.2">
      <c r="A2719" s="5">
        <v>2658</v>
      </c>
      <c r="B2719" s="1890">
        <f>'Expenditures 15-22'!D51</f>
        <v>7727</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44551</v>
      </c>
      <c r="C2724" s="2" t="s">
        <v>569</v>
      </c>
      <c r="D2724" s="2" t="str">
        <f t="shared" si="41"/>
        <v>Error?</v>
      </c>
    </row>
    <row r="2725" spans="1:4" x14ac:dyDescent="0.2">
      <c r="A2725" s="5">
        <v>2664</v>
      </c>
      <c r="B2725" s="1890">
        <f>'Expenditures 15-22'!D247</f>
        <v>477</v>
      </c>
      <c r="D2725" s="2" t="str">
        <f t="shared" si="41"/>
        <v>Error?</v>
      </c>
    </row>
    <row r="2726" spans="1:4" x14ac:dyDescent="0.2">
      <c r="A2726" s="5">
        <v>2665</v>
      </c>
      <c r="B2726" s="1890">
        <f>'Expenditures 15-22'!K247</f>
        <v>477</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7469402</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386647</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649426</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82964</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649426</v>
      </c>
      <c r="D2912" s="2" t="str">
        <f t="shared" si="44"/>
        <v>Error?</v>
      </c>
    </row>
    <row r="2913" spans="1:4" x14ac:dyDescent="0.2">
      <c r="A2913" s="5">
        <v>2852</v>
      </c>
      <c r="B2913" s="1890">
        <f>'Assets-Liab 5-6'!I41</f>
        <v>649426</v>
      </c>
      <c r="C2913" s="2" t="s">
        <v>569</v>
      </c>
      <c r="D2913" s="2" t="str">
        <f t="shared" si="44"/>
        <v>Error?</v>
      </c>
    </row>
    <row r="2914" spans="1:4" x14ac:dyDescent="0.2">
      <c r="A2914" s="5">
        <v>2853</v>
      </c>
      <c r="B2914" s="1890">
        <f>'Assets-Liab 5-6'!L33</f>
        <v>82964</v>
      </c>
      <c r="D2914" s="2" t="str">
        <f t="shared" si="44"/>
        <v>Error?</v>
      </c>
    </row>
    <row r="2915" spans="1:4" x14ac:dyDescent="0.2">
      <c r="A2915" s="10">
        <v>2854</v>
      </c>
      <c r="B2915" s="1890"/>
      <c r="D2915" s="2" t="str">
        <f t="shared" si="44"/>
        <v>OK</v>
      </c>
    </row>
    <row r="2916" spans="1:4" x14ac:dyDescent="0.2">
      <c r="A2916" s="5">
        <v>2855</v>
      </c>
      <c r="B2916" s="1890">
        <f>'Assets-Liab 5-6'!L34</f>
        <v>82964</v>
      </c>
      <c r="C2916" s="2" t="s">
        <v>569</v>
      </c>
      <c r="D2916" s="2" t="str">
        <f t="shared" si="44"/>
        <v>Error?</v>
      </c>
    </row>
    <row r="2917" spans="1:4" x14ac:dyDescent="0.2">
      <c r="A2917" s="5">
        <v>2856</v>
      </c>
      <c r="B2917" s="1890">
        <f>'Assets-Liab 5-6'!L41</f>
        <v>82964</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43048</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8390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43048</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8390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132474</v>
      </c>
      <c r="D3055" s="2" t="str">
        <f t="shared" si="46"/>
        <v>Error?</v>
      </c>
    </row>
    <row r="3056" spans="1:4" x14ac:dyDescent="0.2">
      <c r="A3056" s="5">
        <v>2995</v>
      </c>
      <c r="B3056" s="1890">
        <f>'Expenditures 15-22'!D10</f>
        <v>12920</v>
      </c>
      <c r="D3056" s="2" t="str">
        <f t="shared" si="46"/>
        <v>Error?</v>
      </c>
    </row>
    <row r="3057" spans="1:4" x14ac:dyDescent="0.2">
      <c r="A3057" s="5">
        <v>2996</v>
      </c>
      <c r="B3057" s="1890">
        <f>'Expenditures 15-22'!E10</f>
        <v>7095</v>
      </c>
      <c r="D3057" s="2" t="str">
        <f t="shared" si="46"/>
        <v>Error?</v>
      </c>
    </row>
    <row r="3058" spans="1:4" x14ac:dyDescent="0.2">
      <c r="A3058" s="5">
        <v>2997</v>
      </c>
      <c r="B3058" s="1890">
        <f>'Expenditures 15-22'!F10</f>
        <v>124</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152613</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13802</v>
      </c>
      <c r="D3064" s="2" t="str">
        <f t="shared" si="46"/>
        <v>Error?</v>
      </c>
    </row>
    <row r="3065" spans="1:4" x14ac:dyDescent="0.2">
      <c r="A3065" s="5">
        <v>3004</v>
      </c>
      <c r="B3065" s="1890">
        <f>'Expenditures 15-22'!K219</f>
        <v>13802</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-3091677</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-3091677</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118899</v>
      </c>
      <c r="C3225" s="2" t="s">
        <v>569</v>
      </c>
      <c r="D3225" s="2" t="str">
        <f t="shared" si="49"/>
        <v>Error?</v>
      </c>
    </row>
    <row r="3226" spans="1:4" x14ac:dyDescent="0.2">
      <c r="A3226" s="5">
        <v>3165</v>
      </c>
      <c r="B3226" s="1890">
        <f>'Acct Summary 7-8'!I8</f>
        <v>118899</v>
      </c>
      <c r="C3226" s="2" t="s">
        <v>569</v>
      </c>
      <c r="D3226" s="2" t="str">
        <f t="shared" si="49"/>
        <v>Error?</v>
      </c>
    </row>
    <row r="3227" spans="1:4" x14ac:dyDescent="0.2">
      <c r="A3227" s="5">
        <v>3166</v>
      </c>
      <c r="B3227" s="1890">
        <f>'Acct Summary 7-8'!I20</f>
        <v>118899</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92151</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-40000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-40000</v>
      </c>
      <c r="C3238" s="2" t="s">
        <v>569</v>
      </c>
      <c r="D3238" s="2" t="str">
        <f t="shared" si="49"/>
        <v>Error?</v>
      </c>
    </row>
    <row r="3239" spans="1:4" x14ac:dyDescent="0.2">
      <c r="A3239" s="5">
        <v>3178</v>
      </c>
      <c r="B3239" s="1890">
        <f>'Acct Summary 7-8'!D78</f>
        <v>80100</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17000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17000</v>
      </c>
      <c r="C3255" s="2" t="s">
        <v>569</v>
      </c>
      <c r="D3255" s="2" t="str">
        <f t="shared" si="49"/>
        <v>Error?</v>
      </c>
    </row>
    <row r="3256" spans="1:4" x14ac:dyDescent="0.2">
      <c r="A3256" s="5">
        <v>3195</v>
      </c>
      <c r="B3256" s="1890">
        <f>'Acct Summary 7-8'!F78</f>
        <v>-116202</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-51574</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537989</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10927698</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-3091677</v>
      </c>
      <c r="C3298" s="2" t="s">
        <v>569</v>
      </c>
      <c r="D3298" s="2" t="str">
        <f t="shared" si="50"/>
        <v>Error?</v>
      </c>
    </row>
    <row r="3299" spans="1:4" x14ac:dyDescent="0.2">
      <c r="A3299" s="5">
        <v>3238</v>
      </c>
      <c r="B3299" s="1890">
        <f>'Acct Summary 7-8'!H77</f>
        <v>14019375</v>
      </c>
      <c r="C3299" s="2" t="s">
        <v>569</v>
      </c>
      <c r="D3299" s="2" t="str">
        <f t="shared" si="50"/>
        <v>Error?</v>
      </c>
    </row>
    <row r="3300" spans="1:4" x14ac:dyDescent="0.2">
      <c r="A3300" s="5">
        <v>3239</v>
      </c>
      <c r="B3300" s="1890">
        <f>'Acct Summary 7-8'!H78</f>
        <v>6850984</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3241176</v>
      </c>
      <c r="C3317" s="2" t="s">
        <v>569</v>
      </c>
      <c r="D3317" s="2" t="str">
        <f t="shared" si="50"/>
        <v>Error?</v>
      </c>
    </row>
    <row r="3318" spans="1:4" x14ac:dyDescent="0.2">
      <c r="A3318" s="5">
        <v>3257</v>
      </c>
      <c r="B3318" s="1890">
        <f>'Acct Summary 7-8'!I76</f>
        <v>3241176</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118899</v>
      </c>
      <c r="C3320" s="2" t="s">
        <v>569</v>
      </c>
      <c r="D3320" s="2" t="str">
        <f t="shared" si="50"/>
        <v>Error?</v>
      </c>
    </row>
    <row r="3321" spans="1:4" x14ac:dyDescent="0.2">
      <c r="A3321" s="5">
        <v>3260</v>
      </c>
      <c r="B3321" s="1890">
        <f>'Acct Summary 7-8'!I79</f>
        <v>530527</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649426</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512517</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51416</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631</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2757</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567321</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30647</v>
      </c>
      <c r="D3387" s="2" t="str">
        <f t="shared" si="51"/>
        <v>Error?</v>
      </c>
    </row>
    <row r="3388" spans="1:4" x14ac:dyDescent="0.2">
      <c r="A3388" s="5">
        <v>3327</v>
      </c>
      <c r="B3388" s="1890">
        <f>'Expenditures 15-22'!D217</f>
        <v>37856</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30647</v>
      </c>
      <c r="C3390" s="2" t="s">
        <v>569</v>
      </c>
      <c r="D3390" s="2" t="str">
        <f t="shared" si="51"/>
        <v>Error?</v>
      </c>
    </row>
    <row r="3391" spans="1:4" x14ac:dyDescent="0.2">
      <c r="A3391" s="5">
        <v>3330</v>
      </c>
      <c r="B3391" s="1890">
        <f>'Expenditures 15-22'!K217</f>
        <v>37856</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8390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684935</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652142</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1262899</v>
      </c>
      <c r="D3417" s="2" t="str">
        <f t="shared" si="52"/>
        <v>Error?</v>
      </c>
    </row>
    <row r="3418" spans="1:4" x14ac:dyDescent="0.2">
      <c r="A3418" s="10">
        <v>3357</v>
      </c>
      <c r="B3418" s="1890"/>
      <c r="D3418" s="2" t="str">
        <f t="shared" si="52"/>
        <v>OK</v>
      </c>
    </row>
    <row r="3419" spans="1:4" x14ac:dyDescent="0.2">
      <c r="A3419" s="5">
        <v>3358</v>
      </c>
      <c r="B3419" s="1890">
        <f>'Assets-Liab 5-6'!F4</f>
        <v>444281</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97276</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678775</v>
      </c>
      <c r="D3425" s="2" t="str">
        <f t="shared" si="52"/>
        <v>Error?</v>
      </c>
    </row>
    <row r="3426" spans="1:4" x14ac:dyDescent="0.2">
      <c r="A3426" s="10">
        <v>3365</v>
      </c>
      <c r="B3426" s="1890"/>
      <c r="D3426" s="2" t="str">
        <f t="shared" si="52"/>
        <v>OK</v>
      </c>
    </row>
    <row r="3427" spans="1:4" x14ac:dyDescent="0.2">
      <c r="A3427" s="5">
        <v>3366</v>
      </c>
      <c r="B3427" s="1890">
        <f>'Assets-Liab 5-6'!I4</f>
        <v>262779</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82964</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93457</v>
      </c>
      <c r="C3446" s="2" t="s">
        <v>569</v>
      </c>
      <c r="D3446" s="2" t="str">
        <f t="shared" si="52"/>
        <v>Error?</v>
      </c>
    </row>
    <row r="3447" spans="1:4" x14ac:dyDescent="0.2">
      <c r="A3447" s="5">
        <v>3386</v>
      </c>
      <c r="B3447" s="1890">
        <f>'Tax Sched 23'!D16</f>
        <v>93457</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213086</v>
      </c>
      <c r="C3449" s="2" t="s">
        <v>569</v>
      </c>
      <c r="D3449" s="2" t="str">
        <f t="shared" si="52"/>
        <v>Error?</v>
      </c>
    </row>
    <row r="3450" spans="1:4" x14ac:dyDescent="0.2">
      <c r="A3450" s="5">
        <v>3389</v>
      </c>
      <c r="B3450" s="1890">
        <f>'Tax Sched 23'!E16</f>
        <v>213086</v>
      </c>
      <c r="D3450" s="2" t="str">
        <f t="shared" si="52"/>
        <v>Error?</v>
      </c>
    </row>
    <row r="3451" spans="1:4" x14ac:dyDescent="0.2">
      <c r="A3451" s="5">
        <v>3390</v>
      </c>
      <c r="B3451" s="1890">
        <f>'Cap Outlay Deprec 26'!C15</f>
        <v>250498</v>
      </c>
      <c r="D3451" s="2" t="str">
        <f t="shared" si="52"/>
        <v>Error?</v>
      </c>
    </row>
    <row r="3452" spans="1:4" x14ac:dyDescent="0.2">
      <c r="A3452" s="5">
        <v>3391</v>
      </c>
      <c r="B3452" s="1890">
        <f>'Cap Outlay Deprec 26'!D15</f>
        <v>7218904</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7469402</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7469402</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17000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217003</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36532</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253535</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253535</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253535</v>
      </c>
      <c r="C3568" s="2" t="s">
        <v>569</v>
      </c>
      <c r="D3568" s="2" t="str">
        <f t="shared" si="54"/>
        <v>Error?</v>
      </c>
    </row>
    <row r="3569" spans="1:4" x14ac:dyDescent="0.2">
      <c r="A3569" s="5">
        <v>3508</v>
      </c>
      <c r="B3569" s="1890">
        <f>'Acct Summary 7-8'!K4</f>
        <v>113600</v>
      </c>
      <c r="C3569" s="2" t="s">
        <v>569</v>
      </c>
      <c r="D3569" s="2" t="str">
        <f t="shared" si="54"/>
        <v>Error?</v>
      </c>
    </row>
    <row r="3570" spans="1:4" x14ac:dyDescent="0.2">
      <c r="A3570" s="5">
        <v>3509</v>
      </c>
      <c r="B3570" s="1890">
        <f>'Acct Summary 7-8'!K6</f>
        <v>50000</v>
      </c>
      <c r="C3570" s="2" t="s">
        <v>569</v>
      </c>
      <c r="D3570" s="2" t="str">
        <f t="shared" si="54"/>
        <v>Error?</v>
      </c>
    </row>
    <row r="3571" spans="1:4" x14ac:dyDescent="0.2">
      <c r="A3571" s="5">
        <v>3510</v>
      </c>
      <c r="B3571" s="1890">
        <f>'Acct Summary 7-8'!K8</f>
        <v>163600</v>
      </c>
      <c r="C3571" s="2" t="s">
        <v>569</v>
      </c>
      <c r="D3571" s="2" t="str">
        <f t="shared" si="54"/>
        <v>Error?</v>
      </c>
    </row>
    <row r="3572" spans="1:4" x14ac:dyDescent="0.2">
      <c r="A3572" s="5">
        <v>3511</v>
      </c>
      <c r="B3572" s="1890">
        <f>'Acct Summary 7-8'!K13</f>
        <v>239909</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239909</v>
      </c>
      <c r="C3575" s="2" t="s">
        <v>569</v>
      </c>
      <c r="D3575" s="2" t="str">
        <f t="shared" si="54"/>
        <v>Error?</v>
      </c>
    </row>
    <row r="3576" spans="1:4" x14ac:dyDescent="0.2">
      <c r="A3576" s="5">
        <v>3515</v>
      </c>
      <c r="B3576" s="1890">
        <f>'Acct Summary 7-8'!K20</f>
        <v>-76309</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-76309</v>
      </c>
      <c r="C3588" s="2" t="s">
        <v>569</v>
      </c>
      <c r="D3588" s="2" t="str">
        <f t="shared" si="55"/>
        <v>Error?</v>
      </c>
    </row>
    <row r="3589" spans="1:4" x14ac:dyDescent="0.2">
      <c r="A3589" s="5">
        <v>3528</v>
      </c>
      <c r="B3589" s="1890">
        <f>'Acct Summary 7-8'!K79</f>
        <v>329844</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253535</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239909</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239909</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239909</v>
      </c>
      <c r="C3649" s="2" t="s">
        <v>569</v>
      </c>
      <c r="D3649" s="2" t="str">
        <f t="shared" si="56"/>
        <v>Error?</v>
      </c>
    </row>
    <row r="3650" spans="1:4" x14ac:dyDescent="0.2">
      <c r="A3650" s="5">
        <v>3589</v>
      </c>
      <c r="B3650" s="1890">
        <f>'Expenditures 15-22'!G367</f>
        <v>239909</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239909</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239909</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239909</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239909</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-76309</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60685</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107795</v>
      </c>
      <c r="C3725" s="2" t="s">
        <v>569</v>
      </c>
      <c r="D3725" s="2" t="str">
        <f t="shared" si="57"/>
        <v>Error?</v>
      </c>
    </row>
    <row r="3726" spans="1:4" x14ac:dyDescent="0.2">
      <c r="A3726" s="5">
        <v>3665</v>
      </c>
      <c r="B3726" s="1890">
        <f>'Tax Sched 23'!D13</f>
        <v>107795</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115020</v>
      </c>
      <c r="C3728" s="2" t="s">
        <v>569</v>
      </c>
      <c r="D3728" s="2" t="str">
        <f t="shared" si="57"/>
        <v>Error?</v>
      </c>
    </row>
    <row r="3729" spans="1:4" x14ac:dyDescent="0.2">
      <c r="A3729" s="5">
        <v>3668</v>
      </c>
      <c r="B3729" s="1890">
        <f>'Tax Sched 23'!E13</f>
        <v>115020</v>
      </c>
      <c r="D3729" s="2" t="str">
        <f t="shared" si="57"/>
        <v>Error?</v>
      </c>
    </row>
    <row r="3730" spans="1:4" x14ac:dyDescent="0.2">
      <c r="A3730" s="5">
        <v>3669</v>
      </c>
      <c r="B3730" s="1890">
        <f>'ICR Computation 30'!E10</f>
        <v>109696</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443839</v>
      </c>
      <c r="D4113" s="2" t="str">
        <f t="shared" si="63"/>
        <v>Error?</v>
      </c>
    </row>
    <row r="4114" spans="1:4" x14ac:dyDescent="0.2">
      <c r="A4114" s="5">
        <v>4053</v>
      </c>
      <c r="B4114" s="1890">
        <f>'Acct Summary 7-8'!D9</f>
        <v>3170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2048</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6670445</v>
      </c>
      <c r="C4122" s="2" t="s">
        <v>569</v>
      </c>
      <c r="D4122" s="2" t="str">
        <f t="shared" si="63"/>
        <v>Error?</v>
      </c>
    </row>
    <row r="4123" spans="1:4" x14ac:dyDescent="0.2">
      <c r="A4123" s="5">
        <v>4062</v>
      </c>
      <c r="B4123" s="1890">
        <f>'Acct Summary 7-8'!D10</f>
        <v>600514</v>
      </c>
      <c r="C4123" s="2" t="s">
        <v>569</v>
      </c>
      <c r="D4123" s="2" t="str">
        <f t="shared" si="63"/>
        <v>Error?</v>
      </c>
    </row>
    <row r="4124" spans="1:4" x14ac:dyDescent="0.2">
      <c r="A4124" s="5">
        <v>4063</v>
      </c>
      <c r="B4124" s="1890">
        <f>'Acct Summary 7-8'!E10</f>
        <v>1537039</v>
      </c>
      <c r="C4124" s="2" t="s">
        <v>569</v>
      </c>
      <c r="D4124" s="2" t="str">
        <f t="shared" si="63"/>
        <v>Error?</v>
      </c>
    </row>
    <row r="4125" spans="1:4" x14ac:dyDescent="0.2">
      <c r="A4125" s="5">
        <v>4064</v>
      </c>
      <c r="B4125" s="1890">
        <f>'Acct Summary 7-8'!F10</f>
        <v>1655505</v>
      </c>
      <c r="C4125" s="2" t="s">
        <v>569</v>
      </c>
      <c r="D4125" s="2" t="str">
        <f t="shared" si="63"/>
        <v>Error?</v>
      </c>
    </row>
    <row r="4126" spans="1:4" x14ac:dyDescent="0.2">
      <c r="A4126" s="5">
        <v>4065</v>
      </c>
      <c r="B4126" s="1890">
        <f>'Acct Summary 7-8'!G10</f>
        <v>278467</v>
      </c>
      <c r="C4126" s="2" t="s">
        <v>569</v>
      </c>
      <c r="D4126" s="2" t="str">
        <f t="shared" si="63"/>
        <v>Error?</v>
      </c>
    </row>
    <row r="4127" spans="1:4" x14ac:dyDescent="0.2">
      <c r="A4127" s="5">
        <v>4066</v>
      </c>
      <c r="B4127" s="1890">
        <f>'Acct Summary 7-8'!H10</f>
        <v>100577</v>
      </c>
      <c r="C4127" s="2" t="s">
        <v>569</v>
      </c>
      <c r="D4127" s="2" t="str">
        <f t="shared" si="63"/>
        <v>Error?</v>
      </c>
    </row>
    <row r="4128" spans="1:4" x14ac:dyDescent="0.2">
      <c r="A4128" s="5">
        <v>4067</v>
      </c>
      <c r="B4128" s="1890">
        <f>'Acct Summary 7-8'!I10</f>
        <v>118899</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163600</v>
      </c>
      <c r="C4130" s="2" t="s">
        <v>569</v>
      </c>
      <c r="D4130" s="2" t="str">
        <f t="shared" si="63"/>
        <v>Error?</v>
      </c>
    </row>
    <row r="4131" spans="1:4" x14ac:dyDescent="0.2">
      <c r="A4131" s="5">
        <v>4070</v>
      </c>
      <c r="B4131" s="1890">
        <f>'Acct Summary 7-8'!C18</f>
        <v>443839</v>
      </c>
      <c r="C4131" s="2" t="s">
        <v>569</v>
      </c>
      <c r="D4131" s="2" t="str">
        <f t="shared" si="63"/>
        <v>Error?</v>
      </c>
    </row>
    <row r="4132" spans="1:4" x14ac:dyDescent="0.2">
      <c r="A4132" s="5">
        <v>4071</v>
      </c>
      <c r="B4132" s="1890">
        <f>'Acct Summary 7-8'!D18</f>
        <v>3170</v>
      </c>
      <c r="C4132" s="2" t="s">
        <v>569</v>
      </c>
      <c r="D4132" s="2" t="str">
        <f t="shared" si="63"/>
        <v>Error?</v>
      </c>
    </row>
    <row r="4133" spans="1:4" x14ac:dyDescent="0.2">
      <c r="A4133" s="5">
        <v>4072</v>
      </c>
      <c r="B4133" s="1890">
        <f>'Acct Summary 7-8'!F18</f>
        <v>2048</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6578294</v>
      </c>
      <c r="C4136" s="2" t="s">
        <v>569</v>
      </c>
      <c r="D4136" s="2" t="str">
        <f t="shared" si="63"/>
        <v>Error?</v>
      </c>
    </row>
    <row r="4137" spans="1:4" x14ac:dyDescent="0.2">
      <c r="A4137" s="5">
        <v>4076</v>
      </c>
      <c r="B4137" s="1890">
        <f>'Acct Summary 7-8'!D19</f>
        <v>480414</v>
      </c>
      <c r="C4137" s="2" t="s">
        <v>569</v>
      </c>
      <c r="D4137" s="2" t="str">
        <f t="shared" si="63"/>
        <v>Error?</v>
      </c>
    </row>
    <row r="4138" spans="1:4" x14ac:dyDescent="0.2">
      <c r="A4138" s="5">
        <v>4077</v>
      </c>
      <c r="B4138" s="1890">
        <f>'Acct Summary 7-8'!E19</f>
        <v>999050</v>
      </c>
      <c r="C4138" s="2" t="s">
        <v>569</v>
      </c>
      <c r="D4138" s="2" t="str">
        <f t="shared" si="63"/>
        <v>Error?</v>
      </c>
    </row>
    <row r="4139" spans="1:4" x14ac:dyDescent="0.2">
      <c r="A4139" s="5">
        <v>4078</v>
      </c>
      <c r="B4139" s="1890">
        <f>'Acct Summary 7-8'!F19</f>
        <v>1788707</v>
      </c>
      <c r="C4139" s="2" t="s">
        <v>569</v>
      </c>
      <c r="D4139" s="2" t="str">
        <f t="shared" si="63"/>
        <v>Error?</v>
      </c>
    </row>
    <row r="4140" spans="1:4" x14ac:dyDescent="0.2">
      <c r="A4140" s="5">
        <v>4079</v>
      </c>
      <c r="B4140" s="1890">
        <f>'Acct Summary 7-8'!G19</f>
        <v>330041</v>
      </c>
      <c r="C4140" s="2" t="s">
        <v>569</v>
      </c>
      <c r="D4140" s="2" t="str">
        <f t="shared" si="63"/>
        <v>Error?</v>
      </c>
    </row>
    <row r="4141" spans="1:4" x14ac:dyDescent="0.2">
      <c r="A4141" s="5">
        <v>4080</v>
      </c>
      <c r="B4141" s="1890">
        <f>'Acct Summary 7-8'!H19</f>
        <v>7268968</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239909</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18985000</v>
      </c>
      <c r="C4171" s="2" t="s">
        <v>569</v>
      </c>
      <c r="D4171" s="2" t="str">
        <f t="shared" si="64"/>
        <v>Error?</v>
      </c>
    </row>
    <row r="4172" spans="1:4" x14ac:dyDescent="0.2">
      <c r="A4172" s="5">
        <v>4111</v>
      </c>
      <c r="B4172" s="1890">
        <f>'Short-Term Long-Term Debt 24'!J49</f>
        <v>17497029</v>
      </c>
      <c r="C4172" s="2" t="s">
        <v>569</v>
      </c>
      <c r="D4172" s="2" t="str">
        <f t="shared" si="64"/>
        <v>Error?</v>
      </c>
    </row>
    <row r="4173" spans="1:4" x14ac:dyDescent="0.2">
      <c r="A4173" s="5">
        <v>4112</v>
      </c>
      <c r="B4173" s="1890">
        <f>'Short-Term Long-Term Debt 24'!H49</f>
        <v>730000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1790</v>
      </c>
      <c r="C4265" s="2" t="s">
        <v>569</v>
      </c>
      <c r="D4265" s="2" t="str">
        <f t="shared" si="65"/>
        <v>Error?</v>
      </c>
      <c r="E4265" s="125"/>
    </row>
    <row r="4266" spans="1:5" x14ac:dyDescent="0.2">
      <c r="A4266" s="12">
        <v>4205</v>
      </c>
      <c r="B4266" s="1890">
        <f>('FP Info 3'!F10)*100000</f>
        <v>250</v>
      </c>
      <c r="C4266" s="2" t="s">
        <v>569</v>
      </c>
      <c r="D4266" s="2" t="str">
        <f t="shared" si="65"/>
        <v>Error?</v>
      </c>
      <c r="E4266" s="125"/>
    </row>
    <row r="4267" spans="1:5" x14ac:dyDescent="0.2">
      <c r="A4267" s="12">
        <v>4206</v>
      </c>
      <c r="B4267" s="1890">
        <f>('FP Info 3'!H10)*100000</f>
        <v>119.99999999999999</v>
      </c>
      <c r="C4267" s="2" t="s">
        <v>569</v>
      </c>
      <c r="D4267" s="2" t="str">
        <f t="shared" si="65"/>
        <v>Error?</v>
      </c>
      <c r="E4267" s="125"/>
    </row>
    <row r="4268" spans="1:5" x14ac:dyDescent="0.2">
      <c r="A4268" s="12">
        <v>4207</v>
      </c>
      <c r="B4268" s="1890">
        <f>('FP Info 3'!J10)*100000</f>
        <v>2160</v>
      </c>
      <c r="C4268" s="2" t="s">
        <v>569</v>
      </c>
      <c r="D4268" s="2" t="str">
        <f t="shared" si="65"/>
        <v>Error?</v>
      </c>
    </row>
    <row r="4269" spans="1:5" x14ac:dyDescent="0.2">
      <c r="A4269" s="12">
        <v>4208</v>
      </c>
      <c r="B4269" s="1890">
        <f>'FP Info 3'!J16</f>
        <v>4737946</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22008</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7504</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13886</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5629</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18129</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50000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2072</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308561524</v>
      </c>
      <c r="D4995" s="2" t="str">
        <f t="shared" si="77"/>
        <v>Error?</v>
      </c>
    </row>
    <row r="4996" spans="1:4" x14ac:dyDescent="0.2">
      <c r="A4996" s="12">
        <v>4935</v>
      </c>
      <c r="B4996" s="1890">
        <f>'FP Info 3'!H31</f>
        <v>21290745.156000003</v>
      </c>
      <c r="D4996" s="2" t="str">
        <f t="shared" si="77"/>
        <v>Error?</v>
      </c>
    </row>
    <row r="4997" spans="1:4" x14ac:dyDescent="0.2">
      <c r="A4997" s="12">
        <v>4936</v>
      </c>
      <c r="B4997" s="1890">
        <f>'FP Info 3'!H37</f>
        <v>18985000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50000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107795</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3859097</v>
      </c>
      <c r="D5061" s="2" t="str">
        <f t="shared" si="78"/>
        <v>Error?</v>
      </c>
    </row>
    <row r="5062" spans="1:4" x14ac:dyDescent="0.2">
      <c r="A5062" s="10">
        <v>5001</v>
      </c>
      <c r="B5062" s="1890"/>
      <c r="D5062" s="2" t="str">
        <f t="shared" si="78"/>
        <v>OK</v>
      </c>
    </row>
    <row r="5063" spans="1:4" x14ac:dyDescent="0.2">
      <c r="A5063" s="5">
        <v>5002</v>
      </c>
      <c r="B5063" s="1890">
        <f>'Revenues 9-14'!C7</f>
        <v>43118</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4010010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124302</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124302</v>
      </c>
      <c r="C5071" s="2" t="s">
        <v>569</v>
      </c>
      <c r="D5071" s="2" t="str">
        <f t="shared" si="78"/>
        <v>Error?</v>
      </c>
    </row>
    <row r="5072" spans="1:4" x14ac:dyDescent="0.2">
      <c r="A5072" s="5">
        <v>5011</v>
      </c>
      <c r="B5072" s="1890">
        <f>'Revenues 9-14'!C20</f>
        <v>5931</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5931</v>
      </c>
      <c r="C5087" s="2" t="s">
        <v>569</v>
      </c>
      <c r="D5087" s="2" t="str">
        <f t="shared" si="78"/>
        <v>Error?</v>
      </c>
    </row>
    <row r="5088" spans="1:4" x14ac:dyDescent="0.2">
      <c r="A5088" s="5">
        <v>5027</v>
      </c>
      <c r="B5088" s="1890">
        <f>'Revenues 9-14'!C65</f>
        <v>69827</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69827</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5582</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230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46402</v>
      </c>
      <c r="C5096" s="2" t="s">
        <v>569</v>
      </c>
      <c r="D5096" s="2" t="str">
        <f t="shared" si="78"/>
        <v>Error?</v>
      </c>
    </row>
    <row r="5097" spans="1:4" x14ac:dyDescent="0.2">
      <c r="A5097" s="5">
        <v>5036</v>
      </c>
      <c r="B5097" s="1890">
        <f>'Revenues 9-14'!C77</f>
        <v>15101</v>
      </c>
      <c r="D5097" s="2" t="str">
        <f t="shared" si="78"/>
        <v>Error?</v>
      </c>
    </row>
    <row r="5098" spans="1:4" x14ac:dyDescent="0.2">
      <c r="A5098" s="5">
        <v>5037</v>
      </c>
      <c r="B5098" s="1890">
        <f>'Revenues 9-14'!C78</f>
        <v>4741</v>
      </c>
      <c r="D5098" s="2" t="str">
        <f t="shared" si="78"/>
        <v>Error?</v>
      </c>
    </row>
    <row r="5099" spans="1:4" x14ac:dyDescent="0.2">
      <c r="A5099" s="5">
        <v>5038</v>
      </c>
      <c r="B5099" s="1890">
        <f>'Revenues 9-14'!C79</f>
        <v>9710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13435</v>
      </c>
      <c r="D5101" s="2" t="str">
        <f t="shared" si="78"/>
        <v>Error?</v>
      </c>
    </row>
    <row r="5102" spans="1:4" x14ac:dyDescent="0.2">
      <c r="A5102" s="5">
        <v>5041</v>
      </c>
      <c r="B5102" s="1890">
        <f>'Revenues 9-14'!C82</f>
        <v>42987</v>
      </c>
      <c r="C5102" s="2" t="s">
        <v>569</v>
      </c>
      <c r="D5102" s="2" t="str">
        <f t="shared" si="78"/>
        <v>Error?</v>
      </c>
    </row>
    <row r="5103" spans="1:4" x14ac:dyDescent="0.2">
      <c r="A5103" s="5">
        <v>5042</v>
      </c>
      <c r="B5103" s="1890">
        <f>'Revenues 9-14'!C84</f>
        <v>67925</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67925</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1000</v>
      </c>
      <c r="D5114" s="2" t="str">
        <f t="shared" si="78"/>
        <v>Error?</v>
      </c>
    </row>
    <row r="5115" spans="1:4" x14ac:dyDescent="0.2">
      <c r="A5115" s="5">
        <v>5054</v>
      </c>
      <c r="B5115" s="1890">
        <f>'Revenues 9-14'!C98</f>
        <v>5582</v>
      </c>
      <c r="D5115" s="2" t="str">
        <f t="shared" si="78"/>
        <v>Error?</v>
      </c>
    </row>
    <row r="5116" spans="1:4" x14ac:dyDescent="0.2">
      <c r="A5116" s="5">
        <v>5055</v>
      </c>
      <c r="B5116" s="1890">
        <f>'Revenues 9-14'!C99</f>
        <v>65000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17561</v>
      </c>
      <c r="D5119" s="2" t="str">
        <f t="shared" ref="D5119:D5182" si="79">IF(ISBLANK(B5119),"OK",IF(A5119-B5119=0,"OK","Error?"))</f>
        <v>Error?</v>
      </c>
    </row>
    <row r="5120" spans="1:4" x14ac:dyDescent="0.2">
      <c r="A5120" s="5">
        <v>5059</v>
      </c>
      <c r="B5120" s="1890">
        <f>'Revenues 9-14'!C108</f>
        <v>206464</v>
      </c>
      <c r="C5120" s="2" t="s">
        <v>569</v>
      </c>
      <c r="D5120" s="2" t="str">
        <f t="shared" si="79"/>
        <v>Error?</v>
      </c>
    </row>
    <row r="5121" spans="1:4" x14ac:dyDescent="0.2">
      <c r="A5121" s="5">
        <v>5060</v>
      </c>
      <c r="B5121" s="1890">
        <f>'Revenues 9-14'!C109</f>
        <v>4573848</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8390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8390</v>
      </c>
      <c r="C5125" s="2" t="s">
        <v>569</v>
      </c>
      <c r="D5125" s="2" t="str">
        <f t="shared" si="79"/>
        <v>Error?</v>
      </c>
    </row>
    <row r="5126" spans="1:4" x14ac:dyDescent="0.2">
      <c r="A5126" s="5">
        <v>5065</v>
      </c>
      <c r="B5126" s="1890">
        <f>'Revenues 9-14'!C117</f>
        <v>1091660</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1091660</v>
      </c>
      <c r="C5132" s="2" t="s">
        <v>569</v>
      </c>
      <c r="D5132" s="2" t="str">
        <f t="shared" si="79"/>
        <v>Error?</v>
      </c>
    </row>
    <row r="5133" spans="1:4" x14ac:dyDescent="0.2">
      <c r="A5133" s="5">
        <v>5072</v>
      </c>
      <c r="B5133" s="1890">
        <f>'Revenues 9-14'!C125</f>
        <v>113912</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113912</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902</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136593</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252157</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1343817</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64542</v>
      </c>
      <c r="D5239" s="2" t="str">
        <f t="shared" si="80"/>
        <v>Error?</v>
      </c>
    </row>
    <row r="5240" spans="1:4" x14ac:dyDescent="0.2">
      <c r="A5240" s="5">
        <v>5179</v>
      </c>
      <c r="B5240" s="1890">
        <f>'Revenues 9-14'!C192</f>
        <v>653</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65195</v>
      </c>
      <c r="C5246" s="2" t="s">
        <v>569</v>
      </c>
      <c r="D5246" s="2" t="str">
        <f t="shared" si="80"/>
        <v>Error?</v>
      </c>
    </row>
    <row r="5247" spans="1:4" x14ac:dyDescent="0.2">
      <c r="A5247" s="5">
        <v>5186</v>
      </c>
      <c r="B5247" s="1890">
        <f>'Revenues 9-14'!C200</f>
        <v>81100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13886</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81100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83745</v>
      </c>
      <c r="D5278" s="2" t="str">
        <f t="shared" si="81"/>
        <v>Error?</v>
      </c>
    </row>
    <row r="5279" spans="1:4" x14ac:dyDescent="0.2">
      <c r="A5279" s="5">
        <v>5218</v>
      </c>
      <c r="B5279" s="1890">
        <f>'Revenues 9-14'!C214</f>
        <v>3355</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87100</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300551</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300551</v>
      </c>
      <c r="C5326" s="2" t="s">
        <v>569</v>
      </c>
      <c r="D5326" s="2" t="str">
        <f t="shared" si="82"/>
        <v>Error?</v>
      </c>
    </row>
    <row r="5327" spans="1:5" x14ac:dyDescent="0.2">
      <c r="A5327" s="5">
        <v>5266</v>
      </c>
      <c r="B5327" s="1890">
        <f>'Revenues 9-14'!C268</f>
        <v>6226606</v>
      </c>
      <c r="C5327" s="2" t="s">
        <v>569</v>
      </c>
      <c r="D5327" s="2" t="str">
        <f t="shared" si="82"/>
        <v>Error?</v>
      </c>
    </row>
    <row r="5328" spans="1:5" x14ac:dyDescent="0.2">
      <c r="A5328" s="5">
        <v>5267</v>
      </c>
      <c r="B5328" s="1890">
        <f>'Revenues 9-14'!D5</f>
        <v>538975</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538975</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20257</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20257</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1588</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34452</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36040</v>
      </c>
      <c r="C5355" s="2" t="s">
        <v>569</v>
      </c>
      <c r="D5355" s="2" t="str">
        <f t="shared" si="82"/>
        <v>Error?</v>
      </c>
    </row>
    <row r="5356" spans="1:4" x14ac:dyDescent="0.2">
      <c r="A5356" s="5">
        <v>5295</v>
      </c>
      <c r="B5356" s="1890">
        <f>'Revenues 9-14'!D109</f>
        <v>595272</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2072</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2072</v>
      </c>
      <c r="C5507" s="2" t="s">
        <v>569</v>
      </c>
      <c r="D5507" s="2" t="str">
        <f t="shared" si="85"/>
        <v>Error?</v>
      </c>
    </row>
    <row r="5508" spans="1:4" x14ac:dyDescent="0.2">
      <c r="A5508" s="5">
        <v>5447</v>
      </c>
      <c r="B5508" s="1890">
        <f>'Revenues 9-14'!D268</f>
        <v>597344</v>
      </c>
      <c r="C5508" s="2" t="s">
        <v>569</v>
      </c>
      <c r="D5508" s="2" t="str">
        <f t="shared" si="85"/>
        <v>Error?</v>
      </c>
    </row>
    <row r="5509" spans="1:4" x14ac:dyDescent="0.2">
      <c r="A5509" s="5">
        <v>5448</v>
      </c>
      <c r="B5509" s="1890">
        <f>'Revenues 9-14'!E5</f>
        <v>996078</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996078</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15961</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15961</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525000</v>
      </c>
      <c r="C5526" s="2" t="s">
        <v>569</v>
      </c>
      <c r="D5526" s="2" t="str">
        <f t="shared" si="85"/>
        <v>Error?</v>
      </c>
    </row>
    <row r="5527" spans="1:4" x14ac:dyDescent="0.2">
      <c r="A5527" s="5">
        <v>5466</v>
      </c>
      <c r="B5527" s="1890">
        <f>'Revenues 9-14'!E109</f>
        <v>1537039</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1537039</v>
      </c>
      <c r="C5552" s="2" t="s">
        <v>569</v>
      </c>
      <c r="D5552" s="2" t="str">
        <f t="shared" si="85"/>
        <v>Error?</v>
      </c>
    </row>
    <row r="5553" spans="1:4" x14ac:dyDescent="0.2">
      <c r="A5553" s="5">
        <v>5492</v>
      </c>
      <c r="B5553" s="1890">
        <f>'Revenues 9-14'!F5</f>
        <v>258708</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258708</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468209</v>
      </c>
      <c r="D5564" s="2" t="str">
        <f t="shared" si="85"/>
        <v>Error?</v>
      </c>
    </row>
    <row r="5565" spans="1:4" x14ac:dyDescent="0.2">
      <c r="A5565" s="5">
        <v>5504</v>
      </c>
      <c r="B5565" s="1890">
        <f>'Revenues 9-14'!F44</f>
        <v>13083</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670083</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1151375</v>
      </c>
      <c r="C5579" s="2" t="s">
        <v>569</v>
      </c>
      <c r="D5579" s="2" t="str">
        <f t="shared" si="86"/>
        <v>Error?</v>
      </c>
    </row>
    <row r="5580" spans="1:4" x14ac:dyDescent="0.2">
      <c r="A5580" s="5">
        <v>5519</v>
      </c>
      <c r="B5580" s="1890">
        <f>'Revenues 9-14'!F65</f>
        <v>2836</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2836</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275</v>
      </c>
      <c r="D5586" s="2" t="str">
        <f t="shared" si="86"/>
        <v>Error?</v>
      </c>
    </row>
    <row r="5587" spans="1:4" x14ac:dyDescent="0.2">
      <c r="A5587" s="5">
        <v>5526</v>
      </c>
      <c r="B5587" s="1890">
        <f>'Revenues 9-14'!F108</f>
        <v>275</v>
      </c>
      <c r="C5587" s="2" t="s">
        <v>569</v>
      </c>
      <c r="D5587" s="2" t="str">
        <f t="shared" si="86"/>
        <v>Error?</v>
      </c>
    </row>
    <row r="5588" spans="1:4" x14ac:dyDescent="0.2">
      <c r="A5588" s="5">
        <v>5527</v>
      </c>
      <c r="B5588" s="1890">
        <f>'Revenues 9-14'!F109</f>
        <v>1413194</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56383</v>
      </c>
      <c r="D5615" s="2" t="str">
        <f t="shared" si="86"/>
        <v>Error?</v>
      </c>
    </row>
    <row r="5616" spans="1:4" x14ac:dyDescent="0.2">
      <c r="A5616" s="10">
        <v>5555</v>
      </c>
      <c r="B5616" s="1890"/>
      <c r="D5616" s="2" t="str">
        <f t="shared" si="86"/>
        <v>OK</v>
      </c>
    </row>
    <row r="5617" spans="1:5" x14ac:dyDescent="0.2">
      <c r="A5617" s="5">
        <v>5556</v>
      </c>
      <c r="B5617" s="1890">
        <f>'Revenues 9-14'!F153</f>
        <v>148346</v>
      </c>
      <c r="D5617" s="2" t="str">
        <f t="shared" si="86"/>
        <v>Error?</v>
      </c>
    </row>
    <row r="5618" spans="1:5" x14ac:dyDescent="0.2">
      <c r="A5618" s="5">
        <v>5557</v>
      </c>
      <c r="B5618" s="1890">
        <f>'Revenues 9-14'!F155</f>
        <v>204729</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35534</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240263</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240263</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1653457</v>
      </c>
      <c r="C5720" s="2" t="s">
        <v>569</v>
      </c>
      <c r="D5720" s="2" t="str">
        <f t="shared" si="88"/>
        <v>Error?</v>
      </c>
    </row>
    <row r="5721" spans="1:4" x14ac:dyDescent="0.2">
      <c r="A5721" s="5">
        <v>5660</v>
      </c>
      <c r="B5721" s="1890">
        <f>'Revenues 9-14'!G5</f>
        <v>71171</v>
      </c>
      <c r="D5721" s="2" t="str">
        <f t="shared" si="88"/>
        <v>Error?</v>
      </c>
    </row>
    <row r="5722" spans="1:4" x14ac:dyDescent="0.2">
      <c r="A5722" s="5">
        <v>5661</v>
      </c>
      <c r="B5722" s="1890">
        <f>'Revenues 9-14'!G7</f>
        <v>0</v>
      </c>
      <c r="D5722" s="2" t="str">
        <f t="shared" si="88"/>
        <v>Error?</v>
      </c>
    </row>
    <row r="5723" spans="1:4" x14ac:dyDescent="0.2">
      <c r="A5723" s="5">
        <v>5662</v>
      </c>
      <c r="B5723" s="1890">
        <f>'Revenues 9-14'!G8</f>
        <v>93457</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164628</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5179</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5179</v>
      </c>
      <c r="C5730" s="2" t="s">
        <v>569</v>
      </c>
      <c r="D5730" s="2" t="str">
        <f t="shared" si="88"/>
        <v>Error?</v>
      </c>
    </row>
    <row r="5731" spans="1:4" x14ac:dyDescent="0.2">
      <c r="A5731" s="5">
        <v>5670</v>
      </c>
      <c r="B5731" s="1890">
        <f>'Revenues 9-14'!G65</f>
        <v>1764</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1764</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106896</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278467</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27480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27480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73097</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100577</v>
      </c>
      <c r="C5915" s="2" t="s">
        <v>569</v>
      </c>
      <c r="D5915" s="2" t="str">
        <f t="shared" si="91"/>
        <v>Error?</v>
      </c>
    </row>
    <row r="5916" spans="1:4" x14ac:dyDescent="0.2">
      <c r="A5916" s="5">
        <v>5855</v>
      </c>
      <c r="B5916" s="1890">
        <f>'Revenues 9-14'!I5</f>
        <v>107795</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107795</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11104</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11104</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118899</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107795</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107795</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5805</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5805</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50000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163600</v>
      </c>
      <c r="C6023" s="2" t="s">
        <v>569</v>
      </c>
      <c r="D6023" s="2" t="str">
        <f t="shared" si="93"/>
        <v>Error?</v>
      </c>
    </row>
    <row r="6024" spans="1:5" x14ac:dyDescent="0.2">
      <c r="A6024" s="5">
        <v>5963</v>
      </c>
      <c r="B6024" s="1890">
        <f>'Revenues 9-14'!G109</f>
        <v>278467</v>
      </c>
      <c r="C6024" s="2" t="s">
        <v>569</v>
      </c>
      <c r="D6024" s="2" t="str">
        <f t="shared" si="93"/>
        <v>Error?</v>
      </c>
    </row>
    <row r="6025" spans="1:5" x14ac:dyDescent="0.2">
      <c r="A6025" s="5">
        <v>5964</v>
      </c>
      <c r="B6025" s="1890">
        <f>'Revenues 9-14'!H109</f>
        <v>100577</v>
      </c>
      <c r="C6025" s="2" t="s">
        <v>569</v>
      </c>
      <c r="D6025" s="2" t="str">
        <f t="shared" si="93"/>
        <v>Error?</v>
      </c>
    </row>
    <row r="6026" spans="1:5" x14ac:dyDescent="0.2">
      <c r="A6026" s="5">
        <v>5965</v>
      </c>
      <c r="B6026" s="1890">
        <f>'Revenues 9-14'!I109</f>
        <v>118899</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113600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40590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13203</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719.5</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141978</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141978</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141978</v>
      </c>
      <c r="D6216" s="2" t="str">
        <f t="shared" si="96"/>
        <v>Error?</v>
      </c>
      <c r="E6216" s="2" t="s">
        <v>189</v>
      </c>
    </row>
    <row r="6217" spans="1:5" x14ac:dyDescent="0.2">
      <c r="A6217">
        <v>6156</v>
      </c>
      <c r="B6217" s="1890">
        <f>'Assets-Liab 5-6'!J4</f>
        <v>141802</v>
      </c>
      <c r="D6217" s="2" t="str">
        <f t="shared" si="96"/>
        <v>Error?</v>
      </c>
      <c r="E6217" s="2" t="s">
        <v>189</v>
      </c>
    </row>
    <row r="6218" spans="1:5" x14ac:dyDescent="0.2">
      <c r="A6218">
        <v>6157</v>
      </c>
      <c r="B6218" s="1890">
        <f>'Assets-Liab 5-6'!J5</f>
        <v>176</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339795</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339795</v>
      </c>
      <c r="D6223" s="2" t="str">
        <f t="shared" si="96"/>
        <v>Error?</v>
      </c>
      <c r="E6223" s="2" t="s">
        <v>189</v>
      </c>
    </row>
    <row r="6224" spans="1:5" x14ac:dyDescent="0.2">
      <c r="A6224">
        <v>6163</v>
      </c>
      <c r="B6224" s="1890">
        <f>'Acct Summary 7-8'!J9</f>
        <v>6206</v>
      </c>
      <c r="D6224" s="2" t="str">
        <f t="shared" si="96"/>
        <v>Error?</v>
      </c>
      <c r="E6224" s="2" t="s">
        <v>189</v>
      </c>
    </row>
    <row r="6225" spans="1:5" x14ac:dyDescent="0.2">
      <c r="A6225">
        <v>6164</v>
      </c>
      <c r="B6225" s="1890">
        <f>'Acct Summary 7-8'!J10</f>
        <v>346001</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335444</v>
      </c>
      <c r="D6227" s="2" t="str">
        <f t="shared" si="96"/>
        <v>Error?</v>
      </c>
      <c r="E6227" s="2" t="s">
        <v>189</v>
      </c>
    </row>
    <row r="6228" spans="1:5" x14ac:dyDescent="0.2">
      <c r="A6228">
        <v>6167</v>
      </c>
      <c r="B6228" s="1890">
        <f>'Acct Summary 7-8'!J18</f>
        <v>6206</v>
      </c>
      <c r="D6228" s="2" t="str">
        <f t="shared" si="96"/>
        <v>Error?</v>
      </c>
      <c r="E6228" s="2" t="s">
        <v>189</v>
      </c>
    </row>
    <row r="6229" spans="1:5" x14ac:dyDescent="0.2">
      <c r="A6229">
        <v>6168</v>
      </c>
      <c r="B6229" s="1890">
        <f>'Acct Summary 7-8'!J19</f>
        <v>341650</v>
      </c>
      <c r="D6229" s="2" t="str">
        <f t="shared" si="96"/>
        <v>Error?</v>
      </c>
      <c r="E6229" s="2" t="s">
        <v>189</v>
      </c>
    </row>
    <row r="6230" spans="1:5" x14ac:dyDescent="0.2">
      <c r="A6230">
        <v>6169</v>
      </c>
      <c r="B6230" s="1890">
        <f>'Acct Summary 7-8'!J20</f>
        <v>4351</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189499</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4351</v>
      </c>
      <c r="D6263" s="2" t="str">
        <f t="shared" si="96"/>
        <v>Error?</v>
      </c>
      <c r="E6263" s="2" t="s">
        <v>189</v>
      </c>
    </row>
    <row r="6264" spans="1:5" x14ac:dyDescent="0.2">
      <c r="A6264">
        <v>6203</v>
      </c>
      <c r="B6264" s="1890">
        <f>'Acct Summary 7-8'!J79</f>
        <v>137627</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141978</v>
      </c>
      <c r="D6266" s="2" t="str">
        <f t="shared" si="96"/>
        <v>Error?</v>
      </c>
      <c r="E6266" s="2" t="s">
        <v>189</v>
      </c>
    </row>
    <row r="6267" spans="1:5" x14ac:dyDescent="0.2">
      <c r="A6267">
        <v>6206</v>
      </c>
      <c r="B6267" s="1890">
        <f>'Acct Summary 7-8'!C82</f>
        <v>92151</v>
      </c>
      <c r="D6267" s="2" t="str">
        <f t="shared" si="96"/>
        <v>Error?</v>
      </c>
      <c r="E6267" s="2" t="s">
        <v>189</v>
      </c>
    </row>
    <row r="6268" spans="1:5" x14ac:dyDescent="0.2">
      <c r="A6268">
        <v>6207</v>
      </c>
      <c r="B6268" s="1890">
        <f>'Acct Summary 7-8'!D82</f>
        <v>80100</v>
      </c>
      <c r="D6268" s="2" t="str">
        <f t="shared" si="96"/>
        <v>Error?</v>
      </c>
      <c r="E6268" s="2" t="s">
        <v>189</v>
      </c>
    </row>
    <row r="6269" spans="1:5" x14ac:dyDescent="0.2">
      <c r="A6269">
        <v>6208</v>
      </c>
      <c r="B6269" s="1890">
        <f>'Acct Summary 7-8'!E82</f>
        <v>537989</v>
      </c>
      <c r="D6269" s="2" t="str">
        <f t="shared" si="96"/>
        <v>Error?</v>
      </c>
      <c r="E6269" s="2" t="s">
        <v>189</v>
      </c>
    </row>
    <row r="6270" spans="1:5" x14ac:dyDescent="0.2">
      <c r="A6270">
        <v>6209</v>
      </c>
      <c r="B6270" s="1890">
        <f>'Acct Summary 7-8'!F82</f>
        <v>-116202</v>
      </c>
      <c r="D6270" s="2" t="str">
        <f t="shared" si="96"/>
        <v>Error?</v>
      </c>
      <c r="E6270" s="2" t="s">
        <v>189</v>
      </c>
    </row>
    <row r="6271" spans="1:5" x14ac:dyDescent="0.2">
      <c r="A6271">
        <v>6210</v>
      </c>
      <c r="B6271" s="1890">
        <f>'Acct Summary 7-8'!G82</f>
        <v>-51574</v>
      </c>
      <c r="D6271" s="2" t="str">
        <f t="shared" ref="D6271:D6334" si="97">IF(ISBLANK(B6271),"OK",IF(A6271-B6271=0,"OK","Error?"))</f>
        <v>Error?</v>
      </c>
      <c r="E6271" s="2" t="s">
        <v>189</v>
      </c>
    </row>
    <row r="6272" spans="1:5" x14ac:dyDescent="0.2">
      <c r="A6272">
        <v>6211</v>
      </c>
      <c r="B6272" s="1890">
        <f>'Acct Summary 7-8'!H82</f>
        <v>6850984</v>
      </c>
      <c r="D6272" s="2" t="str">
        <f t="shared" si="97"/>
        <v>Error?</v>
      </c>
      <c r="E6272" s="2" t="s">
        <v>189</v>
      </c>
    </row>
    <row r="6273" spans="1:5" x14ac:dyDescent="0.2">
      <c r="A6273">
        <v>6212</v>
      </c>
      <c r="B6273" s="1890">
        <f>'Acct Summary 7-8'!I82</f>
        <v>118899</v>
      </c>
      <c r="D6273" s="2" t="str">
        <f t="shared" si="97"/>
        <v>Error?</v>
      </c>
      <c r="E6273" s="2" t="s">
        <v>189</v>
      </c>
    </row>
    <row r="6274" spans="1:5" x14ac:dyDescent="0.2">
      <c r="A6274">
        <v>6213</v>
      </c>
      <c r="B6274" s="1890">
        <f>'Acct Summary 7-8'!J82</f>
        <v>4351</v>
      </c>
      <c r="D6274" s="2" t="str">
        <f t="shared" si="97"/>
        <v>Error?</v>
      </c>
      <c r="E6274" s="2" t="s">
        <v>189</v>
      </c>
    </row>
    <row r="6275" spans="1:5" x14ac:dyDescent="0.2">
      <c r="A6275">
        <v>6214</v>
      </c>
      <c r="B6275" s="1890">
        <f>'Acct Summary 7-8'!K82</f>
        <v>-76309</v>
      </c>
      <c r="D6275" s="2" t="str">
        <f t="shared" si="97"/>
        <v>Error?</v>
      </c>
      <c r="E6275" s="2" t="s">
        <v>189</v>
      </c>
    </row>
    <row r="6276" spans="1:5" x14ac:dyDescent="0.2">
      <c r="A6276">
        <v>6215</v>
      </c>
      <c r="B6276" s="1890">
        <f>'Acct Summary 7-8'!C83</f>
        <v>3.3763305492495579E-2</v>
      </c>
      <c r="D6276" s="2" t="str">
        <f t="shared" si="97"/>
        <v>Error?</v>
      </c>
      <c r="E6276" s="2" t="s">
        <v>189</v>
      </c>
    </row>
    <row r="6277" spans="1:5" x14ac:dyDescent="0.2">
      <c r="A6277">
        <v>6216</v>
      </c>
      <c r="B6277" s="1890">
        <f>'Acct Summary 7-8'!D83</f>
        <v>0.10280328251779484</v>
      </c>
      <c r="D6277" s="2" t="str">
        <f t="shared" si="97"/>
        <v>Error?</v>
      </c>
      <c r="E6277" s="2" t="s">
        <v>189</v>
      </c>
    </row>
    <row r="6278" spans="1:5" x14ac:dyDescent="0.2">
      <c r="A6278">
        <v>6217</v>
      </c>
      <c r="B6278" s="1890">
        <f>'Acct Summary 7-8'!E83</f>
        <v>0.36155879382057848</v>
      </c>
      <c r="D6278" s="2" t="str">
        <f t="shared" si="97"/>
        <v>Error?</v>
      </c>
      <c r="E6278" s="2" t="s">
        <v>189</v>
      </c>
    </row>
    <row r="6279" spans="1:5" x14ac:dyDescent="0.2">
      <c r="A6279">
        <v>6218</v>
      </c>
      <c r="B6279" s="1890">
        <f>'Acct Summary 7-8'!F83</f>
        <v>-0.20033515045565981</v>
      </c>
      <c r="D6279" s="2" t="str">
        <f t="shared" si="97"/>
        <v>Error?</v>
      </c>
      <c r="E6279" s="2" t="s">
        <v>189</v>
      </c>
    </row>
    <row r="6280" spans="1:5" x14ac:dyDescent="0.2">
      <c r="A6280">
        <v>6219</v>
      </c>
      <c r="B6280" s="1890">
        <f>'Acct Summary 7-8'!G83</f>
        <v>-0.48985600851031497</v>
      </c>
      <c r="D6280" s="2" t="str">
        <f t="shared" si="97"/>
        <v>Error?</v>
      </c>
      <c r="E6280" s="2" t="s">
        <v>189</v>
      </c>
    </row>
    <row r="6281" spans="1:5" x14ac:dyDescent="0.2">
      <c r="A6281">
        <v>6220</v>
      </c>
      <c r="B6281" s="1890">
        <f>'Acct Summary 7-8'!H83</f>
        <v>0.97730161415625616</v>
      </c>
      <c r="D6281" s="2" t="str">
        <f t="shared" si="97"/>
        <v>Error?</v>
      </c>
      <c r="E6281" s="2" t="s">
        <v>189</v>
      </c>
    </row>
    <row r="6282" spans="1:5" x14ac:dyDescent="0.2">
      <c r="A6282">
        <v>6221</v>
      </c>
      <c r="B6282" s="1890">
        <f>'Acct Summary 7-8'!I83</f>
        <v>0.18308321502372865</v>
      </c>
      <c r="D6282" s="2" t="str">
        <f t="shared" si="97"/>
        <v>Error?</v>
      </c>
      <c r="E6282" s="2" t="s">
        <v>189</v>
      </c>
    </row>
    <row r="6283" spans="1:5" x14ac:dyDescent="0.2">
      <c r="A6283">
        <v>6222</v>
      </c>
      <c r="B6283" s="1890">
        <f>'Acct Summary 7-8'!J83</f>
        <v>3.0645592979193961E-2</v>
      </c>
      <c r="D6283" s="2" t="str">
        <f t="shared" si="97"/>
        <v>Error?</v>
      </c>
      <c r="E6283" s="2" t="s">
        <v>189</v>
      </c>
    </row>
    <row r="6284" spans="1:5" x14ac:dyDescent="0.2">
      <c r="A6284">
        <v>6223</v>
      </c>
      <c r="B6284" s="1890">
        <f>'Acct Summary 7-8'!K83</f>
        <v>-0.30098014080896129</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249092</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249092</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1744</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1744</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29541</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117321</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525000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43556</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106896</v>
      </c>
      <c r="D6349" s="2" t="str">
        <f t="shared" si="98"/>
        <v>Error?</v>
      </c>
      <c r="E6349" s="2" t="s">
        <v>189</v>
      </c>
    </row>
    <row r="6350" spans="1:5" x14ac:dyDescent="0.2">
      <c r="A6350">
        <v>6289</v>
      </c>
      <c r="B6350" s="1890">
        <f>'Revenues 9-14'!J107</f>
        <v>88959</v>
      </c>
      <c r="D6350" s="2" t="str">
        <f t="shared" si="98"/>
        <v>Error?</v>
      </c>
      <c r="E6350" s="2" t="s">
        <v>189</v>
      </c>
    </row>
    <row r="6351" spans="1:5" x14ac:dyDescent="0.2">
      <c r="A6351">
        <v>6290</v>
      </c>
      <c r="B6351" s="1890">
        <f>'Revenues 9-14'!J108</f>
        <v>88959</v>
      </c>
      <c r="D6351" s="2" t="str">
        <f t="shared" si="98"/>
        <v>Error?</v>
      </c>
      <c r="E6351" s="2" t="s">
        <v>189</v>
      </c>
    </row>
    <row r="6352" spans="1:5" x14ac:dyDescent="0.2">
      <c r="A6352">
        <v>6291</v>
      </c>
      <c r="B6352" s="1890">
        <f>'Revenues 9-14'!J109</f>
        <v>339795</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96995</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126579</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48858</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156648</v>
      </c>
      <c r="D6884" s="2" t="str">
        <f t="shared" si="106"/>
        <v>Error?</v>
      </c>
    </row>
    <row r="6885" spans="1:4" x14ac:dyDescent="0.2">
      <c r="A6885">
        <v>6824</v>
      </c>
      <c r="B6885" s="1890">
        <f>'Expenditures 15-22'!K24</f>
        <v>156648</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118634</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118634</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118634</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439984</v>
      </c>
      <c r="D6983" s="2" t="str">
        <f t="shared" si="108"/>
        <v>Error?</v>
      </c>
    </row>
    <row r="6984" spans="1:4" x14ac:dyDescent="0.2">
      <c r="A6984">
        <v>6923</v>
      </c>
      <c r="B6984" s="1890">
        <f>'Expenditures 15-22'!K86</f>
        <v>439984</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439984</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118634</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6639</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6639</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6639</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335444</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6639</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339795</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6004</v>
      </c>
      <c r="D7073" s="2" t="str">
        <f t="shared" si="109"/>
        <v>Error?</v>
      </c>
    </row>
    <row r="7074" spans="1:4" x14ac:dyDescent="0.2">
      <c r="A7074">
        <v>7013</v>
      </c>
      <c r="B7074" s="1890">
        <f>'Expenditures 15-22'!K216</f>
        <v>6004</v>
      </c>
      <c r="D7074" s="2" t="str">
        <f t="shared" si="109"/>
        <v>Error?</v>
      </c>
    </row>
    <row r="7075" spans="1:4" x14ac:dyDescent="0.2">
      <c r="A7075">
        <v>7014</v>
      </c>
      <c r="B7075" s="1890">
        <f>'Expenditures 15-22'!D218</f>
        <v>2800</v>
      </c>
      <c r="D7075" s="2" t="str">
        <f t="shared" si="109"/>
        <v>Error?</v>
      </c>
    </row>
    <row r="7076" spans="1:4" x14ac:dyDescent="0.2">
      <c r="A7076">
        <v>7015</v>
      </c>
      <c r="B7076" s="1890">
        <f>'Expenditures 15-22'!K218</f>
        <v>2800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8266</v>
      </c>
      <c r="D7093" s="2" t="str">
        <f t="shared" si="109"/>
        <v>Error?</v>
      </c>
    </row>
    <row r="7094" spans="1:4" x14ac:dyDescent="0.2">
      <c r="A7094">
        <v>7033</v>
      </c>
      <c r="B7094" s="1890">
        <f>'Expenditures 15-22'!K254</f>
        <v>8266</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4756</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4756</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60685</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60685</v>
      </c>
      <c r="D7115" s="2" t="str">
        <f t="shared" si="110"/>
        <v>Error?</v>
      </c>
    </row>
    <row r="7116" spans="1:4" x14ac:dyDescent="0.2">
      <c r="A7116">
        <v>7055</v>
      </c>
      <c r="B7116" s="1890">
        <f>'Expenditures 15-22'!I312</f>
        <v>4756</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54440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54440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456</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456</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60602</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60602</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94102</v>
      </c>
      <c r="D7172" s="2" t="str">
        <f t="shared" si="111"/>
        <v>Error?</v>
      </c>
    </row>
    <row r="7173" spans="1:4" x14ac:dyDescent="0.2">
      <c r="A7173">
        <v>7112</v>
      </c>
      <c r="B7173" s="1890">
        <f>'Expenditures 15-22'!D325</f>
        <v>8754</v>
      </c>
      <c r="D7173" s="2" t="str">
        <f t="shared" si="111"/>
        <v>Error?</v>
      </c>
    </row>
    <row r="7174" spans="1:4" x14ac:dyDescent="0.2">
      <c r="A7174">
        <v>7113</v>
      </c>
      <c r="B7174" s="1890">
        <f>'Expenditures 15-22'!E325</f>
        <v>98065</v>
      </c>
      <c r="D7174" s="2" t="str">
        <f t="shared" si="111"/>
        <v>Error?</v>
      </c>
    </row>
    <row r="7175" spans="1:4" x14ac:dyDescent="0.2">
      <c r="A7175">
        <v>7114</v>
      </c>
      <c r="B7175" s="1890">
        <f>'Expenditures 15-22'!F325</f>
        <v>309</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14830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216060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3886</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3886</v>
      </c>
      <c r="D7198" s="2" t="str">
        <f t="shared" si="111"/>
        <v>Error?</v>
      </c>
    </row>
    <row r="7199" spans="1:4" x14ac:dyDescent="0.2">
      <c r="A7199">
        <v>7138</v>
      </c>
      <c r="B7199" s="1890">
        <f>'Expenditures 15-22'!C330</f>
        <v>94102</v>
      </c>
      <c r="D7199" s="2" t="str">
        <f t="shared" si="111"/>
        <v>Error?</v>
      </c>
    </row>
    <row r="7200" spans="1:4" x14ac:dyDescent="0.2">
      <c r="A7200">
        <v>7139</v>
      </c>
      <c r="B7200" s="1890">
        <f>'Expenditures 15-22'!D330</f>
        <v>8754</v>
      </c>
      <c r="D7200" s="2" t="str">
        <f t="shared" si="111"/>
        <v>Error?</v>
      </c>
    </row>
    <row r="7201" spans="1:4" x14ac:dyDescent="0.2">
      <c r="A7201">
        <v>7140</v>
      </c>
      <c r="B7201" s="1890">
        <f>'Expenditures 15-22'!E330</f>
        <v>217449</v>
      </c>
      <c r="D7201" s="2" t="str">
        <f t="shared" si="111"/>
        <v>Error?</v>
      </c>
    </row>
    <row r="7202" spans="1:4" x14ac:dyDescent="0.2">
      <c r="A7202">
        <v>7141</v>
      </c>
      <c r="B7202" s="1890">
        <f>'Expenditures 15-22'!F330</f>
        <v>309</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14830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335444</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94102</v>
      </c>
      <c r="D7216" s="2" t="str">
        <f t="shared" si="111"/>
        <v>Error?</v>
      </c>
    </row>
    <row r="7217" spans="1:4" x14ac:dyDescent="0.2">
      <c r="A7217">
        <v>7156</v>
      </c>
      <c r="B7217" s="1890">
        <f>'Expenditures 15-22'!D342</f>
        <v>8754</v>
      </c>
      <c r="D7217" s="2" t="str">
        <f t="shared" si="111"/>
        <v>Error?</v>
      </c>
    </row>
    <row r="7218" spans="1:4" x14ac:dyDescent="0.2">
      <c r="A7218">
        <v>7157</v>
      </c>
      <c r="B7218" s="1890">
        <f>'Expenditures 15-22'!E342</f>
        <v>217449</v>
      </c>
      <c r="D7218" s="2" t="str">
        <f t="shared" si="111"/>
        <v>Error?</v>
      </c>
    </row>
    <row r="7219" spans="1:4" x14ac:dyDescent="0.2">
      <c r="A7219">
        <v>7158</v>
      </c>
      <c r="B7219" s="1890">
        <f>'Expenditures 15-22'!F342</f>
        <v>309</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14830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335444</v>
      </c>
      <c r="D7224" s="2" t="str">
        <f t="shared" si="111"/>
        <v>Error?</v>
      </c>
    </row>
    <row r="7225" spans="1:4" x14ac:dyDescent="0.2">
      <c r="A7225">
        <v>7164</v>
      </c>
      <c r="B7225" s="1890">
        <f>'Expenditures 15-22'!K343</f>
        <v>4351</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8764</v>
      </c>
      <c r="D7246" s="2" t="str">
        <f t="shared" si="112"/>
        <v>Error?</v>
      </c>
    </row>
    <row r="7247" spans="1:4" x14ac:dyDescent="0.2">
      <c r="A7247">
        <f t="shared" si="113"/>
        <v>7186</v>
      </c>
      <c r="B7247" s="1890">
        <f>'Expenditures 15-22'!E7</f>
        <v>384</v>
      </c>
      <c r="D7247" s="2" t="str">
        <f t="shared" si="112"/>
        <v>Error?</v>
      </c>
    </row>
    <row r="7248" spans="1:4" x14ac:dyDescent="0.2">
      <c r="A7248">
        <f t="shared" si="113"/>
        <v>7187</v>
      </c>
      <c r="B7248" s="1890">
        <f>'Expenditures 15-22'!F7</f>
        <v>20436</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45325</v>
      </c>
      <c r="D7251" s="2" t="str">
        <f t="shared" si="112"/>
        <v>Error?</v>
      </c>
    </row>
    <row r="7252" spans="1:4" x14ac:dyDescent="0.2">
      <c r="A7252">
        <f t="shared" si="113"/>
        <v>7191</v>
      </c>
      <c r="B7252" s="1890">
        <f>'Expenditures 15-22'!D9</f>
        <v>3239</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294</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1624862</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1624862</v>
      </c>
      <c r="D7609" s="2" t="str">
        <f t="shared" si="122"/>
        <v>Error?</v>
      </c>
      <c r="E7609" s="2" t="s">
        <v>19</v>
      </c>
    </row>
    <row r="7610" spans="1:5" x14ac:dyDescent="0.2">
      <c r="A7610">
        <f t="shared" si="123"/>
        <v>7549</v>
      </c>
      <c r="B7610" s="1890">
        <f>'Cap Outlay Deprec 26'!H9</f>
        <v>558388</v>
      </c>
      <c r="D7610" s="2" t="str">
        <f t="shared" si="122"/>
        <v>Error?</v>
      </c>
      <c r="E7610" s="2" t="s">
        <v>19</v>
      </c>
    </row>
    <row r="7611" spans="1:5" x14ac:dyDescent="0.2">
      <c r="A7611">
        <f t="shared" si="123"/>
        <v>7550</v>
      </c>
      <c r="B7611" s="1890">
        <f>'Cap Outlay Deprec 26'!I9</f>
        <v>79876</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638264</v>
      </c>
      <c r="D7613" s="2" t="str">
        <f t="shared" si="122"/>
        <v>Error?</v>
      </c>
      <c r="E7613" s="2" t="s">
        <v>19</v>
      </c>
    </row>
    <row r="7614" spans="1:5" x14ac:dyDescent="0.2">
      <c r="A7614">
        <f t="shared" si="123"/>
        <v>7553</v>
      </c>
      <c r="B7614" s="1890">
        <f>'Cap Outlay Deprec 26'!L9</f>
        <v>986598</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144859</v>
      </c>
      <c r="D7624" s="2" t="str">
        <f t="shared" si="124"/>
        <v>Error?</v>
      </c>
      <c r="E7624" s="2" t="s">
        <v>19</v>
      </c>
    </row>
    <row r="7625" spans="1:5" x14ac:dyDescent="0.2">
      <c r="A7625">
        <f t="shared" si="123"/>
        <v>7564</v>
      </c>
      <c r="B7625" s="1890">
        <f>'Cap Outlay Deprec 26'!I17</f>
        <v>14485.9</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603255.9</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43118</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3051677</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21450000</v>
      </c>
      <c r="D7817" s="2" t="str">
        <f t="shared" si="128"/>
        <v>Error?</v>
      </c>
      <c r="E7817" s="4" t="s">
        <v>1969</v>
      </c>
    </row>
    <row r="7818" spans="1:5" x14ac:dyDescent="0.2">
      <c r="A7818">
        <v>7757</v>
      </c>
      <c r="B7818" s="1890">
        <f>'PCTC-OEPP 27-28'!F172</f>
        <v>0</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10062893</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126579</v>
      </c>
      <c r="D7826" s="2" t="str">
        <f t="shared" si="129"/>
        <v>Error?</v>
      </c>
      <c r="E7826" s="4" t="s">
        <v>2001</v>
      </c>
    </row>
    <row r="7827" spans="1:5" x14ac:dyDescent="0.2">
      <c r="A7827">
        <v>7766</v>
      </c>
      <c r="B7827" s="1890">
        <f>'PCTC-OEPP 27-28'!F35</f>
        <v>48858</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11048</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3422910</v>
      </c>
      <c r="D7834" s="2" t="str">
        <f t="shared" si="129"/>
        <v>Error?</v>
      </c>
      <c r="E7834" s="4" t="s">
        <v>2001</v>
      </c>
    </row>
    <row r="7835" spans="1:5" x14ac:dyDescent="0.2">
      <c r="A7835">
        <v>7774</v>
      </c>
      <c r="B7835" s="1890">
        <f>'PCTC-OEPP 27-28'!F78</f>
        <v>6639983</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9228.6073662265462</v>
      </c>
      <c r="D7837" s="2" t="str">
        <f t="shared" si="129"/>
        <v>Error?</v>
      </c>
      <c r="E7837" s="4" t="s">
        <v>2001</v>
      </c>
    </row>
    <row r="7838" spans="1:5" x14ac:dyDescent="0.2">
      <c r="A7838">
        <v>7777</v>
      </c>
      <c r="B7838" s="1890">
        <f>'PCTC-OEPP 27-28'!F96</f>
        <v>42987</v>
      </c>
      <c r="D7838" s="2" t="str">
        <f t="shared" si="129"/>
        <v>Error?</v>
      </c>
      <c r="E7838" s="4" t="s">
        <v>2001</v>
      </c>
    </row>
    <row r="7839" spans="1:5" x14ac:dyDescent="0.2">
      <c r="A7839">
        <v>7778</v>
      </c>
      <c r="B7839" s="1890">
        <f>'PCTC-OEPP 27-28'!F102</f>
        <v>1588</v>
      </c>
      <c r="D7839" s="2" t="str">
        <f t="shared" si="129"/>
        <v>Error?</v>
      </c>
      <c r="E7839" s="4" t="s">
        <v>2001</v>
      </c>
    </row>
    <row r="7840" spans="1:5" x14ac:dyDescent="0.2">
      <c r="A7840">
        <v>7779</v>
      </c>
      <c r="B7840" s="1890">
        <f>'PCTC-OEPP 27-28'!F103</f>
        <v>40034</v>
      </c>
      <c r="D7840" s="2" t="str">
        <f t="shared" si="129"/>
        <v>Error?</v>
      </c>
      <c r="E7840" s="4" t="s">
        <v>2001</v>
      </c>
    </row>
    <row r="7841" spans="1:5" x14ac:dyDescent="0.2">
      <c r="A7841">
        <v>7780</v>
      </c>
      <c r="B7841" s="1890">
        <f>'PCTC-OEPP 27-28'!F104</f>
        <v>106896</v>
      </c>
      <c r="D7841" s="2" t="str">
        <f t="shared" si="129"/>
        <v>Error?</v>
      </c>
      <c r="E7841" s="4" t="s">
        <v>2001</v>
      </c>
    </row>
    <row r="7842" spans="1:5" x14ac:dyDescent="0.2">
      <c r="A7842">
        <v>7781</v>
      </c>
      <c r="B7842" s="1890">
        <f>'PCTC-OEPP 27-28'!F106</f>
        <v>113912</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204729</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750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65195</v>
      </c>
      <c r="D7858" s="2" t="str">
        <f t="shared" si="129"/>
        <v>Error?</v>
      </c>
      <c r="E7858" s="4" t="s">
        <v>2001</v>
      </c>
    </row>
    <row r="7859" spans="1:5" x14ac:dyDescent="0.2">
      <c r="A7859">
        <v>7798</v>
      </c>
      <c r="B7859" s="1890">
        <f>'PCTC-OEPP 27-28'!F127</f>
        <v>81100</v>
      </c>
      <c r="D7859" s="2" t="str">
        <f t="shared" si="129"/>
        <v>Error?</v>
      </c>
      <c r="E7859" s="4" t="s">
        <v>2001</v>
      </c>
    </row>
    <row r="7860" spans="1:5" x14ac:dyDescent="0.2">
      <c r="A7860">
        <v>7799</v>
      </c>
      <c r="B7860" s="1890">
        <f>'PCTC-OEPP 27-28'!F128</f>
        <v>13886</v>
      </c>
      <c r="D7860" s="2" t="str">
        <f t="shared" si="129"/>
        <v>Error?</v>
      </c>
      <c r="E7860" s="4" t="s">
        <v>2001</v>
      </c>
    </row>
    <row r="7861" spans="1:5" x14ac:dyDescent="0.2">
      <c r="A7861">
        <v>7800</v>
      </c>
      <c r="B7861" s="1890">
        <f>'PCTC-OEPP 27-28'!F129</f>
        <v>83745</v>
      </c>
      <c r="D7861" s="2" t="str">
        <f t="shared" si="129"/>
        <v>Error?</v>
      </c>
      <c r="E7861" s="4" t="s">
        <v>2001</v>
      </c>
    </row>
    <row r="7862" spans="1:5" x14ac:dyDescent="0.2">
      <c r="A7862">
        <v>7801</v>
      </c>
      <c r="B7862" s="1890">
        <f>'PCTC-OEPP 27-28'!F130</f>
        <v>3355</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5629</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18129</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22008</v>
      </c>
      <c r="D7874" s="2" t="str">
        <f t="shared" si="129"/>
        <v>Error?</v>
      </c>
      <c r="E7874" s="4" t="s">
        <v>2001</v>
      </c>
    </row>
    <row r="7875" spans="1:5" x14ac:dyDescent="0.2">
      <c r="A7875">
        <v>7814</v>
      </c>
      <c r="B7875" s="1890">
        <f>'PCTC-OEPP 27-28'!F170</f>
        <v>7504</v>
      </c>
      <c r="D7875" s="2" t="str">
        <f t="shared" si="129"/>
        <v>Error?</v>
      </c>
      <c r="E7875" s="4" t="s">
        <v>2001</v>
      </c>
    </row>
    <row r="7876" spans="1:5" x14ac:dyDescent="0.2">
      <c r="A7876">
        <v>7815</v>
      </c>
      <c r="B7876" s="1890">
        <f>'PCTC-OEPP 27-28'!F171</f>
        <v>2072</v>
      </c>
      <c r="D7876" s="2" t="str">
        <f t="shared" si="129"/>
        <v>Error?</v>
      </c>
      <c r="E7876" s="4" t="s">
        <v>2001</v>
      </c>
    </row>
    <row r="7877" spans="1:5" x14ac:dyDescent="0.2">
      <c r="A7877">
        <v>7816</v>
      </c>
      <c r="B7877" s="1890">
        <f>'PCTC-OEPP 27-28'!F175</f>
        <v>941831</v>
      </c>
      <c r="D7877" s="2" t="str">
        <f t="shared" si="129"/>
        <v>Error?</v>
      </c>
      <c r="E7877" s="4" t="s">
        <v>2001</v>
      </c>
    </row>
    <row r="7878" spans="1:5" x14ac:dyDescent="0.2">
      <c r="A7878">
        <v>7817</v>
      </c>
      <c r="B7878" s="1890">
        <f>'PCTC-OEPP 27-28'!F176</f>
        <v>5698152</v>
      </c>
      <c r="D7878" s="2" t="str">
        <f t="shared" si="129"/>
        <v>Error?</v>
      </c>
      <c r="E7878" s="4" t="s">
        <v>2001</v>
      </c>
    </row>
    <row r="7879" spans="1:5" x14ac:dyDescent="0.2">
      <c r="A7879">
        <v>7818</v>
      </c>
      <c r="B7879" s="1890">
        <f>'PCTC-OEPP 27-28'!F178</f>
        <v>6301407.9000000004</v>
      </c>
      <c r="D7879" s="2" t="str">
        <f t="shared" si="129"/>
        <v>Error?</v>
      </c>
      <c r="E7879" s="4" t="s">
        <v>2001</v>
      </c>
    </row>
    <row r="7880" spans="1:5" x14ac:dyDescent="0.2">
      <c r="A7880">
        <v>7819</v>
      </c>
      <c r="B7880" s="1890">
        <f>'PCTC-OEPP 27-28'!F180</f>
        <v>8758.037387074357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14830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5" t="s">
        <v>1183</v>
      </c>
      <c r="B2" s="2465"/>
      <c r="C2" s="2465"/>
      <c r="D2" s="2465"/>
      <c r="E2" s="2465"/>
      <c r="F2" s="2465"/>
      <c r="G2" s="2465"/>
      <c r="H2" s="2465"/>
      <c r="I2" s="2465"/>
      <c r="J2" s="2465"/>
      <c r="K2" s="2465"/>
      <c r="L2" s="2465"/>
    </row>
    <row r="3" spans="1:29" ht="13.5" customHeight="1" x14ac:dyDescent="0.2">
      <c r="A3" s="2451" t="s">
        <v>1182</v>
      </c>
      <c r="B3" s="2451"/>
      <c r="C3" s="2451"/>
      <c r="D3" s="2451"/>
      <c r="E3" s="2451"/>
      <c r="F3" s="2451"/>
      <c r="G3" s="2451"/>
      <c r="H3" s="2451"/>
      <c r="I3" s="2451"/>
      <c r="J3" s="2451"/>
      <c r="K3" s="2451"/>
      <c r="L3" s="2451"/>
    </row>
    <row r="4" spans="1:29" ht="13.5" customHeight="1" x14ac:dyDescent="0.2">
      <c r="A4" s="2482" t="str">
        <f>"Year Ending June 30, "&amp;'AFR20'!E2</f>
        <v>Year Ending June 30, 2020</v>
      </c>
      <c r="B4" s="2483"/>
      <c r="C4" s="2483"/>
      <c r="D4" s="2483"/>
      <c r="E4" s="2483"/>
      <c r="F4" s="2483"/>
      <c r="G4" s="2483"/>
      <c r="H4" s="2483"/>
      <c r="I4" s="2483"/>
      <c r="J4" s="2483"/>
      <c r="K4" s="2483"/>
      <c r="L4" s="248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45" t="str">
        <f>COVER!A17</f>
        <v xml:space="preserve">Saratoga CCSD 60C </v>
      </c>
      <c r="B7" s="2446"/>
      <c r="C7" s="2446"/>
      <c r="D7" s="2484"/>
      <c r="E7" s="2485" t="str">
        <f>COVER!A13</f>
        <v>24032060C04</v>
      </c>
      <c r="F7" s="2486"/>
      <c r="G7" s="2452" t="str">
        <f>COVER!T23</f>
        <v>065-029342</v>
      </c>
      <c r="H7" s="2453"/>
      <c r="I7" s="2453"/>
      <c r="J7" s="2453"/>
      <c r="K7" s="2453"/>
      <c r="L7" s="245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55"/>
      <c r="B9" s="2456"/>
      <c r="C9" s="2456"/>
      <c r="D9" s="2456"/>
      <c r="E9" s="2456"/>
      <c r="F9" s="2457"/>
      <c r="G9" s="2458" t="str">
        <f>COVER!T13</f>
        <v>Mack &amp; Associates, P.C.</v>
      </c>
      <c r="H9" s="2459"/>
      <c r="I9" s="2459"/>
      <c r="J9" s="2459"/>
      <c r="K9" s="2459"/>
      <c r="L9" s="2460"/>
    </row>
    <row r="10" spans="1:29" ht="13.5" customHeight="1" x14ac:dyDescent="0.2">
      <c r="A10" s="2442" t="str">
        <f>COVER!A38</f>
        <v>Kathy Perry</v>
      </c>
      <c r="B10" s="2443"/>
      <c r="C10" s="2443"/>
      <c r="D10" s="2443"/>
      <c r="E10" s="2443"/>
      <c r="F10" s="2444"/>
      <c r="G10" s="2458" t="str">
        <f>COVER!T17</f>
        <v>116 E Washington St., Suite 1</v>
      </c>
      <c r="H10" s="2471"/>
      <c r="I10" s="2471"/>
      <c r="J10" s="2471"/>
      <c r="K10" s="2471"/>
      <c r="L10" s="2472"/>
    </row>
    <row r="11" spans="1:29" ht="13.5" customHeight="1" x14ac:dyDescent="0.2">
      <c r="A11" s="1008" t="s">
        <v>1505</v>
      </c>
      <c r="B11" s="1009"/>
      <c r="C11" s="1010"/>
      <c r="D11" s="1015"/>
      <c r="E11" s="1010"/>
      <c r="F11" s="1014"/>
      <c r="G11" s="2458" t="str">
        <f>COVER!T19</f>
        <v>Morris</v>
      </c>
      <c r="H11" s="2471"/>
      <c r="I11" s="2471"/>
      <c r="J11" s="2471"/>
      <c r="K11" s="2471"/>
      <c r="L11" s="2472"/>
    </row>
    <row r="12" spans="1:29" ht="13.5" customHeight="1" x14ac:dyDescent="0.2">
      <c r="A12" s="2476" t="s">
        <v>1504</v>
      </c>
      <c r="B12" s="2477"/>
      <c r="C12" s="2477"/>
      <c r="D12" s="2477"/>
      <c r="E12" s="2477"/>
      <c r="F12" s="2478"/>
      <c r="G12" s="2473"/>
      <c r="H12" s="2474"/>
      <c r="I12" s="2474"/>
      <c r="J12" s="2474"/>
      <c r="K12" s="2474"/>
      <c r="L12" s="2475"/>
    </row>
    <row r="13" spans="1:29" ht="13.5" customHeight="1" x14ac:dyDescent="0.2">
      <c r="A13" s="2458"/>
      <c r="B13" s="2471"/>
      <c r="C13" s="2471"/>
      <c r="D13" s="2471"/>
      <c r="E13" s="2471"/>
      <c r="F13" s="2472"/>
      <c r="G13" s="2466" t="s">
        <v>1506</v>
      </c>
      <c r="H13" s="2467"/>
      <c r="I13" s="2479" t="str">
        <f>COVER!T25</f>
        <v>tmack@mackcpas.com</v>
      </c>
      <c r="J13" s="2480"/>
      <c r="K13" s="2480"/>
      <c r="L13" s="2481"/>
    </row>
    <row r="14" spans="1:29" ht="13.5" customHeight="1" x14ac:dyDescent="0.2">
      <c r="A14" s="2458" t="str">
        <f>COVER!A19</f>
        <v>Route 47, 4040 N. Division Street</v>
      </c>
      <c r="B14" s="2471"/>
      <c r="C14" s="2471"/>
      <c r="D14" s="2471"/>
      <c r="E14" s="2471"/>
      <c r="F14" s="2472"/>
      <c r="G14" s="1019" t="s">
        <v>1177</v>
      </c>
      <c r="H14" s="1017"/>
      <c r="I14" s="1017"/>
      <c r="J14" s="1017"/>
      <c r="K14" s="1017"/>
      <c r="L14" s="1018"/>
    </row>
    <row r="15" spans="1:29" ht="13.5" customHeight="1" x14ac:dyDescent="0.2">
      <c r="A15" s="2458" t="str">
        <f>COVER!A21</f>
        <v>Morris</v>
      </c>
      <c r="B15" s="2471"/>
      <c r="C15" s="2471"/>
      <c r="D15" s="2471"/>
      <c r="E15" s="2471"/>
      <c r="F15" s="2472"/>
      <c r="G15" s="2468" t="str">
        <f>COVER!T15</f>
        <v>Tawnya Mack, CPA</v>
      </c>
      <c r="H15" s="2469"/>
      <c r="I15" s="2469"/>
      <c r="J15" s="2469"/>
      <c r="K15" s="2469"/>
      <c r="L15" s="2470"/>
    </row>
    <row r="16" spans="1:29" ht="12.2" customHeight="1" x14ac:dyDescent="0.2">
      <c r="A16" s="2448">
        <f>COVER!A25</f>
        <v>60450</v>
      </c>
      <c r="B16" s="2449"/>
      <c r="C16" s="2449"/>
      <c r="D16" s="2449"/>
      <c r="E16" s="2449"/>
      <c r="F16" s="2450"/>
      <c r="G16" s="2461"/>
      <c r="H16" s="2462"/>
      <c r="I16" s="2462"/>
      <c r="J16" s="2462"/>
      <c r="K16" s="2462"/>
      <c r="L16" s="2463"/>
    </row>
    <row r="17" spans="1:13" ht="12.2" customHeight="1" x14ac:dyDescent="0.2">
      <c r="A17" s="2464"/>
      <c r="B17" s="2449"/>
      <c r="C17" s="2449"/>
      <c r="D17" s="2449"/>
      <c r="E17" s="2449"/>
      <c r="F17" s="2450"/>
      <c r="G17" s="1019" t="s">
        <v>1176</v>
      </c>
      <c r="H17" s="1017"/>
      <c r="I17" s="1017"/>
      <c r="J17" s="1017"/>
      <c r="K17" s="1021" t="s">
        <v>1175</v>
      </c>
      <c r="L17" s="1014"/>
      <c r="M17" s="1007"/>
    </row>
    <row r="18" spans="1:13" ht="12.2" customHeight="1" x14ac:dyDescent="0.2">
      <c r="A18" s="2442"/>
      <c r="B18" s="2443"/>
      <c r="C18" s="2443"/>
      <c r="D18" s="2443"/>
      <c r="E18" s="2443"/>
      <c r="F18" s="2444"/>
      <c r="G18" s="2445" t="str">
        <f>COVER!T21</f>
        <v>815-942-3306</v>
      </c>
      <c r="H18" s="2446"/>
      <c r="I18" s="2446"/>
      <c r="J18" s="2446"/>
      <c r="K18" s="2445" t="str">
        <f>COVER!X21</f>
        <v>815-942-9430</v>
      </c>
      <c r="L18" s="244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7" t="str">
        <f>'Single Audit Cover'!A7</f>
        <v xml:space="preserve">Saratoga CCSD 60C </v>
      </c>
      <c r="B1" s="2488"/>
      <c r="C1" s="2488"/>
      <c r="D1" s="2488"/>
    </row>
    <row r="2" spans="1:11" s="1036" customFormat="1" ht="12.75" x14ac:dyDescent="0.2">
      <c r="A2" s="2489" t="str">
        <f>'Single Audit Cover'!E7</f>
        <v>24032060C04</v>
      </c>
      <c r="B2" s="2490"/>
      <c r="C2" s="2490"/>
      <c r="D2" s="2490"/>
    </row>
    <row r="3" spans="1:11" s="1036" customFormat="1" ht="12.75" x14ac:dyDescent="0.2">
      <c r="A3" s="2487" t="s">
        <v>1499</v>
      </c>
      <c r="B3" s="2488"/>
      <c r="C3" s="2488"/>
      <c r="D3" s="2488"/>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2" t="str">
        <f>'Single Audit Cover'!A7</f>
        <v xml:space="preserve">Saratoga CCSD 60C </v>
      </c>
      <c r="B1" s="2492"/>
      <c r="C1" s="2492"/>
      <c r="D1" s="2492"/>
      <c r="E1" s="2492"/>
    </row>
    <row r="2" spans="1:5" x14ac:dyDescent="0.2">
      <c r="A2" s="2493" t="str">
        <f>'Single Audit Cover'!E7</f>
        <v>24032060C04</v>
      </c>
      <c r="B2" s="2493"/>
      <c r="C2" s="2493"/>
      <c r="D2" s="2493"/>
      <c r="E2" s="2493"/>
    </row>
    <row r="3" spans="1:5" ht="4.5" customHeight="1" x14ac:dyDescent="0.2"/>
    <row r="4" spans="1:5" x14ac:dyDescent="0.2">
      <c r="A4" s="2492" t="s">
        <v>1236</v>
      </c>
      <c r="B4" s="2492"/>
      <c r="C4" s="2492"/>
      <c r="D4" s="2492"/>
      <c r="E4" s="2492"/>
    </row>
    <row r="5" spans="1:5" x14ac:dyDescent="0.2">
      <c r="A5" s="2495" t="str">
        <f>'Single Audit Cover'!A4</f>
        <v>Year Ending June 30, 2020</v>
      </c>
      <c r="B5" s="2495"/>
      <c r="C5" s="2495"/>
      <c r="D5" s="2495"/>
      <c r="E5" s="2495"/>
    </row>
    <row r="6" spans="1:5" x14ac:dyDescent="0.2">
      <c r="A6" s="2492" t="s">
        <v>1235</v>
      </c>
      <c r="B6" s="2492"/>
      <c r="C6" s="2492"/>
      <c r="D6" s="2492"/>
      <c r="E6" s="2492"/>
    </row>
    <row r="8" spans="1:5" x14ac:dyDescent="0.2">
      <c r="A8" s="1081" t="s">
        <v>1234</v>
      </c>
    </row>
    <row r="10" spans="1:5" x14ac:dyDescent="0.2">
      <c r="A10" s="1082" t="s">
        <v>1233</v>
      </c>
      <c r="B10" s="1083" t="s">
        <v>1232</v>
      </c>
      <c r="C10" s="1083"/>
      <c r="D10" s="1084">
        <f>SUM('Acct Summary 7-8'!C7:K7)</f>
        <v>302623</v>
      </c>
    </row>
    <row r="11" spans="1:5" ht="18" customHeight="1" x14ac:dyDescent="0.2">
      <c r="A11" s="1082" t="s">
        <v>1231</v>
      </c>
      <c r="B11" s="1083"/>
      <c r="C11" s="1083"/>
    </row>
    <row r="12" spans="1:5" x14ac:dyDescent="0.2">
      <c r="A12" s="1082" t="s">
        <v>1230</v>
      </c>
      <c r="B12" s="1083" t="s">
        <v>1229</v>
      </c>
      <c r="C12" s="1083"/>
      <c r="D12" s="1085">
        <f>SUM('Revenues 9-14'!C112:D112,'Revenues 9-14'!F112:G112)</f>
        <v>8390</v>
      </c>
    </row>
    <row r="13" spans="1:5" x14ac:dyDescent="0.2">
      <c r="A13" s="1082" t="s">
        <v>1228</v>
      </c>
      <c r="B13" s="1083"/>
      <c r="C13" s="1083"/>
    </row>
    <row r="14" spans="1:5" x14ac:dyDescent="0.2">
      <c r="A14" s="1082" t="s">
        <v>2007</v>
      </c>
      <c r="B14" s="1083"/>
      <c r="C14" s="1083"/>
      <c r="D14" s="1085">
        <f>'ICR Computation 30'!E11</f>
        <v>13203</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-7504</v>
      </c>
    </row>
    <row r="19" spans="1:4" ht="13.5" thickBot="1" x14ac:dyDescent="0.25">
      <c r="A19" s="1086" t="s">
        <v>1226</v>
      </c>
      <c r="D19" s="1087">
        <f>SUM(D10:D17)</f>
        <v>316712</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4"/>
      <c r="B24" s="2494"/>
      <c r="D24" s="1089"/>
    </row>
    <row r="25" spans="1:4" x14ac:dyDescent="0.2">
      <c r="A25" s="2491"/>
      <c r="B25" s="2491"/>
      <c r="D25" s="1089"/>
    </row>
    <row r="26" spans="1:4" x14ac:dyDescent="0.2">
      <c r="A26" s="2491"/>
      <c r="B26" s="2491"/>
      <c r="D26" s="1089"/>
    </row>
    <row r="27" spans="1:4" x14ac:dyDescent="0.2">
      <c r="A27" s="2491"/>
      <c r="B27" s="2491"/>
      <c r="D27" s="1089"/>
    </row>
    <row r="28" spans="1:4" x14ac:dyDescent="0.2">
      <c r="A28" s="2491"/>
      <c r="B28" s="2491"/>
      <c r="D28" s="1089"/>
    </row>
    <row r="29" spans="1:4" x14ac:dyDescent="0.2">
      <c r="A29" s="2491"/>
      <c r="B29" s="2491"/>
      <c r="D29" s="1089"/>
    </row>
    <row r="30" spans="1:4" x14ac:dyDescent="0.2">
      <c r="A30" s="2491"/>
      <c r="B30" s="2491"/>
      <c r="D30" s="1089"/>
    </row>
    <row r="32" spans="1:4" x14ac:dyDescent="0.2">
      <c r="A32" s="1081" t="s">
        <v>1224</v>
      </c>
      <c r="D32" s="1084">
        <f>SUM(D19:D30)</f>
        <v>316712</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1"/>
      <c r="B40" s="2491"/>
      <c r="D40" s="1089"/>
    </row>
    <row r="41" spans="1:4" x14ac:dyDescent="0.2">
      <c r="A41" s="2491"/>
      <c r="B41" s="2491"/>
      <c r="D41" s="1092"/>
    </row>
    <row r="42" spans="1:4" x14ac:dyDescent="0.2">
      <c r="A42" s="2491"/>
      <c r="B42" s="2491"/>
      <c r="D42" s="1092"/>
    </row>
    <row r="43" spans="1:4" x14ac:dyDescent="0.2">
      <c r="A43" s="2491"/>
      <c r="B43" s="2491"/>
      <c r="D43" s="1092"/>
    </row>
    <row r="44" spans="1:4" x14ac:dyDescent="0.2">
      <c r="A44" s="2491"/>
      <c r="B44" s="2491"/>
      <c r="D44" s="1092"/>
    </row>
    <row r="45" spans="1:4" x14ac:dyDescent="0.2">
      <c r="A45" s="2491"/>
      <c r="B45" s="2491"/>
      <c r="D45" s="1092"/>
    </row>
    <row r="47" spans="1:4" x14ac:dyDescent="0.2">
      <c r="B47" s="1093" t="s">
        <v>1218</v>
      </c>
      <c r="C47" s="1093"/>
      <c r="D47" s="1094">
        <f>SUM(D35:D45)</f>
        <v>0</v>
      </c>
    </row>
    <row r="49" spans="2:4" x14ac:dyDescent="0.2">
      <c r="B49" s="1093" t="s">
        <v>1217</v>
      </c>
      <c r="C49" s="1093"/>
      <c r="D49" s="1094">
        <f>D32-D47</f>
        <v>316712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1" t="str">
        <f>'Single Audit Cover'!A7</f>
        <v xml:space="preserve">Saratoga CCSD 60C </v>
      </c>
      <c r="C1" s="2496"/>
      <c r="D1" s="2496"/>
      <c r="E1" s="2496"/>
      <c r="F1" s="2496"/>
      <c r="G1" s="2496"/>
      <c r="H1" s="2496"/>
      <c r="I1" s="2496"/>
      <c r="J1" s="2496"/>
      <c r="K1" s="2496"/>
      <c r="L1" s="2496"/>
      <c r="M1" s="2496"/>
    </row>
    <row r="2" spans="2:14" ht="15" x14ac:dyDescent="0.2">
      <c r="B2" s="2497" t="str">
        <f>'Single Audit Cover'!E7</f>
        <v>24032060C04</v>
      </c>
      <c r="C2" s="2497"/>
      <c r="D2" s="2497"/>
      <c r="E2" s="2497"/>
      <c r="F2" s="2497"/>
      <c r="G2" s="2497"/>
      <c r="H2" s="2497"/>
      <c r="I2" s="2497"/>
      <c r="J2" s="2497"/>
      <c r="K2" s="2497"/>
      <c r="L2" s="2497"/>
      <c r="M2" s="2497"/>
      <c r="N2" s="1123"/>
    </row>
    <row r="3" spans="2:14" ht="15" x14ac:dyDescent="0.2">
      <c r="B3" s="2498" t="s">
        <v>1210</v>
      </c>
      <c r="C3" s="2498"/>
      <c r="D3" s="2498"/>
      <c r="E3" s="2498"/>
      <c r="F3" s="2498"/>
      <c r="G3" s="2498"/>
      <c r="H3" s="2498"/>
      <c r="I3" s="2498"/>
      <c r="J3" s="2498"/>
      <c r="K3" s="2498"/>
      <c r="L3" s="2498"/>
      <c r="M3" s="2498"/>
      <c r="N3" s="1123"/>
    </row>
    <row r="4" spans="2:14" ht="15" x14ac:dyDescent="0.2">
      <c r="B4" s="2499" t="str">
        <f>'Single Audit Cover'!A4</f>
        <v>Year Ending June 30, 2020</v>
      </c>
      <c r="C4" s="2499"/>
      <c r="D4" s="2499"/>
      <c r="E4" s="2499"/>
      <c r="F4" s="2499"/>
      <c r="G4" s="2499"/>
      <c r="H4" s="2499"/>
      <c r="I4" s="2499"/>
      <c r="J4" s="2499"/>
      <c r="K4" s="2499"/>
      <c r="L4" s="2499"/>
      <c r="M4" s="2499"/>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1" t="str">
        <f>'Single Audit Cover'!A7</f>
        <v xml:space="preserve">Saratoga CCSD 60C </v>
      </c>
      <c r="B1" s="2501"/>
      <c r="C1" s="2501"/>
      <c r="D1" s="2501"/>
      <c r="E1" s="2501"/>
      <c r="F1" s="2501"/>
    </row>
    <row r="2" spans="1:7" ht="13.5" customHeight="1" x14ac:dyDescent="0.2">
      <c r="A2" s="2497" t="str">
        <f>'Single Audit Cover'!E7</f>
        <v>24032060C04</v>
      </c>
      <c r="B2" s="2497"/>
      <c r="C2" s="2497"/>
      <c r="D2" s="2497"/>
      <c r="E2" s="2497"/>
      <c r="F2" s="2497"/>
      <c r="G2" s="1096"/>
    </row>
    <row r="3" spans="1:7" ht="15.75" customHeight="1" x14ac:dyDescent="0.2">
      <c r="A3" s="2502" t="s">
        <v>1262</v>
      </c>
      <c r="B3" s="2502"/>
      <c r="C3" s="2502"/>
      <c r="D3" s="2502"/>
      <c r="E3" s="2502"/>
      <c r="F3" s="2502"/>
    </row>
    <row r="4" spans="1:7" ht="13.5" customHeight="1" x14ac:dyDescent="0.2">
      <c r="A4" s="2503" t="str">
        <f>'Single Audit Cover'!A4</f>
        <v>Year Ending June 30, 2020</v>
      </c>
      <c r="B4" s="2503"/>
      <c r="C4" s="2503"/>
      <c r="D4" s="2503"/>
      <c r="E4" s="2503"/>
      <c r="F4" s="2503"/>
    </row>
    <row r="5" spans="1:7" ht="8.25" customHeight="1" x14ac:dyDescent="0.2">
      <c r="C5" s="295"/>
      <c r="D5" s="295"/>
    </row>
    <row r="6" spans="1:7" ht="13.5" customHeight="1" x14ac:dyDescent="0.2">
      <c r="A6" s="1097" t="s">
        <v>1708</v>
      </c>
      <c r="C6" s="295"/>
      <c r="D6" s="295"/>
    </row>
    <row r="7" spans="1:7" ht="60.95" customHeight="1" x14ac:dyDescent="0.2">
      <c r="A7" s="2500" t="s">
        <v>1709</v>
      </c>
      <c r="B7" s="2500"/>
      <c r="C7" s="2500"/>
      <c r="D7" s="2500"/>
      <c r="E7" s="2500"/>
      <c r="F7" s="2500"/>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0" t="s">
        <v>1711</v>
      </c>
      <c r="B13" s="2500"/>
      <c r="C13" s="2500"/>
      <c r="D13" s="2500"/>
      <c r="E13" s="2500"/>
      <c r="F13" s="2500"/>
    </row>
    <row r="14" spans="1:7" ht="9.75" customHeight="1" x14ac:dyDescent="0.2">
      <c r="C14" s="1081"/>
      <c r="D14" s="1081"/>
    </row>
    <row r="15" spans="1:7" ht="13.5" customHeight="1" x14ac:dyDescent="0.2">
      <c r="C15" s="1525" t="s">
        <v>1261</v>
      </c>
      <c r="D15" s="2505" t="s">
        <v>1260</v>
      </c>
      <c r="E15" s="2505"/>
      <c r="F15" s="2505"/>
    </row>
    <row r="16" spans="1:7" ht="13.5" customHeight="1" x14ac:dyDescent="0.2">
      <c r="A16" s="1103"/>
      <c r="B16" s="1097" t="s">
        <v>1259</v>
      </c>
      <c r="C16" s="1525" t="s">
        <v>1258</v>
      </c>
      <c r="D16" s="2506" t="s">
        <v>1574</v>
      </c>
      <c r="E16" s="2506"/>
      <c r="F16" s="2506"/>
    </row>
    <row r="17" spans="1:6" ht="20.45" customHeight="1" x14ac:dyDescent="0.2">
      <c r="A17" s="1104"/>
      <c r="B17" s="1105"/>
      <c r="C17" s="1106"/>
      <c r="D17" s="2504"/>
      <c r="E17" s="2504"/>
      <c r="F17" s="2504"/>
    </row>
    <row r="18" spans="1:6" ht="20.65" customHeight="1" x14ac:dyDescent="0.2">
      <c r="A18" s="1104"/>
      <c r="B18" s="1105"/>
      <c r="C18" s="1106"/>
      <c r="D18" s="2504"/>
      <c r="E18" s="2504"/>
      <c r="F18" s="2504"/>
    </row>
    <row r="19" spans="1:6" ht="20.65" customHeight="1" x14ac:dyDescent="0.2">
      <c r="A19" s="1104"/>
      <c r="B19" s="1105"/>
      <c r="C19" s="1106"/>
      <c r="D19" s="2504"/>
      <c r="E19" s="2504"/>
      <c r="F19" s="2504"/>
    </row>
    <row r="20" spans="1:6" ht="20.65" customHeight="1" x14ac:dyDescent="0.2">
      <c r="A20" s="1104"/>
      <c r="B20" s="1105"/>
      <c r="C20" s="1106"/>
      <c r="D20" s="2504"/>
      <c r="E20" s="2504"/>
      <c r="F20" s="2504"/>
    </row>
    <row r="21" spans="1:6" ht="20.65" customHeight="1" x14ac:dyDescent="0.2">
      <c r="A21" s="1104"/>
      <c r="B21" s="1105"/>
      <c r="C21" s="1106"/>
      <c r="D21" s="2504"/>
      <c r="E21" s="2504"/>
      <c r="F21" s="2504"/>
    </row>
    <row r="22" spans="1:6" ht="20.65" customHeight="1" x14ac:dyDescent="0.2">
      <c r="A22" s="1104"/>
      <c r="B22" s="1105"/>
      <c r="C22" s="1106"/>
      <c r="D22" s="2504"/>
      <c r="E22" s="2504"/>
      <c r="F22" s="2504"/>
    </row>
    <row r="23" spans="1:6" ht="20.65" customHeight="1" x14ac:dyDescent="0.2">
      <c r="A23" s="1104"/>
      <c r="B23" s="1105"/>
      <c r="C23" s="1106"/>
      <c r="D23" s="2504"/>
      <c r="E23" s="2504"/>
      <c r="F23" s="2504"/>
    </row>
    <row r="24" spans="1:6" ht="20.65" customHeight="1" x14ac:dyDescent="0.2">
      <c r="A24" s="1104"/>
      <c r="B24" s="1105"/>
      <c r="C24" s="1106"/>
      <c r="D24" s="2504"/>
      <c r="E24" s="2504"/>
      <c r="F24" s="2504"/>
    </row>
    <row r="25" spans="1:6" ht="20.65" customHeight="1" x14ac:dyDescent="0.2">
      <c r="A25" s="1104"/>
      <c r="B25" s="1105"/>
      <c r="C25" s="1106"/>
      <c r="D25" s="2504"/>
      <c r="E25" s="2504"/>
      <c r="F25" s="2504"/>
    </row>
    <row r="26" spans="1:6" ht="20.65" customHeight="1" x14ac:dyDescent="0.2">
      <c r="A26" s="1104"/>
      <c r="B26" s="1105"/>
      <c r="C26" s="1106"/>
      <c r="D26" s="2504"/>
      <c r="E26" s="2504"/>
      <c r="F26" s="2504"/>
    </row>
    <row r="27" spans="1:6" ht="20.65" customHeight="1" x14ac:dyDescent="0.2">
      <c r="A27" s="1104"/>
      <c r="B27" s="1105"/>
      <c r="C27" s="1106"/>
      <c r="D27" s="2504"/>
      <c r="E27" s="2504"/>
      <c r="F27" s="2504"/>
    </row>
    <row r="28" spans="1:6" ht="20.65" customHeight="1" x14ac:dyDescent="0.2">
      <c r="A28" s="1104"/>
      <c r="B28" s="1105"/>
      <c r="C28" s="1106"/>
      <c r="D28" s="2504"/>
      <c r="E28" s="2504"/>
      <c r="F28" s="2504"/>
    </row>
    <row r="29" spans="1:6" ht="20.65" customHeight="1" x14ac:dyDescent="0.2">
      <c r="A29" s="1104"/>
      <c r="B29" s="1105"/>
      <c r="C29" s="1106"/>
      <c r="D29" s="2504"/>
      <c r="E29" s="2504"/>
      <c r="F29" s="2504"/>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8" t="s">
        <v>1712</v>
      </c>
      <c r="B32" s="2508"/>
      <c r="C32" s="2508"/>
      <c r="D32" s="2508"/>
      <c r="E32" s="2508"/>
      <c r="F32" s="250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9">
        <f>+C33+C34</f>
        <v>0</v>
      </c>
      <c r="F34" s="251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1" t="s">
        <v>1576</v>
      </c>
      <c r="C49" s="2511"/>
      <c r="D49" s="2511"/>
      <c r="E49" s="1213"/>
    </row>
    <row r="50" spans="1:5" s="1121" customFormat="1" ht="3.75" customHeight="1" x14ac:dyDescent="0.2">
      <c r="A50" s="1120"/>
      <c r="B50" s="1524"/>
      <c r="C50" s="1524"/>
      <c r="D50" s="1524"/>
      <c r="E50" s="1213"/>
    </row>
    <row r="51" spans="1:5" s="1121" customFormat="1" ht="20.25" customHeight="1" x14ac:dyDescent="0.2">
      <c r="A51" s="1122">
        <v>6</v>
      </c>
      <c r="B51" s="2507" t="s">
        <v>1537</v>
      </c>
      <c r="C51" s="2507"/>
      <c r="D51" s="2507"/>
    </row>
    <row r="52" spans="1:5" ht="14.25" customHeight="1" x14ac:dyDescent="0.2">
      <c r="A52" s="1122"/>
      <c r="B52" s="2507"/>
      <c r="C52" s="2507"/>
      <c r="D52" s="250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16" t="str">
        <f>'Single Audit Cover'!A7</f>
        <v xml:space="preserve">Saratoga CCSD 60C </v>
      </c>
      <c r="C1" s="2517"/>
      <c r="D1" s="2517"/>
      <c r="E1" s="2517"/>
      <c r="F1" s="2517"/>
      <c r="G1" s="2517"/>
      <c r="H1" s="2517"/>
      <c r="I1" s="2517"/>
      <c r="J1" s="1223"/>
    </row>
    <row r="2" spans="2:10" s="295" customFormat="1" ht="12.75" customHeight="1" x14ac:dyDescent="0.2">
      <c r="B2" s="2518" t="str">
        <f>'Single Audit Cover'!E7</f>
        <v>24032060C04</v>
      </c>
      <c r="C2" s="2519"/>
      <c r="D2" s="2519"/>
      <c r="E2" s="2519"/>
      <c r="F2" s="2519"/>
      <c r="G2" s="2519"/>
      <c r="H2" s="2519"/>
      <c r="I2" s="2519"/>
      <c r="J2" s="1223"/>
    </row>
    <row r="3" spans="2:10" s="295" customFormat="1" ht="12.75" customHeight="1" x14ac:dyDescent="0.2">
      <c r="B3" s="2520" t="s">
        <v>1276</v>
      </c>
      <c r="C3" s="2521"/>
      <c r="D3" s="2521"/>
      <c r="E3" s="2521"/>
      <c r="F3" s="2521"/>
      <c r="G3" s="2521"/>
      <c r="H3" s="2521"/>
      <c r="I3" s="2521"/>
      <c r="J3" s="1224"/>
    </row>
    <row r="4" spans="2:10" s="295" customFormat="1" ht="12.75" customHeight="1" x14ac:dyDescent="0.2">
      <c r="B4" s="2520" t="str">
        <f>'Single Audit Cover'!A4</f>
        <v>Year Ending June 30, 2020</v>
      </c>
      <c r="C4" s="2521"/>
      <c r="D4" s="2521"/>
      <c r="E4" s="2521"/>
      <c r="F4" s="2521"/>
      <c r="G4" s="2521"/>
      <c r="H4" s="2521"/>
      <c r="I4" s="2521"/>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0" t="s">
        <v>1275</v>
      </c>
      <c r="C7" s="2521"/>
      <c r="D7" s="2521"/>
      <c r="E7" s="2521"/>
      <c r="F7" s="2521"/>
      <c r="G7" s="2521"/>
      <c r="H7" s="2521"/>
      <c r="I7" s="2521"/>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2"/>
      <c r="D11" s="2522"/>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3"/>
      <c r="E29" s="2523"/>
      <c r="F29" s="2523"/>
      <c r="G29" s="2523"/>
      <c r="H29" s="2523"/>
      <c r="I29" s="2523"/>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4" t="s">
        <v>1731</v>
      </c>
      <c r="D37" s="2525"/>
      <c r="E37" s="2525"/>
      <c r="F37" s="2526"/>
      <c r="G37" s="2524" t="s">
        <v>1578</v>
      </c>
      <c r="H37" s="2525"/>
      <c r="I37" s="2526"/>
    </row>
    <row r="38" spans="2:9" ht="16.5" customHeight="1" x14ac:dyDescent="0.2">
      <c r="B38" s="1245"/>
      <c r="C38" s="2512"/>
      <c r="D38" s="2513"/>
      <c r="E38" s="2513"/>
      <c r="F38" s="2514"/>
      <c r="G38" s="2527"/>
      <c r="H38" s="2528"/>
      <c r="I38" s="2529"/>
    </row>
    <row r="39" spans="2:9" ht="16.5" customHeight="1" x14ac:dyDescent="0.2">
      <c r="B39" s="1245"/>
      <c r="C39" s="2512"/>
      <c r="D39" s="2513"/>
      <c r="E39" s="2513"/>
      <c r="F39" s="2514"/>
      <c r="G39" s="2515"/>
      <c r="H39" s="2515"/>
      <c r="I39" s="2515"/>
    </row>
    <row r="40" spans="2:9" ht="16.5" customHeight="1" x14ac:dyDescent="0.2">
      <c r="B40" s="1245"/>
      <c r="C40" s="2512"/>
      <c r="D40" s="2513"/>
      <c r="E40" s="2513"/>
      <c r="F40" s="2514"/>
      <c r="G40" s="2515"/>
      <c r="H40" s="2515"/>
      <c r="I40" s="2515"/>
    </row>
    <row r="41" spans="2:9" ht="16.5" customHeight="1" x14ac:dyDescent="0.2">
      <c r="B41" s="1245"/>
      <c r="C41" s="2512"/>
      <c r="D41" s="2513"/>
      <c r="E41" s="2513"/>
      <c r="F41" s="2514"/>
      <c r="G41" s="2515"/>
      <c r="H41" s="2515"/>
      <c r="I41" s="2515"/>
    </row>
    <row r="42" spans="2:9" ht="16.5" customHeight="1" x14ac:dyDescent="0.2">
      <c r="B42" s="1245"/>
      <c r="C42" s="2512"/>
      <c r="D42" s="2513"/>
      <c r="E42" s="2513"/>
      <c r="F42" s="2514"/>
      <c r="G42" s="2515"/>
      <c r="H42" s="2515"/>
      <c r="I42" s="2515"/>
    </row>
    <row r="43" spans="2:9" ht="16.5" customHeight="1" x14ac:dyDescent="0.2">
      <c r="B43" s="1245"/>
      <c r="C43" s="2530" t="s">
        <v>1579</v>
      </c>
      <c r="D43" s="2531"/>
      <c r="E43" s="2531"/>
      <c r="F43" s="2532"/>
      <c r="G43" s="2533">
        <f>SUM(G38:I42)</f>
        <v>0</v>
      </c>
      <c r="H43" s="2533"/>
      <c r="I43" s="2533"/>
    </row>
    <row r="44" spans="2:9" ht="12.75" customHeight="1" x14ac:dyDescent="0.2"/>
    <row r="45" spans="2:9" ht="12.75" customHeight="1" x14ac:dyDescent="0.2">
      <c r="B45" s="1985" t="str">
        <f>"Total Federal Expenditures for 7/1/"&amp;MID('AFR20'!E2,3,2)-1&amp;"-6/30/"&amp;MID('AFR20'!E2,3,2)</f>
        <v>Total Federal Expenditures for 7/1/19-6/30/20</v>
      </c>
      <c r="C45" s="1986"/>
      <c r="D45" s="2534">
        <v>0</v>
      </c>
      <c r="E45" s="2535"/>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36"/>
      <c r="F49" s="2536"/>
      <c r="G49" s="2536"/>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6" t="str">
        <f>'Single Audit Cover'!A7</f>
        <v xml:space="preserve">Saratoga CCSD 60C </v>
      </c>
      <c r="C1" s="2516"/>
      <c r="D1" s="2516"/>
      <c r="E1" s="2516"/>
      <c r="F1" s="2516"/>
      <c r="G1" s="2516"/>
      <c r="H1" s="2516"/>
      <c r="I1" s="2516"/>
      <c r="J1" s="2516"/>
      <c r="K1" s="2516"/>
      <c r="L1" s="1189"/>
      <c r="M1" s="1189"/>
    </row>
    <row r="2" spans="1:13" ht="12" customHeight="1" x14ac:dyDescent="0.2">
      <c r="B2" s="2518" t="str">
        <f>'Single Audit Cover'!E7</f>
        <v>24032060C04</v>
      </c>
      <c r="C2" s="2518"/>
      <c r="D2" s="2518"/>
      <c r="E2" s="2518"/>
      <c r="F2" s="2518"/>
      <c r="G2" s="2518"/>
      <c r="H2" s="2518"/>
      <c r="I2" s="2518"/>
      <c r="J2" s="2518"/>
      <c r="K2" s="2518"/>
      <c r="L2" s="1190"/>
      <c r="M2" s="1191"/>
    </row>
    <row r="3" spans="1:13" ht="10.35" customHeight="1" x14ac:dyDescent="0.2">
      <c r="B3" s="2539" t="s">
        <v>1276</v>
      </c>
      <c r="C3" s="2539"/>
      <c r="D3" s="2539"/>
      <c r="E3" s="2539"/>
      <c r="F3" s="2539"/>
      <c r="G3" s="2539"/>
      <c r="H3" s="2539"/>
      <c r="I3" s="2539"/>
      <c r="J3" s="2539"/>
      <c r="K3" s="2539"/>
      <c r="L3" s="1192"/>
      <c r="M3" s="1192"/>
    </row>
    <row r="4" spans="1:13" ht="14.25" customHeight="1" x14ac:dyDescent="0.2">
      <c r="B4" s="2540" t="str">
        <f>'Single Audit Cover'!A4</f>
        <v>Year Ending June 30, 2020</v>
      </c>
      <c r="C4" s="2540"/>
      <c r="D4" s="2540"/>
      <c r="E4" s="2540"/>
      <c r="F4" s="2540"/>
      <c r="G4" s="2540"/>
      <c r="H4" s="2540"/>
      <c r="I4" s="2540"/>
      <c r="J4" s="2540"/>
      <c r="K4" s="254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0" t="s">
        <v>1287</v>
      </c>
      <c r="C7" s="2540"/>
      <c r="D7" s="2541"/>
      <c r="E7" s="2541"/>
      <c r="F7" s="2541"/>
      <c r="G7" s="2541"/>
      <c r="H7" s="2541"/>
      <c r="I7" s="2541"/>
      <c r="J7" s="2541"/>
      <c r="K7" s="254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8"/>
      <c r="C14" s="2538"/>
      <c r="D14" s="2538"/>
      <c r="E14" s="2538"/>
      <c r="F14" s="2538"/>
      <c r="G14" s="2538"/>
      <c r="H14" s="2538"/>
      <c r="I14" s="2538"/>
      <c r="J14" s="2538"/>
      <c r="K14" s="253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8"/>
      <c r="C17" s="2538"/>
      <c r="D17" s="2538"/>
      <c r="E17" s="2538"/>
      <c r="F17" s="2538"/>
      <c r="G17" s="2538"/>
      <c r="H17" s="2538"/>
      <c r="I17" s="2538"/>
      <c r="J17" s="2538"/>
      <c r="K17" s="2538"/>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2"/>
      <c r="C20" s="2542"/>
      <c r="D20" s="2538"/>
      <c r="E20" s="2538"/>
      <c r="F20" s="2538"/>
      <c r="G20" s="2538"/>
      <c r="H20" s="2538"/>
      <c r="I20" s="2538"/>
      <c r="J20" s="2538"/>
      <c r="K20" s="253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8"/>
      <c r="C23" s="2538"/>
      <c r="D23" s="2538"/>
      <c r="E23" s="2538"/>
      <c r="F23" s="2538"/>
      <c r="G23" s="2538"/>
      <c r="H23" s="2538"/>
      <c r="I23" s="2538"/>
      <c r="J23" s="2538"/>
      <c r="K23" s="253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8"/>
      <c r="C26" s="2538"/>
      <c r="D26" s="2538"/>
      <c r="E26" s="2538"/>
      <c r="F26" s="2538"/>
      <c r="G26" s="2538"/>
      <c r="H26" s="2538"/>
      <c r="I26" s="2538"/>
      <c r="J26" s="2538"/>
      <c r="K26" s="253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7"/>
      <c r="C29" s="2537"/>
      <c r="D29" s="2538"/>
      <c r="E29" s="2538"/>
      <c r="F29" s="2538"/>
      <c r="G29" s="2538"/>
      <c r="H29" s="2538"/>
      <c r="I29" s="2538"/>
      <c r="J29" s="2538"/>
      <c r="K29" s="253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7"/>
      <c r="C32" s="2537"/>
      <c r="D32" s="2538"/>
      <c r="E32" s="2538"/>
      <c r="F32" s="2538"/>
      <c r="G32" s="2538"/>
      <c r="H32" s="2538"/>
      <c r="I32" s="2538"/>
      <c r="J32" s="2538"/>
      <c r="K32" s="253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3" t="str">
        <f>'Single Audit Cover'!A7</f>
        <v xml:space="preserve">Saratoga CCSD 60C </v>
      </c>
      <c r="C1" s="2543"/>
      <c r="D1" s="2543"/>
      <c r="E1" s="2543"/>
      <c r="F1" s="2543"/>
      <c r="G1" s="2543"/>
      <c r="H1" s="2543"/>
      <c r="I1" s="2543"/>
      <c r="J1" s="2543"/>
      <c r="K1" s="2543"/>
      <c r="L1" s="1266"/>
    </row>
    <row r="2" spans="1:12" ht="12.75" customHeight="1" x14ac:dyDescent="0.2">
      <c r="B2" s="2544" t="str">
        <f>'Single Audit Cover'!E7</f>
        <v>24032060C04</v>
      </c>
      <c r="C2" s="2544"/>
      <c r="D2" s="2544"/>
      <c r="E2" s="2544"/>
      <c r="F2" s="2544"/>
      <c r="G2" s="2544"/>
      <c r="H2" s="2544"/>
      <c r="I2" s="2544"/>
      <c r="J2" s="2544"/>
      <c r="K2" s="2544"/>
      <c r="L2" s="1267"/>
    </row>
    <row r="3" spans="1:12" ht="12.75" customHeight="1" x14ac:dyDescent="0.2">
      <c r="B3" s="2539" t="s">
        <v>1276</v>
      </c>
      <c r="C3" s="2539"/>
      <c r="D3" s="2539"/>
      <c r="E3" s="2539"/>
      <c r="F3" s="2539"/>
      <c r="G3" s="2539"/>
      <c r="H3" s="2539"/>
      <c r="I3" s="2539"/>
      <c r="J3" s="2539"/>
      <c r="K3" s="2539"/>
      <c r="L3" s="1192"/>
    </row>
    <row r="4" spans="1:12" ht="12.75" customHeight="1" x14ac:dyDescent="0.2">
      <c r="B4" s="2539" t="str">
        <f>'Single Audit Cover'!A4</f>
        <v>Year Ending June 30, 2020</v>
      </c>
      <c r="C4" s="2539"/>
      <c r="D4" s="2539"/>
      <c r="E4" s="2539"/>
      <c r="F4" s="2539"/>
      <c r="G4" s="2539"/>
      <c r="H4" s="2539"/>
      <c r="I4" s="2539"/>
      <c r="J4" s="2539"/>
      <c r="K4" s="2539"/>
      <c r="L4" s="1192"/>
    </row>
    <row r="5" spans="1:12" ht="5.25" customHeight="1" x14ac:dyDescent="0.2">
      <c r="B5" s="1081" t="s">
        <v>1161</v>
      </c>
      <c r="C5" s="1081"/>
      <c r="L5" s="300"/>
    </row>
    <row r="6" spans="1:12" ht="30.75" customHeight="1" x14ac:dyDescent="0.2">
      <c r="A6" s="300"/>
      <c r="B6" s="2545" t="s">
        <v>1299</v>
      </c>
      <c r="C6" s="2545"/>
      <c r="D6" s="2545"/>
      <c r="E6" s="2545"/>
      <c r="F6" s="2545"/>
      <c r="G6" s="2545"/>
      <c r="H6" s="2545"/>
      <c r="I6" s="2545"/>
      <c r="J6" s="2545"/>
      <c r="K6" s="2545"/>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3"/>
      <c r="G12" s="2523"/>
      <c r="H12" s="2523"/>
      <c r="I12" s="2523"/>
      <c r="J12" s="2523"/>
      <c r="K12" s="252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6"/>
      <c r="E14" s="2546"/>
      <c r="F14" s="2546"/>
      <c r="H14" s="1275" t="s">
        <v>1294</v>
      </c>
      <c r="I14" s="2547"/>
      <c r="J14" s="2547"/>
      <c r="K14" s="2547"/>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7"/>
      <c r="E16" s="2547"/>
      <c r="F16" s="2547"/>
      <c r="G16" s="2547"/>
      <c r="H16" s="2547"/>
      <c r="I16" s="2547"/>
      <c r="J16" s="2547"/>
      <c r="K16" s="2547"/>
      <c r="L16" s="300"/>
    </row>
    <row r="17" spans="2:12" ht="13.5" customHeight="1" x14ac:dyDescent="0.2">
      <c r="B17" s="1201" t="s">
        <v>1292</v>
      </c>
      <c r="C17" s="1201"/>
      <c r="D17" s="2548"/>
      <c r="E17" s="2548"/>
      <c r="F17" s="2548"/>
      <c r="G17" s="2548"/>
      <c r="H17" s="2548"/>
      <c r="I17" s="2548"/>
      <c r="J17" s="2548"/>
      <c r="K17" s="2548"/>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8"/>
      <c r="C20" s="2538"/>
      <c r="D20" s="2538"/>
      <c r="E20" s="2538"/>
      <c r="F20" s="2538"/>
      <c r="G20" s="2538"/>
      <c r="H20" s="2538"/>
      <c r="I20" s="2538"/>
      <c r="J20" s="2538"/>
      <c r="K20" s="253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8"/>
      <c r="C23" s="2538"/>
      <c r="D23" s="2538"/>
      <c r="E23" s="2538"/>
      <c r="F23" s="2538"/>
      <c r="G23" s="2538"/>
      <c r="H23" s="2538"/>
      <c r="I23" s="2538"/>
      <c r="J23" s="2538"/>
      <c r="K23" s="253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8"/>
      <c r="C26" s="2538"/>
      <c r="D26" s="2538"/>
      <c r="E26" s="2538"/>
      <c r="F26" s="2538"/>
      <c r="G26" s="2538"/>
      <c r="H26" s="2538"/>
      <c r="I26" s="2538"/>
      <c r="J26" s="2538"/>
      <c r="K26" s="253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8"/>
      <c r="C29" s="2538"/>
      <c r="D29" s="2538"/>
      <c r="E29" s="2538"/>
      <c r="F29" s="2538"/>
      <c r="G29" s="2538"/>
      <c r="H29" s="2538"/>
      <c r="I29" s="2538"/>
      <c r="J29" s="2538"/>
      <c r="K29" s="253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8"/>
      <c r="C32" s="2538"/>
      <c r="D32" s="2538"/>
      <c r="E32" s="2538"/>
      <c r="F32" s="2538"/>
      <c r="G32" s="2538"/>
      <c r="H32" s="2538"/>
      <c r="I32" s="2538"/>
      <c r="J32" s="2538"/>
      <c r="K32" s="253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8"/>
      <c r="C35" s="2538"/>
      <c r="D35" s="2538"/>
      <c r="E35" s="2538"/>
      <c r="F35" s="2538"/>
      <c r="G35" s="2538"/>
      <c r="H35" s="2538"/>
      <c r="I35" s="2538"/>
      <c r="J35" s="2538"/>
      <c r="K35" s="253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8"/>
      <c r="C38" s="2538"/>
      <c r="D38" s="2538"/>
      <c r="E38" s="2538"/>
      <c r="F38" s="2538"/>
      <c r="G38" s="2538"/>
      <c r="H38" s="2538"/>
      <c r="I38" s="2538"/>
      <c r="J38" s="2538"/>
      <c r="K38" s="253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8"/>
      <c r="C41" s="2538"/>
      <c r="D41" s="2538"/>
      <c r="E41" s="2538"/>
      <c r="F41" s="2538"/>
      <c r="G41" s="2538"/>
      <c r="H41" s="2538"/>
      <c r="I41" s="2538"/>
      <c r="J41" s="2538"/>
      <c r="K41" s="253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16" t="str">
        <f>'Single Audit Cover'!A7</f>
        <v xml:space="preserve">Saratoga CCSD 60C </v>
      </c>
      <c r="C1" s="2516"/>
      <c r="D1" s="2516"/>
      <c r="E1" s="1285"/>
    </row>
    <row r="2" spans="2:5" s="1103" customFormat="1" ht="12.75" customHeight="1" x14ac:dyDescent="0.2">
      <c r="B2" s="2518" t="str">
        <f>'Single Audit Cover'!E7</f>
        <v>24032060C04</v>
      </c>
      <c r="C2" s="2518"/>
      <c r="D2" s="2518"/>
      <c r="E2" s="1286"/>
    </row>
    <row r="3" spans="2:5" ht="12.75" customHeight="1" x14ac:dyDescent="0.2">
      <c r="B3" s="2539" t="s">
        <v>1746</v>
      </c>
      <c r="C3" s="2539"/>
      <c r="D3" s="2539"/>
      <c r="E3" s="1095"/>
    </row>
    <row r="4" spans="2:5" s="1103" customFormat="1" ht="12.75" customHeight="1" x14ac:dyDescent="0.2">
      <c r="B4" s="2549" t="str">
        <f>'Single Audit Cover'!A4</f>
        <v>Year Ending June 30, 2020</v>
      </c>
      <c r="C4" s="2549"/>
      <c r="D4" s="2549"/>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4d435f69-8686-490b-bd6d-b153bf22ab50"/>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2020-09-30T15:27:40Z</cp:lastPrinted>
  <dcterms:created xsi:type="dcterms:W3CDTF">2003-10-29T19:06:34Z</dcterms:created>
  <dcterms:modified xsi:type="dcterms:W3CDTF">2020-10-01T15:28:54Z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